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threadedComments/threadedComment1.xml" ContentType="application/vnd.ms-excel.threadedcomments+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3.xml" ContentType="application/vnd.openxmlformats-officedocument.drawing+xml"/>
  <Override PartName="/xl/comments3.xml" ContentType="application/vnd.openxmlformats-officedocument.spreadsheetml.comments+xml"/>
  <Override PartName="/xl/comments4.xml" ContentType="application/vnd.openxmlformats-officedocument.spreadsheetml.comments+xml"/>
  <Override PartName="/xl/threadedComments/threadedComment2.xml" ContentType="application/vnd.ms-excel.threadedcomments+xml"/>
  <Override PartName="/xl/comments5.xml" ContentType="application/vnd.openxmlformats-officedocument.spreadsheetml.comments+xml"/>
  <Override PartName="/xl/threadedComments/threadedComment3.xml" ContentType="application/vnd.ms-excel.threadedcomments+xml"/>
  <Override PartName="/xl/comments6.xml" ContentType="application/vnd.openxmlformats-officedocument.spreadsheetml.comments+xml"/>
  <Override PartName="/xl/drawings/drawing4.xml" ContentType="application/vnd.openxmlformats-officedocument.drawing+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drawings/drawing5.xml" ContentType="application/vnd.openxmlformats-officedocument.drawing+xml"/>
  <Override PartName="/xl/drawings/drawing6.xml" ContentType="application/vnd.openxmlformats-officedocument.drawing+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drawings/drawing7.xml" ContentType="application/vnd.openxmlformats-officedocument.drawing+xml"/>
  <Override PartName="/xl/comments7.xml" ContentType="application/vnd.openxmlformats-officedocument.spreadsheetml.comments+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227"/>
  <workbookPr codeName="ThisWorkbook" hidePivotFieldList="1"/>
  <mc:AlternateContent xmlns:mc="http://schemas.openxmlformats.org/markup-compatibility/2006">
    <mc:Choice Requires="x15">
      <x15ac:absPath xmlns:x15ac="http://schemas.microsoft.com/office/spreadsheetml/2010/11/ac" url="https://icfonline.sharepoint.com/teams/HawaiiInventory/Shared Documents/Project Year 3 - 2024/Projections/Sector Spreadsheets Linked 10.22.24/2024_Forecasts_Unlinked/"/>
    </mc:Choice>
  </mc:AlternateContent>
  <xr:revisionPtr revIDLastSave="1" documentId="8_{79FBA9A5-75F4-419F-8330-D4E6A6FFCD52}" xr6:coauthVersionLast="47" xr6:coauthVersionMax="47" xr10:uidLastSave="{085135A6-9B7C-4FC8-9C95-138B9AE057D4}"/>
  <bookViews>
    <workbookView xWindow="28680" yWindow="-120" windowWidth="29040" windowHeight="15720" firstSheet="7" activeTab="14" xr2:uid="{D833783F-BE81-47E7-8C88-B045D0E19971}"/>
  </bookViews>
  <sheets>
    <sheet name="Contents" sheetId="104" r:id="rId1"/>
    <sheet name="IPPU Summary" sheetId="142" r:id="rId2"/>
    <sheet name="2021-2022 Comparison" sheetId="144" state="hidden" r:id="rId3"/>
    <sheet name="2019-2022 Comparison" sheetId="145" state="hidden" r:id="rId4"/>
    <sheet name="IPPU Summary_old format" sheetId="102" state="hidden" r:id="rId5"/>
    <sheet name="Summary by Island" sheetId="81" state="hidden" r:id="rId6"/>
    <sheet name="IPPU Summary by County" sheetId="140" r:id="rId7"/>
    <sheet name="Cement" sheetId="84" r:id="rId8"/>
    <sheet name="Electrical T&amp;D" sheetId="85" r:id="rId9"/>
    <sheet name="ODS Subs" sheetId="95" r:id="rId10"/>
    <sheet name="Cement Data" sheetId="98" r:id="rId11"/>
    <sheet name="Electrical T&amp;D Data" sheetId="87" r:id="rId12"/>
    <sheet name="ODS Subs Data" sheetId="88" r:id="rId13"/>
    <sheet name="ODS Emissions" sheetId="105" r:id="rId14"/>
    <sheet name="ODS and Subs" sheetId="106" r:id="rId15"/>
    <sheet name="Conversions_Constants" sheetId="139" r:id="rId16"/>
    <sheet name="TSD Values" sheetId="143" r:id="rId17"/>
    <sheet name="Unc_Inputs" sheetId="108" r:id="rId18"/>
    <sheet name="Uncertainty Results" sheetId="141" r:id="rId19"/>
    <sheet name="RiskTemplate_IPPU" sheetId="109" state="hidden" r:id="rId20"/>
  </sheets>
  <externalReferences>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 r:id="rId33"/>
    <externalReference r:id="rId34"/>
    <externalReference r:id="rId35"/>
    <externalReference r:id="rId36"/>
    <externalReference r:id="rId37"/>
    <externalReference r:id="rId38"/>
    <externalReference r:id="rId39"/>
    <externalReference r:id="rId40"/>
    <externalReference r:id="rId41"/>
    <externalReference r:id="rId42"/>
  </externalReferences>
  <definedNames>
    <definedName name="__123Graph_BGROWTHRATES" localSheetId="6" hidden="1">#REF!</definedName>
    <definedName name="__123Graph_BGROWTHRATES" localSheetId="18" hidden="1">#REF!</definedName>
    <definedName name="__123Graph_BGROWTHRATES" hidden="1">#REF!</definedName>
    <definedName name="_2__123Graph_DPERCENT65_256" localSheetId="6" hidden="1">#REF!</definedName>
    <definedName name="_2__123Graph_DPERCENT65_256" localSheetId="18" hidden="1">#REF!</definedName>
    <definedName name="_2__123Graph_DPERCENT65_256" hidden="1">#REF!</definedName>
    <definedName name="_4__123Graph_FPERCENT65_256" localSheetId="6" hidden="1">#REF!</definedName>
    <definedName name="_4__123Graph_FPERCENT65_256" hidden="1">#REF!</definedName>
    <definedName name="_AtRisk_SimSetting_AutomaticallyGenerateReports" hidden="1">FALSE</definedName>
    <definedName name="_AtRisk_SimSetting_AutomaticResultsDisplayMode" hidden="1">0</definedName>
    <definedName name="_AtRisk_SimSetting_ConvergenceConfidenceLevel" hidden="1">0.95</definedName>
    <definedName name="_AtRisk_SimSetting_ConvergencePercentileToTest" hidden="1">0.9</definedName>
    <definedName name="_AtRisk_SimSetting_ConvergencePerformMeanTest" hidden="1">TRUE</definedName>
    <definedName name="_AtRisk_SimSetting_ConvergencePerformPercentileTest" hidden="1">FALSE</definedName>
    <definedName name="_AtRisk_SimSetting_ConvergencePerformStdDeviationTest" hidden="1">FALSE</definedName>
    <definedName name="_AtRisk_SimSetting_ConvergenceTestAllOutputs" hidden="1">TRUE</definedName>
    <definedName name="_AtRisk_SimSetting_ConvergenceTestingPeriod" hidden="1">100</definedName>
    <definedName name="_AtRisk_SimSetting_ConvergenceTolerance" hidden="1">0.03</definedName>
    <definedName name="_AtRisk_SimSetting_CorrelationEnabledState" hidden="1">1</definedName>
    <definedName name="_AtRisk_SimSetting_GoalSeekTargetValue" hidden="1">0</definedName>
    <definedName name="_AtRisk_SimSetting_LiveUpdate" hidden="1">TRUE</definedName>
    <definedName name="_AtRisk_SimSetting_LiveUpdatePeriod" hidden="1">-1</definedName>
    <definedName name="_AtRisk_SimSetting_MacroMode" hidden="1">0</definedName>
    <definedName name="_AtRisk_SimSetting_MacroRecalculationBehavior" hidden="1">0</definedName>
    <definedName name="_AtRisk_SimSetting_MaxAutoIterations" hidden="1">50000</definedName>
    <definedName name="_AtRisk_SimSetting_MultipleCPUCount" hidden="1">-1</definedName>
    <definedName name="_AtRisk_SimSetting_MultipleCPUManualCount" hidden="1">8</definedName>
    <definedName name="_AtRisk_SimSetting_MultipleCPUMode" hidden="1">2</definedName>
    <definedName name="_AtRisk_SimSetting_MultipleCPUModeV8" hidden="1">2</definedName>
    <definedName name="_AtRisk_SimSetting_RandomNumberGenerator" hidden="1">0</definedName>
    <definedName name="_AtRisk_SimSetting_ReportOptionCustomItemCumulativeOverlay01" hidden="1">0</definedName>
    <definedName name="_AtRisk_SimSetting_ReportOptionCustomItemCumulativeOverlay02" hidden="1">0</definedName>
    <definedName name="_AtRisk_SimSetting_ReportOptionCustomItemCumulativeOverlay03" hidden="1">0</definedName>
    <definedName name="_AtRisk_SimSetting_ReportOptionCustomItemCumulativeOverlay04" hidden="1">0</definedName>
    <definedName name="_AtRisk_SimSetting_ReportOptionCustomItemCumulativeOverlay05" hidden="1">0</definedName>
    <definedName name="_AtRisk_SimSetting_ReportOptionCustomItemCumulativeOverlay06" hidden="1">0</definedName>
    <definedName name="_AtRisk_SimSetting_ReportOptionCustomItemDistributionFormat01" hidden="1">1</definedName>
    <definedName name="_AtRisk_SimSetting_ReportOptionCustomItemDistributionFormat02" hidden="1">1</definedName>
    <definedName name="_AtRisk_SimSetting_ReportOptionCustomItemDistributionFormat03" hidden="1">4</definedName>
    <definedName name="_AtRisk_SimSetting_ReportOptionCustomItemDistributionFormat04" hidden="1">1</definedName>
    <definedName name="_AtRisk_SimSetting_ReportOptionCustomItemDistributionFormat05" hidden="1">1</definedName>
    <definedName name="_AtRisk_SimSetting_ReportOptionCustomItemDistributionFormat06" hidden="1">1</definedName>
    <definedName name="_AtRisk_SimSetting_ReportOptionCustomItemGraphFormat01" hidden="1">1</definedName>
    <definedName name="_AtRisk_SimSetting_ReportOptionCustomItemGraphFormat02" hidden="1">1</definedName>
    <definedName name="_AtRisk_SimSetting_ReportOptionCustomItemGraphFormat03" hidden="1">1</definedName>
    <definedName name="_AtRisk_SimSetting_ReportOptionCustomItemGraphFormat04" hidden="1">1</definedName>
    <definedName name="_AtRisk_SimSetting_ReportOptionCustomItemGraphFormat05" hidden="1">1</definedName>
    <definedName name="_AtRisk_SimSetting_ReportOptionCustomItemGraphFormat06" hidden="1">1</definedName>
    <definedName name="_AtRisk_SimSetting_ReportOptionCustomItemItemIndex01" hidden="1">0</definedName>
    <definedName name="_AtRisk_SimSetting_ReportOptionCustomItemItemIndex02" hidden="1">1</definedName>
    <definedName name="_AtRisk_SimSetting_ReportOptionCustomItemItemIndex03" hidden="1">2</definedName>
    <definedName name="_AtRisk_SimSetting_ReportOptionCustomItemItemIndex04" hidden="1">3</definedName>
    <definedName name="_AtRisk_SimSetting_ReportOptionCustomItemItemIndex05" hidden="1">4</definedName>
    <definedName name="_AtRisk_SimSetting_ReportOptionCustomItemItemIndex06" hidden="1">5</definedName>
    <definedName name="_AtRisk_SimSetting_ReportOptionCustomItemItemSize01" hidden="1">0</definedName>
    <definedName name="_AtRisk_SimSetting_ReportOptionCustomItemItemSize02" hidden="1">0</definedName>
    <definedName name="_AtRisk_SimSetting_ReportOptionCustomItemItemSize03" hidden="1">0</definedName>
    <definedName name="_AtRisk_SimSetting_ReportOptionCustomItemItemSize04" hidden="1">0</definedName>
    <definedName name="_AtRisk_SimSetting_ReportOptionCustomItemItemSize05" hidden="1">0</definedName>
    <definedName name="_AtRisk_SimSetting_ReportOptionCustomItemItemSize06" hidden="1">0</definedName>
    <definedName name="_AtRisk_SimSetting_ReportOptionCustomItemItemType01" hidden="1">1</definedName>
    <definedName name="_AtRisk_SimSetting_ReportOptionCustomItemItemType02" hidden="1">5</definedName>
    <definedName name="_AtRisk_SimSetting_ReportOptionCustomItemItemType03" hidden="1">1</definedName>
    <definedName name="_AtRisk_SimSetting_ReportOptionCustomItemItemType04" hidden="1">3</definedName>
    <definedName name="_AtRisk_SimSetting_ReportOptionCustomItemItemType05" hidden="1">2</definedName>
    <definedName name="_AtRisk_SimSetting_ReportOptionCustomItemItemType06" hidden="1">4</definedName>
    <definedName name="_AtRisk_SimSetting_ReportOptionCustomItemLegendType01" hidden="1">0</definedName>
    <definedName name="_AtRisk_SimSetting_ReportOptionCustomItemLegendType02" hidden="1">0</definedName>
    <definedName name="_AtRisk_SimSetting_ReportOptionCustomItemLegendType03" hidden="1">0</definedName>
    <definedName name="_AtRisk_SimSetting_ReportOptionCustomItemLegendType04" hidden="1">0</definedName>
    <definedName name="_AtRisk_SimSetting_ReportOptionCustomItemLegendType05" hidden="1">0</definedName>
    <definedName name="_AtRisk_SimSetting_ReportOptionCustomItemLegendType06" hidden="1">0</definedName>
    <definedName name="_AtRisk_SimSetting_ReportOptionCustomItemsCount" hidden="1">6</definedName>
    <definedName name="_AtRisk_SimSetting_ReportOptionCustomItemSensitivityFormat01" hidden="1">1</definedName>
    <definedName name="_AtRisk_SimSetting_ReportOptionCustomItemSensitivityFormat02" hidden="1">1</definedName>
    <definedName name="_AtRisk_SimSetting_ReportOptionCustomItemSensitivityFormat03" hidden="1">1</definedName>
    <definedName name="_AtRisk_SimSetting_ReportOptionCustomItemSensitivityFormat04" hidden="1">1</definedName>
    <definedName name="_AtRisk_SimSetting_ReportOptionCustomItemSensitivityFormat05" hidden="1">1</definedName>
    <definedName name="_AtRisk_SimSetting_ReportOptionCustomItemSensitivityFormat06" hidden="1">1</definedName>
    <definedName name="_AtRisk_SimSetting_ReportOptionCustomItemSummaryGraphType01" hidden="1">0</definedName>
    <definedName name="_AtRisk_SimSetting_ReportOptionCustomItemSummaryGraphType02" hidden="1">0</definedName>
    <definedName name="_AtRisk_SimSetting_ReportOptionCustomItemSummaryGraphType03" hidden="1">0</definedName>
    <definedName name="_AtRisk_SimSetting_ReportOptionCustomItemSummaryGraphType04" hidden="1">0</definedName>
    <definedName name="_AtRisk_SimSetting_ReportOptionCustomItemSummaryGraphType05" hidden="1">0</definedName>
    <definedName name="_AtRisk_SimSetting_ReportOptionCustomItemSummaryGraphType06" hidden="1">0</definedName>
    <definedName name="_AtRisk_SimSetting_ReportOptionDataMode" hidden="1">1</definedName>
    <definedName name="_AtRisk_SimSetting_ReportOptionReportMultiSimType" localSheetId="19" hidden="1">1</definedName>
    <definedName name="_AtRisk_SimSetting_ReportOptionReportMultiSimType" hidden="1">1</definedName>
    <definedName name="_AtRisk_SimSetting_ReportOptionReportPlacement" hidden="1">1</definedName>
    <definedName name="_AtRisk_SimSetting_ReportOptionReportSelection" localSheetId="19" hidden="1">47327</definedName>
    <definedName name="_AtRisk_SimSetting_ReportOptionReportSelection" localSheetId="18" hidden="1">47359</definedName>
    <definedName name="_AtRisk_SimSetting_ReportOptionReportSelection" hidden="1">47327</definedName>
    <definedName name="_AtRisk_SimSetting_ReportOptionReportsFileType" hidden="1">1</definedName>
    <definedName name="_AtRisk_SimSetting_ReportOptionReportStyle" localSheetId="19" hidden="1">2</definedName>
    <definedName name="_AtRisk_SimSetting_ReportOptionReportStyle" hidden="1">2</definedName>
    <definedName name="_AtRisk_SimSetting_ReportOptionSelectiveQR" hidden="1">FALSE</definedName>
    <definedName name="_AtRisk_SimSetting_ReportsList" localSheetId="18" hidden="1">47359</definedName>
    <definedName name="_AtRisk_SimSetting_ReportsList" hidden="1">47327</definedName>
    <definedName name="_AtRisk_SimSetting_ShowSimulationProgressWindow" hidden="1">TRUE</definedName>
    <definedName name="_AtRisk_SimSetting_SimNameCount" hidden="1">0</definedName>
    <definedName name="_AtRisk_SimSetting_SmartSensitivityAnalysisEnabled" hidden="1">TRUE</definedName>
    <definedName name="_AtRisk_SimSetting_StatisticFunctionUpdating" hidden="1">1</definedName>
    <definedName name="_AtRisk_SimSetting_StdRecalcActiveSimulationNumber" hidden="1">1</definedName>
    <definedName name="_AtRisk_SimSetting_StdRecalcBehavior" hidden="1">0</definedName>
    <definedName name="_AtRisk_SimSetting_StdRecalcWithoutRiskStatic" hidden="1">0</definedName>
    <definedName name="_AtRisk_SimSetting_StdRecalcWithoutRiskStaticPercentile" hidden="1">0.5</definedName>
    <definedName name="_eps09" localSheetId="19">#REF!</definedName>
    <definedName name="_xlnm._FilterDatabase" localSheetId="17" hidden="1">Unc_Inputs!$A$4:$T$22</definedName>
    <definedName name="_Key1" localSheetId="6" hidden="1">#REF!</definedName>
    <definedName name="_Key1" hidden="1">#REF!</definedName>
    <definedName name="_Key2" localSheetId="6" hidden="1">#REF!</definedName>
    <definedName name="_Key2" hidden="1">#REF!</definedName>
    <definedName name="_Order1" hidden="1">255</definedName>
    <definedName name="_Order2" hidden="1">255</definedName>
    <definedName name="_Regression_Out" localSheetId="6" hidden="1">#REF!</definedName>
    <definedName name="_Regression_Out" localSheetId="18" hidden="1">#REF!</definedName>
    <definedName name="_Regression_Out" hidden="1">#REF!</definedName>
    <definedName name="_Regression_X" localSheetId="6" hidden="1">#REF!</definedName>
    <definedName name="_Regression_X" localSheetId="18" hidden="1">#REF!</definedName>
    <definedName name="_Regression_X" hidden="1">#REF!</definedName>
    <definedName name="_Regression_Y" localSheetId="6" hidden="1">#REF!</definedName>
    <definedName name="_Regression_Y" localSheetId="18" hidden="1">#REF!</definedName>
    <definedName name="_Regression_Y" hidden="1">#REF!</definedName>
    <definedName name="_Sort" localSheetId="6" hidden="1">#REF!</definedName>
    <definedName name="_Sort" localSheetId="18" hidden="1">#REF!</definedName>
    <definedName name="_Sort" hidden="1">#REF!</definedName>
    <definedName name="anscount" hidden="1">1</definedName>
    <definedName name="C_CO2" localSheetId="15">Conversions_Constants!$C$6</definedName>
    <definedName name="Cement2019">Cement!$J$12</definedName>
    <definedName name="CKDCorrection">'Cement Data'!$B$13</definedName>
    <definedName name="clinkerEF">'Cement Data'!$B$12</definedName>
    <definedName name="CO2_C" localSheetId="19">44/12</definedName>
    <definedName name="CRF_CountryName" localSheetId="19">#REF!</definedName>
    <definedName name="CRF_Gases" localSheetId="19">#REF!</definedName>
    <definedName name="CRF_InventoryYear" localSheetId="19">#REF!</definedName>
    <definedName name="CRF_Submission" localSheetId="19">#REF!</definedName>
    <definedName name="CRF_Table2_II_.Fs1_Dyn1A17" localSheetId="19">#REF!</definedName>
    <definedName name="dolomite_conv" localSheetId="19">#REF!</definedName>
    <definedName name="Domestic" localSheetId="19">#REF!</definedName>
    <definedName name="ElectricalTD2019">'IPPU Summary_old format'!$BC$7</definedName>
    <definedName name="ElectricalTransmission2016" localSheetId="6">'IPPU Summary by County'!$AE$7</definedName>
    <definedName name="ElectricalTransmission2016">'IPPU Summary_old format'!$AK$7</definedName>
    <definedName name="g_ft3" localSheetId="15">Conversions_Constants!$C$12</definedName>
    <definedName name="g_lbs" localSheetId="15">Conversions_Constants!$C$7</definedName>
    <definedName name="g_mt" localSheetId="15">Conversions_Constants!$C$13</definedName>
    <definedName name="gal_barrel" localSheetId="15">Conversions_Constants!$C$9</definedName>
    <definedName name="GWP_CH4" localSheetId="19">#REF!</definedName>
    <definedName name="GWP_N2O" localSheetId="19">#REF!</definedName>
    <definedName name="HTML_CodePage" hidden="1">1252</definedName>
    <definedName name="HTML_Control" localSheetId="19" hidden="1">{"'327012'!$A$2:$L$63"}</definedName>
    <definedName name="HTML_Control" localSheetId="18" hidden="1">{"'327012'!$A$2:$L$63"}</definedName>
    <definedName name="HTML_Control" hidden="1">{"'327012'!$A$2:$L$63"}</definedName>
    <definedName name="HTML_Description" hidden="1">""</definedName>
    <definedName name="HTML_Email" hidden="1">""</definedName>
    <definedName name="HTML_Header" hidden="1">""</definedName>
    <definedName name="HTML_LastUpdate" hidden="1">""</definedName>
    <definedName name="HTML_LineAfter" hidden="1">FALSE</definedName>
    <definedName name="HTML_LineBefore" hidden="1">FALSE</definedName>
    <definedName name="HTML_Name" hidden="1">""</definedName>
    <definedName name="HTML_OBDlg2" hidden="1">TRUE</definedName>
    <definedName name="HTML_OBDlg4" hidden="1">TRUE</definedName>
    <definedName name="HTML_OS" hidden="1">0</definedName>
    <definedName name="HTML_PathFile" hidden="1">"N:\Webbank\W6_uploaded\Client_login\CMM_Member_Files\327013_www_01.htm"</definedName>
    <definedName name="HTML_Title" hidden="1">""</definedName>
    <definedName name="HTML1_1" hidden="1">"[mf33e.xls]A!$A$1:$J$79"</definedName>
    <definedName name="HTML1_10" hidden="1">""</definedName>
    <definedName name="HTML1_11" hidden="1">1</definedName>
    <definedName name="HTML1_12" hidden="1">"C:\public\fhwa\SECTION1\mf33e.htm"</definedName>
    <definedName name="HTML1_2" hidden="1">1</definedName>
    <definedName name="HTML1_3" hidden="1">"mf33e"</definedName>
    <definedName name="HTML1_4" hidden="1">"MF33E"</definedName>
    <definedName name="HTML1_5" hidden="1">""</definedName>
    <definedName name="HTML1_6" hidden="1">1</definedName>
    <definedName name="HTML1_7" hidden="1">1</definedName>
    <definedName name="HTML1_8" hidden="1">"3/14/96"</definedName>
    <definedName name="HTML1_9" hidden="1">"Lloyd E Phillips"</definedName>
    <definedName name="HTMLCount" hidden="1">1</definedName>
    <definedName name="Industrial" localSheetId="19">#REF!</definedName>
    <definedName name="kwh_mwh" localSheetId="15">Conversions_Constants!$C$8</definedName>
    <definedName name="lb_Mg" localSheetId="15">Conversions_Constants!$C$10</definedName>
    <definedName name="lbs_shortt" localSheetId="15">Conversions_Constants!$C$5</definedName>
    <definedName name="limestone_conv" localSheetId="19">#REF!</definedName>
    <definedName name="M3_FT3" localSheetId="15">Conversions_Constants!$C$11</definedName>
    <definedName name="MT_MMT" localSheetId="15">Conversions_Constants!$C$3</definedName>
    <definedName name="MT_per_T" localSheetId="15">1/Conversions_Constants!$C$4</definedName>
    <definedName name="MT_ST">0.9072</definedName>
    <definedName name="ODSSubs2016" localSheetId="6">'IPPU Summary by County'!$AE$8</definedName>
    <definedName name="ODSSubs2016">'IPPU Summary_old format'!$AK$8</definedName>
    <definedName name="ODSSubs2019">'IPPU Summary_old format'!$BC$8</definedName>
    <definedName name="Output" localSheetId="19">#REF!</definedName>
    <definedName name="Pal_Workbook_GUID" localSheetId="19" hidden="1">"CF4RRV62LDX43QZQ2WMLJPS9"</definedName>
    <definedName name="Pal_Workbook_GUID" localSheetId="18" hidden="1">"CF4RRV62LDX43QZQ2WMLJPS9"</definedName>
    <definedName name="Pal_Workbook_GUID" hidden="1">"TAUQNPMGNZUAECT9SVDXA1Q9"</definedName>
    <definedName name="PalisadeReportWorkbookCreatedBy">"AtRisk"</definedName>
    <definedName name="RiskAfterRecalcMacro" hidden="1">""</definedName>
    <definedName name="RiskAfterSimMacro" hidden="1">""</definedName>
    <definedName name="RiskAutoStopPercChange">1.5</definedName>
    <definedName name="RiskBeforeRecalcMacro" hidden="1">""</definedName>
    <definedName name="RiskBeforeSimMacro" hidden="1">""</definedName>
    <definedName name="RiskCollectDistributionSamples" hidden="1">2</definedName>
    <definedName name="RiskExcelReportsGoInNewWorkbook" localSheetId="19">TRUE</definedName>
    <definedName name="RiskExcelReportsGoInNewWorkbook">TRUE</definedName>
    <definedName name="RiskExcelReportsToGenerate" localSheetId="19">4011</definedName>
    <definedName name="RiskExcelReportsToGenerate">1965</definedName>
    <definedName name="RiskFixedSeed" hidden="1">1</definedName>
    <definedName name="RiskGenerateExcelReportsAtEndOfSimulation" localSheetId="19">TRUE</definedName>
    <definedName name="RiskGenerateExcelReportsAtEndOfSimulation">TRUE</definedName>
    <definedName name="RiskHasSettings" localSheetId="15">TRUE</definedName>
    <definedName name="RiskHasSettings" localSheetId="1">TRUE</definedName>
    <definedName name="RiskHasSettings" hidden="1">8</definedName>
    <definedName name="RiskIsInput" hidden="1">FALSE</definedName>
    <definedName name="RiskIsOptimization" hidden="1">FALSE</definedName>
    <definedName name="RiskIsOutput" hidden="1">FALSE</definedName>
    <definedName name="RiskIsStatistics" hidden="1">FALSE</definedName>
    <definedName name="RiskMinimizeOnStart" hidden="1">FALSE</definedName>
    <definedName name="RiskMonitorConvergence" hidden="1">FALSE</definedName>
    <definedName name="RiskMultipleCPUSupportEnabled" hidden="1">FALSE</definedName>
    <definedName name="RiskNumIterations" hidden="1">10000</definedName>
    <definedName name="RiskNumSimulations" hidden="1">1</definedName>
    <definedName name="RiskPauseOnError" hidden="1">FALSE</definedName>
    <definedName name="RiskRealTimeResults" localSheetId="19">FALSE</definedName>
    <definedName name="RiskRealTimeResults">FALSE</definedName>
    <definedName name="RiskReportGraphFormat">0</definedName>
    <definedName name="RiskResultsUpdateFreq">100</definedName>
    <definedName name="RiskRunAfterRecalcMacro" hidden="1">FALSE</definedName>
    <definedName name="RiskRunAfterSimMacro" hidden="1">FALSE</definedName>
    <definedName name="RiskRunBeforeRecalcMacro" hidden="1">FALSE</definedName>
    <definedName name="RiskRunBeforeSimMacro" hidden="1">FALSE</definedName>
    <definedName name="RiskSamplingType" hidden="1">2</definedName>
    <definedName name="RiskSelectedCell" localSheetId="19" hidden="1">"$G$31"</definedName>
    <definedName name="RiskSelectedCell" localSheetId="18" hidden="1">"$G$31"</definedName>
    <definedName name="RiskSelectedCell" hidden="1">"$AE$6"</definedName>
    <definedName name="RiskSelectedNameCell1" localSheetId="19" hidden="1">"$C$13"</definedName>
    <definedName name="RiskSelectedNameCell1" localSheetId="18" hidden="1">"$C$13"</definedName>
    <definedName name="RiskSelectedNameCell1" hidden="1">"$A$17"</definedName>
    <definedName name="RiskSelectedNameCell2" localSheetId="19" hidden="1">"$M$6"</definedName>
    <definedName name="RiskSelectedNameCell2" localSheetId="18" hidden="1">"$M$6"</definedName>
    <definedName name="RiskSelectedNameCell2" hidden="1">"$AE$5"</definedName>
    <definedName name="RiskShowRiskWindowAtEndOfSimulation" localSheetId="19">FALSE</definedName>
    <definedName name="RiskShowRiskWindowAtEndOfSimulation">FALSE</definedName>
    <definedName name="RiskStandardRecalc" hidden="1">1</definedName>
    <definedName name="RiskStatFunctionsUpdateFreq">50</definedName>
    <definedName name="RiskTemplateSheetName">"T2.2.Template"</definedName>
    <definedName name="RiskUpdateDisplay" hidden="1">FALSE</definedName>
    <definedName name="RiskUpdateStatFunctions">TRUE</definedName>
    <definedName name="RiskUseDifferentSeedForEachSim" hidden="1">FALSE</definedName>
    <definedName name="RiskUseFixedSeed" hidden="1">FALSE</definedName>
    <definedName name="RiskUseMultipleCPUs" localSheetId="15">FALSE</definedName>
    <definedName name="RiskUseMultipleCPUs" localSheetId="1">FALSE</definedName>
    <definedName name="RiskUseMultipleCPUs" hidden="1">FALSE</definedName>
    <definedName name="sencount" hidden="1">2</definedName>
    <definedName name="Short_Metric" localSheetId="15">Conversions_Constants!$C$4</definedName>
    <definedName name="thousMT_MT">Conversions_Constants!$C$2</definedName>
    <definedName name="Total" localSheetId="19">#REF!</definedName>
    <definedName name="Years">#REF!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23" i="143" l="1"/>
  <c r="D23" i="143"/>
  <c r="E23" i="143"/>
  <c r="F23" i="143"/>
  <c r="G23" i="143"/>
  <c r="H23" i="143"/>
  <c r="I23" i="143"/>
  <c r="J23" i="143"/>
  <c r="B23" i="143"/>
  <c r="I24" i="143"/>
  <c r="J24" i="143"/>
  <c r="I22" i="143"/>
  <c r="J22" i="143"/>
  <c r="I27" i="143"/>
  <c r="J27" i="143"/>
  <c r="C27" i="143"/>
  <c r="D27" i="143"/>
  <c r="E27" i="143"/>
  <c r="F27" i="143"/>
  <c r="G27" i="143"/>
  <c r="H27" i="143"/>
  <c r="B27" i="143"/>
  <c r="C22" i="143"/>
  <c r="D22" i="143"/>
  <c r="E22" i="143"/>
  <c r="F22" i="143"/>
  <c r="G22" i="143"/>
  <c r="H22" i="143"/>
  <c r="B22" i="143"/>
  <c r="C17" i="143"/>
  <c r="D17" i="143"/>
  <c r="E17" i="143"/>
  <c r="F17" i="143"/>
  <c r="G17" i="143"/>
  <c r="H17" i="143"/>
  <c r="I17" i="143"/>
  <c r="J17" i="143"/>
  <c r="B17" i="143"/>
  <c r="B199" i="88" l="1"/>
  <c r="B200" i="88"/>
  <c r="C5" i="88"/>
  <c r="C37" i="88" l="1"/>
  <c r="H228" i="88"/>
  <c r="J228" i="88" s="1"/>
  <c r="I50" i="88" l="1"/>
  <c r="I51" i="88"/>
  <c r="AG52" i="88"/>
  <c r="G52" i="88"/>
  <c r="B64" i="88"/>
  <c r="C29" i="88"/>
  <c r="C26" i="88"/>
  <c r="C24" i="88"/>
  <c r="C30" i="88"/>
  <c r="C33" i="88"/>
  <c r="E13" i="105"/>
  <c r="D27" i="105"/>
  <c r="E17" i="105"/>
  <c r="P69" i="105"/>
  <c r="P70" i="105"/>
  <c r="P71" i="105"/>
  <c r="P72" i="105"/>
  <c r="P73" i="105"/>
  <c r="P74" i="105"/>
  <c r="P75" i="105"/>
  <c r="P76" i="105"/>
  <c r="P77" i="105"/>
  <c r="P78" i="105"/>
  <c r="P79" i="105"/>
  <c r="P80" i="105"/>
  <c r="P81" i="105"/>
  <c r="P82" i="105"/>
  <c r="P68" i="105"/>
  <c r="C7" i="145"/>
  <c r="D7" i="145"/>
  <c r="E7" i="145"/>
  <c r="F7" i="145"/>
  <c r="G7" i="145"/>
  <c r="H7" i="145"/>
  <c r="I7" i="145"/>
  <c r="J7" i="145"/>
  <c r="K7" i="145"/>
  <c r="L7" i="145"/>
  <c r="M7" i="145"/>
  <c r="N7" i="145"/>
  <c r="O7" i="145"/>
  <c r="P7" i="145"/>
  <c r="Q7" i="145"/>
  <c r="R7" i="145"/>
  <c r="S7" i="145"/>
  <c r="T7" i="145"/>
  <c r="U7" i="145"/>
  <c r="V7" i="145"/>
  <c r="W7" i="145"/>
  <c r="X7" i="145"/>
  <c r="Y7" i="145"/>
  <c r="Z7" i="145"/>
  <c r="AA7" i="145"/>
  <c r="AB7" i="145"/>
  <c r="AC7" i="145"/>
  <c r="AD7" i="145"/>
  <c r="AE7" i="145"/>
  <c r="AF7" i="145"/>
  <c r="AG7" i="145"/>
  <c r="AH7" i="145"/>
  <c r="AI7" i="145"/>
  <c r="AJ7" i="145"/>
  <c r="AK7" i="145"/>
  <c r="AL7" i="145"/>
  <c r="AM7" i="145"/>
  <c r="AN7" i="145"/>
  <c r="AO7" i="145"/>
  <c r="AP7" i="145"/>
  <c r="AQ7" i="145"/>
  <c r="AR7" i="145"/>
  <c r="AS7" i="145"/>
  <c r="AT7" i="145"/>
  <c r="AU7" i="145"/>
  <c r="AV7" i="145"/>
  <c r="AW7" i="145"/>
  <c r="AX7" i="145"/>
  <c r="AY7" i="145"/>
  <c r="AZ7" i="145"/>
  <c r="BA7" i="145"/>
  <c r="BB7" i="145"/>
  <c r="BC7" i="145"/>
  <c r="C8" i="145"/>
  <c r="D8" i="145"/>
  <c r="H8" i="145"/>
  <c r="I8" i="145"/>
  <c r="J8" i="145"/>
  <c r="N8" i="145"/>
  <c r="O8" i="145"/>
  <c r="P8" i="145"/>
  <c r="T8" i="145"/>
  <c r="U8" i="145"/>
  <c r="V8" i="145"/>
  <c r="Z8" i="145"/>
  <c r="AA8" i="145"/>
  <c r="AB8" i="145"/>
  <c r="AF8" i="145"/>
  <c r="AG8" i="145"/>
  <c r="AH8" i="145"/>
  <c r="AL8" i="145"/>
  <c r="AM8" i="145"/>
  <c r="AN8" i="145"/>
  <c r="AR8" i="145"/>
  <c r="AS8" i="145"/>
  <c r="AT8" i="145"/>
  <c r="AX8" i="145"/>
  <c r="AY8" i="145"/>
  <c r="AZ8" i="145"/>
  <c r="C9" i="145"/>
  <c r="D9" i="145"/>
  <c r="F9" i="145"/>
  <c r="I9" i="145"/>
  <c r="J9" i="145"/>
  <c r="L9" i="145"/>
  <c r="O9" i="145"/>
  <c r="P9" i="145"/>
  <c r="R9" i="145"/>
  <c r="U9" i="145"/>
  <c r="V9" i="145"/>
  <c r="X9" i="145"/>
  <c r="AA9" i="145"/>
  <c r="AB9" i="145"/>
  <c r="AD9" i="145"/>
  <c r="AG9" i="145"/>
  <c r="AH9" i="145"/>
  <c r="AJ9" i="145"/>
  <c r="AM9" i="145"/>
  <c r="AN9" i="145"/>
  <c r="AP9" i="145"/>
  <c r="AS9" i="145"/>
  <c r="AT9" i="145"/>
  <c r="AV9" i="145"/>
  <c r="AY9" i="145"/>
  <c r="AZ9" i="145"/>
  <c r="BB9" i="145"/>
  <c r="C10" i="145"/>
  <c r="D10" i="145"/>
  <c r="I10" i="145"/>
  <c r="J10" i="145"/>
  <c r="O10" i="145"/>
  <c r="P10" i="145"/>
  <c r="U10" i="145"/>
  <c r="V10" i="145"/>
  <c r="AA10" i="145"/>
  <c r="AB10" i="145"/>
  <c r="AG10" i="145"/>
  <c r="AH10" i="145"/>
  <c r="AM10" i="145"/>
  <c r="AN10" i="145"/>
  <c r="AS10" i="145"/>
  <c r="AT10" i="145"/>
  <c r="AY10" i="145"/>
  <c r="AZ10" i="145"/>
  <c r="B8" i="145"/>
  <c r="B7" i="145"/>
  <c r="BF3" i="140" l="1"/>
  <c r="BG3" i="140"/>
  <c r="BH3" i="140"/>
  <c r="BI3" i="140"/>
  <c r="BE3" i="140"/>
  <c r="B154" i="87" l="1"/>
  <c r="D154" i="87" s="1"/>
  <c r="E154" i="87" s="1"/>
  <c r="C154" i="87"/>
  <c r="B155" i="87"/>
  <c r="D155" i="87" s="1"/>
  <c r="E155" i="87" s="1"/>
  <c r="C155" i="87"/>
  <c r="B156" i="87"/>
  <c r="D156" i="87" s="1"/>
  <c r="E156" i="87" s="1"/>
  <c r="C156" i="87"/>
  <c r="B157" i="87"/>
  <c r="D157" i="87" s="1"/>
  <c r="E157" i="87" s="1"/>
  <c r="C157" i="87"/>
  <c r="B158" i="87"/>
  <c r="D158" i="87" s="1"/>
  <c r="E158" i="87" s="1"/>
  <c r="C158" i="87"/>
  <c r="B159" i="87"/>
  <c r="D159" i="87" s="1"/>
  <c r="E159" i="87" s="1"/>
  <c r="C159" i="87"/>
  <c r="B160" i="87"/>
  <c r="D160" i="87" s="1"/>
  <c r="E160" i="87" s="1"/>
  <c r="C160" i="87"/>
  <c r="B161" i="87"/>
  <c r="D161" i="87" s="1"/>
  <c r="E161" i="87" s="1"/>
  <c r="C161" i="87"/>
  <c r="B162" i="87"/>
  <c r="D162" i="87" s="1"/>
  <c r="E162" i="87" s="1"/>
  <c r="C162" i="87"/>
  <c r="B163" i="87"/>
  <c r="D163" i="87" s="1"/>
  <c r="E163" i="87" s="1"/>
  <c r="C163" i="87"/>
  <c r="B164" i="87"/>
  <c r="D164" i="87" s="1"/>
  <c r="E164" i="87" s="1"/>
  <c r="C164" i="87"/>
  <c r="B165" i="87"/>
  <c r="D165" i="87" s="1"/>
  <c r="E165" i="87" s="1"/>
  <c r="C165" i="87"/>
  <c r="B166" i="87"/>
  <c r="D166" i="87" s="1"/>
  <c r="E166" i="87" s="1"/>
  <c r="C166" i="87"/>
  <c r="B167" i="87"/>
  <c r="D167" i="87" s="1"/>
  <c r="E167" i="87" s="1"/>
  <c r="C167" i="87"/>
  <c r="B168" i="87"/>
  <c r="D168" i="87" s="1"/>
  <c r="E168" i="87" s="1"/>
  <c r="C168" i="87"/>
  <c r="B169" i="87"/>
  <c r="D169" i="87" s="1"/>
  <c r="E169" i="87" s="1"/>
  <c r="C169" i="87"/>
  <c r="B170" i="87"/>
  <c r="D170" i="87" s="1"/>
  <c r="E170" i="87" s="1"/>
  <c r="C170" i="87"/>
  <c r="B171" i="87"/>
  <c r="D171" i="87" s="1"/>
  <c r="E171" i="87" s="1"/>
  <c r="C171" i="87"/>
  <c r="B172" i="87"/>
  <c r="D172" i="87" s="1"/>
  <c r="E172" i="87" s="1"/>
  <c r="C172" i="87"/>
  <c r="B173" i="87"/>
  <c r="D173" i="87" s="1"/>
  <c r="E173" i="87" s="1"/>
  <c r="C173" i="87"/>
  <c r="B174" i="87"/>
  <c r="D174" i="87" s="1"/>
  <c r="E174" i="87" s="1"/>
  <c r="C174" i="87"/>
  <c r="B175" i="87"/>
  <c r="D175" i="87" s="1"/>
  <c r="E175" i="87" s="1"/>
  <c r="C175" i="87"/>
  <c r="B176" i="87"/>
  <c r="D176" i="87" s="1"/>
  <c r="E176" i="87" s="1"/>
  <c r="C176" i="87"/>
  <c r="B177" i="87"/>
  <c r="D177" i="87" s="1"/>
  <c r="E177" i="87" s="1"/>
  <c r="C177" i="87"/>
  <c r="B178" i="87"/>
  <c r="D178" i="87" s="1"/>
  <c r="E178" i="87" s="1"/>
  <c r="C178" i="87"/>
  <c r="B179" i="87"/>
  <c r="D179" i="87" s="1"/>
  <c r="E179" i="87" s="1"/>
  <c r="C179" i="87"/>
  <c r="B180" i="87"/>
  <c r="D180" i="87" s="1"/>
  <c r="E180" i="87" s="1"/>
  <c r="C180" i="87"/>
  <c r="B181" i="87"/>
  <c r="D181" i="87" s="1"/>
  <c r="E181" i="87" s="1"/>
  <c r="C181" i="87"/>
  <c r="B182" i="87"/>
  <c r="D182" i="87" s="1"/>
  <c r="E182" i="87" s="1"/>
  <c r="C182" i="87"/>
  <c r="B183" i="87"/>
  <c r="D183" i="87" s="1"/>
  <c r="E183" i="87" s="1"/>
  <c r="C183" i="87"/>
  <c r="B184" i="87"/>
  <c r="D184" i="87" s="1"/>
  <c r="E184" i="87" s="1"/>
  <c r="C184" i="87"/>
  <c r="B185" i="87"/>
  <c r="D185" i="87" s="1"/>
  <c r="E185" i="87" s="1"/>
  <c r="C185" i="87"/>
  <c r="C153" i="87"/>
  <c r="B153" i="87"/>
  <c r="D153" i="87" s="1"/>
  <c r="E153" i="87" s="1"/>
  <c r="B148" i="87"/>
  <c r="B147" i="87"/>
  <c r="B146" i="87"/>
  <c r="B145" i="87"/>
  <c r="B144" i="87"/>
  <c r="B143" i="87"/>
  <c r="B142" i="87"/>
  <c r="B141" i="87"/>
  <c r="B140" i="87"/>
  <c r="B139" i="87"/>
  <c r="B138" i="87"/>
  <c r="B137" i="87"/>
  <c r="B136" i="87"/>
  <c r="B135" i="87"/>
  <c r="B134" i="87"/>
  <c r="B133" i="87"/>
  <c r="B132" i="87"/>
  <c r="B131" i="87"/>
  <c r="B130" i="87"/>
  <c r="B129" i="87"/>
  <c r="B128" i="87"/>
  <c r="B127" i="87"/>
  <c r="B126" i="87"/>
  <c r="B125" i="87"/>
  <c r="B124" i="87"/>
  <c r="B123" i="87"/>
  <c r="B122" i="87"/>
  <c r="B121" i="87"/>
  <c r="B120" i="87"/>
  <c r="B119" i="87"/>
  <c r="B118" i="87"/>
  <c r="B117" i="87"/>
  <c r="B116" i="87"/>
  <c r="M30" i="87"/>
  <c r="C22" i="87"/>
  <c r="D22" i="87"/>
  <c r="E22" i="87"/>
  <c r="B22" i="87"/>
  <c r="J6" i="105" l="1"/>
  <c r="G6" i="105"/>
  <c r="B8" i="144" l="1"/>
  <c r="C8" i="144"/>
  <c r="D8" i="144"/>
  <c r="H8" i="144"/>
  <c r="I8" i="144"/>
  <c r="J8" i="144"/>
  <c r="N8" i="144"/>
  <c r="O8" i="144"/>
  <c r="P8" i="144"/>
  <c r="T8" i="144"/>
  <c r="U8" i="144"/>
  <c r="V8" i="144"/>
  <c r="Z8" i="144"/>
  <c r="AA8" i="144"/>
  <c r="AB8" i="144"/>
  <c r="AF8" i="144"/>
  <c r="AG8" i="144"/>
  <c r="AH8" i="144"/>
  <c r="AL8" i="144"/>
  <c r="AM8" i="144"/>
  <c r="AN8" i="144"/>
  <c r="AR8" i="144"/>
  <c r="AS8" i="144"/>
  <c r="AT8" i="144"/>
  <c r="AX8" i="144"/>
  <c r="AY8" i="144"/>
  <c r="AZ8" i="144"/>
  <c r="BD8" i="144"/>
  <c r="BE8" i="144"/>
  <c r="BF8" i="144"/>
  <c r="BJ8" i="144"/>
  <c r="BK8" i="144"/>
  <c r="BL8" i="144"/>
  <c r="C9" i="144"/>
  <c r="D9" i="144"/>
  <c r="F9" i="144"/>
  <c r="I9" i="144"/>
  <c r="J9" i="144"/>
  <c r="L9" i="144"/>
  <c r="O9" i="144"/>
  <c r="P9" i="144"/>
  <c r="R9" i="144"/>
  <c r="U9" i="144"/>
  <c r="V9" i="144"/>
  <c r="X9" i="144"/>
  <c r="AA9" i="144"/>
  <c r="AB9" i="144"/>
  <c r="AD9" i="144"/>
  <c r="AG9" i="144"/>
  <c r="AH9" i="144"/>
  <c r="AJ9" i="144"/>
  <c r="AM9" i="144"/>
  <c r="AN9" i="144"/>
  <c r="AP9" i="144"/>
  <c r="AS9" i="144"/>
  <c r="AT9" i="144"/>
  <c r="AV9" i="144"/>
  <c r="AY9" i="144"/>
  <c r="AZ9" i="144"/>
  <c r="BB9" i="144"/>
  <c r="BE9" i="144"/>
  <c r="BF9" i="144"/>
  <c r="BH9" i="144"/>
  <c r="BK9" i="144"/>
  <c r="BL9" i="144"/>
  <c r="BN9" i="144"/>
  <c r="C10" i="144"/>
  <c r="D10" i="144"/>
  <c r="I10" i="144"/>
  <c r="J10" i="144"/>
  <c r="O10" i="144"/>
  <c r="P10" i="144"/>
  <c r="U10" i="144"/>
  <c r="V10" i="144"/>
  <c r="AA10" i="144"/>
  <c r="AB10" i="144"/>
  <c r="AG10" i="144"/>
  <c r="AH10" i="144"/>
  <c r="AM10" i="144"/>
  <c r="AN10" i="144"/>
  <c r="AS10" i="144"/>
  <c r="AT10" i="144"/>
  <c r="AY10" i="144"/>
  <c r="AZ10" i="144"/>
  <c r="BE10" i="144"/>
  <c r="BF10" i="144"/>
  <c r="BK10" i="144"/>
  <c r="BL10" i="144"/>
  <c r="C7" i="144"/>
  <c r="D7" i="144"/>
  <c r="E7" i="144"/>
  <c r="F7" i="144"/>
  <c r="I7" i="144"/>
  <c r="J7" i="144"/>
  <c r="K7" i="144"/>
  <c r="L7" i="144"/>
  <c r="O7" i="144"/>
  <c r="P7" i="144"/>
  <c r="Q7" i="144"/>
  <c r="R7" i="144"/>
  <c r="U7" i="144"/>
  <c r="V7" i="144"/>
  <c r="W7" i="144"/>
  <c r="X7" i="144"/>
  <c r="AA7" i="144"/>
  <c r="AB7" i="144"/>
  <c r="AC7" i="144"/>
  <c r="AD7" i="144"/>
  <c r="AG7" i="144"/>
  <c r="AH7" i="144"/>
  <c r="AI7" i="144"/>
  <c r="AJ7" i="144"/>
  <c r="AM7" i="144"/>
  <c r="AN7" i="144"/>
  <c r="AO7" i="144"/>
  <c r="AP7" i="144"/>
  <c r="AS7" i="144"/>
  <c r="AT7" i="144"/>
  <c r="AU7" i="144"/>
  <c r="AV7" i="144"/>
  <c r="AY7" i="144"/>
  <c r="AZ7" i="144"/>
  <c r="BA7" i="144"/>
  <c r="BB7" i="144"/>
  <c r="BE7" i="144"/>
  <c r="BF7" i="144"/>
  <c r="BG7" i="144"/>
  <c r="BH7" i="144"/>
  <c r="BK7" i="144"/>
  <c r="BL7" i="144"/>
  <c r="BM7" i="144"/>
  <c r="BN7" i="144"/>
  <c r="C61" i="88" l="1"/>
  <c r="C46" i="88" s="1"/>
  <c r="D61" i="88"/>
  <c r="E61" i="88"/>
  <c r="F61" i="88"/>
  <c r="G61" i="88"/>
  <c r="G46" i="88" s="1"/>
  <c r="H61" i="88"/>
  <c r="I61" i="88"/>
  <c r="J61" i="88"/>
  <c r="K61" i="88"/>
  <c r="L61" i="88"/>
  <c r="M61" i="88"/>
  <c r="N61" i="88"/>
  <c r="O61" i="88"/>
  <c r="P61" i="88"/>
  <c r="P46" i="88" s="1"/>
  <c r="Q61" i="88"/>
  <c r="R61" i="88"/>
  <c r="S61" i="88"/>
  <c r="T61" i="88"/>
  <c r="U61" i="88"/>
  <c r="V61" i="88"/>
  <c r="W61" i="88"/>
  <c r="X61" i="88"/>
  <c r="Y61" i="88"/>
  <c r="Z61" i="88"/>
  <c r="AA61" i="88"/>
  <c r="AB61" i="88"/>
  <c r="AC61" i="88"/>
  <c r="AD61" i="88"/>
  <c r="AE61" i="88"/>
  <c r="AF61" i="88"/>
  <c r="AG61" i="88"/>
  <c r="AG46" i="88" s="1"/>
  <c r="AH61" i="88"/>
  <c r="C62" i="88"/>
  <c r="D62" i="88"/>
  <c r="E62" i="88"/>
  <c r="F62" i="88"/>
  <c r="G62" i="88"/>
  <c r="H62" i="88"/>
  <c r="I62" i="88"/>
  <c r="J62" i="88"/>
  <c r="K62" i="88"/>
  <c r="L62" i="88"/>
  <c r="M62" i="88"/>
  <c r="N62" i="88"/>
  <c r="O62" i="88"/>
  <c r="P62" i="88"/>
  <c r="Q62" i="88"/>
  <c r="R62" i="88"/>
  <c r="S62" i="88"/>
  <c r="T62" i="88"/>
  <c r="U62" i="88"/>
  <c r="V62" i="88"/>
  <c r="W62" i="88"/>
  <c r="X62" i="88"/>
  <c r="Y62" i="88"/>
  <c r="Z62" i="88"/>
  <c r="AA62" i="88"/>
  <c r="AB62" i="88"/>
  <c r="AC62" i="88"/>
  <c r="AD62" i="88"/>
  <c r="AE62" i="88"/>
  <c r="AF62" i="88"/>
  <c r="AG62" i="88"/>
  <c r="AH62" i="88"/>
  <c r="C63" i="88"/>
  <c r="D63" i="88"/>
  <c r="E63" i="88"/>
  <c r="F63" i="88"/>
  <c r="G63" i="88"/>
  <c r="H63" i="88"/>
  <c r="I63" i="88"/>
  <c r="J63" i="88"/>
  <c r="K63" i="88"/>
  <c r="L63" i="88"/>
  <c r="M63" i="88"/>
  <c r="N63" i="88"/>
  <c r="O63" i="88"/>
  <c r="P63" i="88"/>
  <c r="Q63" i="88"/>
  <c r="R63" i="88"/>
  <c r="S63" i="88"/>
  <c r="T63" i="88"/>
  <c r="U63" i="88"/>
  <c r="V63" i="88"/>
  <c r="W63" i="88"/>
  <c r="X63" i="88"/>
  <c r="Y63" i="88"/>
  <c r="Z63" i="88"/>
  <c r="AA63" i="88"/>
  <c r="AB63" i="88"/>
  <c r="AC63" i="88"/>
  <c r="AD63" i="88"/>
  <c r="AE63" i="88"/>
  <c r="AF63" i="88"/>
  <c r="AG63" i="88"/>
  <c r="AH63" i="88"/>
  <c r="C64" i="88"/>
  <c r="D64" i="88"/>
  <c r="E64" i="88"/>
  <c r="F64" i="88"/>
  <c r="G64" i="88"/>
  <c r="H64" i="88"/>
  <c r="I64" i="88"/>
  <c r="J64" i="88"/>
  <c r="K64" i="88"/>
  <c r="L64" i="88"/>
  <c r="M64" i="88"/>
  <c r="N64" i="88"/>
  <c r="O64" i="88"/>
  <c r="P64" i="88"/>
  <c r="Q64" i="88"/>
  <c r="R64" i="88"/>
  <c r="S64" i="88"/>
  <c r="T64" i="88"/>
  <c r="U64" i="88"/>
  <c r="V64" i="88"/>
  <c r="W64" i="88"/>
  <c r="X64" i="88"/>
  <c r="Y64" i="88"/>
  <c r="Z64" i="88"/>
  <c r="AA64" i="88"/>
  <c r="AB64" i="88"/>
  <c r="AC64" i="88"/>
  <c r="AD64" i="88"/>
  <c r="AE64" i="88"/>
  <c r="AF64" i="88"/>
  <c r="AG64" i="88"/>
  <c r="AH64" i="88"/>
  <c r="C65" i="88"/>
  <c r="D65" i="88"/>
  <c r="E65" i="88"/>
  <c r="F65" i="88"/>
  <c r="G65" i="88"/>
  <c r="H65" i="88"/>
  <c r="I65" i="88"/>
  <c r="J65" i="88"/>
  <c r="K65" i="88"/>
  <c r="L65" i="88"/>
  <c r="M65" i="88"/>
  <c r="N65" i="88"/>
  <c r="O65" i="88"/>
  <c r="P65" i="88"/>
  <c r="Q65" i="88"/>
  <c r="R65" i="88"/>
  <c r="S65" i="88"/>
  <c r="T65" i="88"/>
  <c r="U65" i="88"/>
  <c r="V65" i="88"/>
  <c r="W65" i="88"/>
  <c r="X65" i="88"/>
  <c r="Y65" i="88"/>
  <c r="Z65" i="88"/>
  <c r="AA65" i="88"/>
  <c r="AB65" i="88"/>
  <c r="AC65" i="88"/>
  <c r="AD65" i="88"/>
  <c r="AE65" i="88"/>
  <c r="AF65" i="88"/>
  <c r="AG65" i="88"/>
  <c r="AH65" i="88"/>
  <c r="C66" i="88"/>
  <c r="C47" i="88" s="1"/>
  <c r="D66" i="88"/>
  <c r="D47" i="88" s="1"/>
  <c r="E66" i="88"/>
  <c r="F66" i="88"/>
  <c r="G66" i="88"/>
  <c r="G47" i="88" s="1"/>
  <c r="H66" i="88"/>
  <c r="I66" i="88"/>
  <c r="J66" i="88"/>
  <c r="K66" i="88"/>
  <c r="L66" i="88"/>
  <c r="M66" i="88"/>
  <c r="M47" i="88" s="1"/>
  <c r="N66" i="88"/>
  <c r="O66" i="88"/>
  <c r="P66" i="88"/>
  <c r="Q66" i="88"/>
  <c r="R66" i="88"/>
  <c r="S66" i="88"/>
  <c r="T66" i="88"/>
  <c r="U66" i="88"/>
  <c r="V66" i="88"/>
  <c r="W66" i="88"/>
  <c r="X66" i="88"/>
  <c r="Y66" i="88"/>
  <c r="Z66" i="88"/>
  <c r="AA66" i="88"/>
  <c r="AB66" i="88"/>
  <c r="AC66" i="88"/>
  <c r="AD66" i="88"/>
  <c r="AE66" i="88"/>
  <c r="AF66" i="88"/>
  <c r="AG66" i="88"/>
  <c r="AH66" i="88"/>
  <c r="C67" i="88"/>
  <c r="D67" i="88"/>
  <c r="E67" i="88"/>
  <c r="F67" i="88"/>
  <c r="G67" i="88"/>
  <c r="G48" i="88" s="1"/>
  <c r="H67" i="88"/>
  <c r="I67" i="88"/>
  <c r="J67" i="88"/>
  <c r="K67" i="88"/>
  <c r="L67" i="88"/>
  <c r="M67" i="88"/>
  <c r="M48" i="88" s="1"/>
  <c r="N67" i="88"/>
  <c r="O67" i="88"/>
  <c r="P67" i="88"/>
  <c r="Q67" i="88"/>
  <c r="R67" i="88"/>
  <c r="S67" i="88"/>
  <c r="T67" i="88"/>
  <c r="U67" i="88"/>
  <c r="V67" i="88"/>
  <c r="W67" i="88"/>
  <c r="X67" i="88"/>
  <c r="Y67" i="88"/>
  <c r="Z67" i="88"/>
  <c r="AA67" i="88"/>
  <c r="AB67" i="88"/>
  <c r="AC67" i="88"/>
  <c r="AD67" i="88"/>
  <c r="AE67" i="88"/>
  <c r="AF67" i="88"/>
  <c r="AG67" i="88"/>
  <c r="AH67" i="88"/>
  <c r="C68" i="88"/>
  <c r="D68" i="88"/>
  <c r="E68" i="88"/>
  <c r="F68" i="88"/>
  <c r="G68" i="88"/>
  <c r="H68" i="88"/>
  <c r="I68" i="88"/>
  <c r="J68" i="88"/>
  <c r="K68" i="88"/>
  <c r="L68" i="88"/>
  <c r="M68" i="88"/>
  <c r="N68" i="88"/>
  <c r="O68" i="88"/>
  <c r="P68" i="88"/>
  <c r="Q68" i="88"/>
  <c r="R68" i="88"/>
  <c r="S68" i="88"/>
  <c r="T68" i="88"/>
  <c r="U68" i="88"/>
  <c r="V68" i="88"/>
  <c r="W68" i="88"/>
  <c r="X68" i="88"/>
  <c r="Y68" i="88"/>
  <c r="Z68" i="88"/>
  <c r="AA68" i="88"/>
  <c r="AB68" i="88"/>
  <c r="AC68" i="88"/>
  <c r="AD68" i="88"/>
  <c r="AE68" i="88"/>
  <c r="AF68" i="88"/>
  <c r="AG68" i="88"/>
  <c r="AH68" i="88"/>
  <c r="B62" i="88"/>
  <c r="B63" i="88"/>
  <c r="B65" i="88"/>
  <c r="B66" i="88"/>
  <c r="B47" i="88" s="1"/>
  <c r="B67" i="88"/>
  <c r="B68" i="88"/>
  <c r="B61" i="88"/>
  <c r="B46" i="88" s="1"/>
  <c r="AH54" i="88"/>
  <c r="AG54" i="88"/>
  <c r="AF54" i="88"/>
  <c r="AE54" i="88"/>
  <c r="AD54" i="88"/>
  <c r="AC54" i="88"/>
  <c r="AB54" i="88"/>
  <c r="AA54" i="88"/>
  <c r="Z54" i="88"/>
  <c r="Y54" i="88"/>
  <c r="X54" i="88"/>
  <c r="W54" i="88"/>
  <c r="V54" i="88"/>
  <c r="U54" i="88"/>
  <c r="T54" i="88"/>
  <c r="S54" i="88"/>
  <c r="R54" i="88"/>
  <c r="Q54" i="88"/>
  <c r="P54" i="88"/>
  <c r="O54" i="88"/>
  <c r="N54" i="88"/>
  <c r="M54" i="88"/>
  <c r="L54" i="88"/>
  <c r="K54" i="88"/>
  <c r="J54" i="88"/>
  <c r="I54" i="88"/>
  <c r="H54" i="88"/>
  <c r="G54" i="88"/>
  <c r="F54" i="88"/>
  <c r="E54" i="88"/>
  <c r="D54" i="88"/>
  <c r="C54" i="88"/>
  <c r="AH53" i="88"/>
  <c r="AG53" i="88"/>
  <c r="AF53" i="88"/>
  <c r="AE53" i="88"/>
  <c r="AD53" i="88"/>
  <c r="AC53" i="88"/>
  <c r="AB53" i="88"/>
  <c r="AA53" i="88"/>
  <c r="Z53" i="88"/>
  <c r="Y53" i="88"/>
  <c r="X53" i="88"/>
  <c r="W53" i="88"/>
  <c r="V53" i="88"/>
  <c r="U53" i="88"/>
  <c r="T53" i="88"/>
  <c r="S53" i="88"/>
  <c r="R53" i="88"/>
  <c r="Q53" i="88"/>
  <c r="P53" i="88"/>
  <c r="O53" i="88"/>
  <c r="N53" i="88"/>
  <c r="M53" i="88"/>
  <c r="L53" i="88"/>
  <c r="K53" i="88"/>
  <c r="J53" i="88"/>
  <c r="I53" i="88"/>
  <c r="H53" i="88"/>
  <c r="G53" i="88"/>
  <c r="F53" i="88"/>
  <c r="E53" i="88"/>
  <c r="D53" i="88"/>
  <c r="C53" i="88"/>
  <c r="AH52" i="88"/>
  <c r="AF52" i="88"/>
  <c r="AE52" i="88"/>
  <c r="AD52" i="88"/>
  <c r="AC52" i="88"/>
  <c r="AB52" i="88"/>
  <c r="AA52" i="88"/>
  <c r="Z52" i="88"/>
  <c r="Y52" i="88"/>
  <c r="X52" i="88"/>
  <c r="W52" i="88"/>
  <c r="V52" i="88"/>
  <c r="U52" i="88"/>
  <c r="T52" i="88"/>
  <c r="S52" i="88"/>
  <c r="R52" i="88"/>
  <c r="Q52" i="88"/>
  <c r="P52" i="88"/>
  <c r="O52" i="88"/>
  <c r="N52" i="88"/>
  <c r="M52" i="88"/>
  <c r="L52" i="88"/>
  <c r="K52" i="88"/>
  <c r="J52" i="88"/>
  <c r="I52" i="88"/>
  <c r="H52" i="88"/>
  <c r="F52" i="88"/>
  <c r="E52" i="88"/>
  <c r="D52" i="88"/>
  <c r="C52" i="88"/>
  <c r="AH51" i="88"/>
  <c r="AG51" i="88"/>
  <c r="AF51" i="88"/>
  <c r="AE51" i="88"/>
  <c r="AD51" i="88"/>
  <c r="AC51" i="88"/>
  <c r="AB51" i="88"/>
  <c r="AA51" i="88"/>
  <c r="Z51" i="88"/>
  <c r="Y51" i="88"/>
  <c r="X51" i="88"/>
  <c r="W51" i="88"/>
  <c r="V51" i="88"/>
  <c r="U51" i="88"/>
  <c r="T51" i="88"/>
  <c r="S51" i="88"/>
  <c r="R51" i="88"/>
  <c r="Q51" i="88"/>
  <c r="P51" i="88"/>
  <c r="O51" i="88"/>
  <c r="N51" i="88"/>
  <c r="M51" i="88"/>
  <c r="L51" i="88"/>
  <c r="K51" i="88"/>
  <c r="J51" i="88"/>
  <c r="H51" i="88"/>
  <c r="G51" i="88"/>
  <c r="F51" i="88"/>
  <c r="E51" i="88"/>
  <c r="D51" i="88"/>
  <c r="C51" i="88"/>
  <c r="AH50" i="88"/>
  <c r="AG50" i="88"/>
  <c r="AF50" i="88"/>
  <c r="AE50" i="88"/>
  <c r="AD50" i="88"/>
  <c r="AC50" i="88"/>
  <c r="AB50" i="88"/>
  <c r="AA50" i="88"/>
  <c r="Z50" i="88"/>
  <c r="Y50" i="88"/>
  <c r="X50" i="88"/>
  <c r="W50" i="88"/>
  <c r="V50" i="88"/>
  <c r="U50" i="88"/>
  <c r="T50" i="88"/>
  <c r="S50" i="88"/>
  <c r="R50" i="88"/>
  <c r="Q50" i="88"/>
  <c r="P50" i="88"/>
  <c r="O50" i="88"/>
  <c r="N50" i="88"/>
  <c r="M50" i="88"/>
  <c r="L50" i="88"/>
  <c r="K50" i="88"/>
  <c r="J50" i="88"/>
  <c r="H50" i="88"/>
  <c r="G50" i="88"/>
  <c r="F50" i="88"/>
  <c r="E50" i="88"/>
  <c r="D50" i="88"/>
  <c r="C50" i="88"/>
  <c r="B51" i="88"/>
  <c r="B52" i="88"/>
  <c r="B53" i="88"/>
  <c r="B54" i="88"/>
  <c r="B50" i="88"/>
  <c r="L49" i="88" l="1"/>
  <c r="AD84" i="95"/>
  <c r="AD46" i="95"/>
  <c r="AD65" i="95"/>
  <c r="AD160" i="95"/>
  <c r="AD141" i="95"/>
  <c r="AD122" i="95"/>
  <c r="AD103" i="95"/>
  <c r="AG49" i="88"/>
  <c r="O48" i="88"/>
  <c r="I207" i="88"/>
  <c r="N207" i="88" s="1"/>
  <c r="I208" i="88"/>
  <c r="N208" i="88" s="1"/>
  <c r="I209" i="88"/>
  <c r="N209" i="88" s="1"/>
  <c r="I210" i="88"/>
  <c r="N210" i="88" s="1"/>
  <c r="I211" i="88"/>
  <c r="N211" i="88" s="1"/>
  <c r="I212" i="88"/>
  <c r="N212" i="88" s="1"/>
  <c r="E130" i="95" s="1"/>
  <c r="I213" i="88"/>
  <c r="N213" i="88" s="1"/>
  <c r="I214" i="88"/>
  <c r="I215" i="88"/>
  <c r="N215" i="88" s="1"/>
  <c r="I216" i="88"/>
  <c r="N216" i="88" s="1"/>
  <c r="I217" i="88"/>
  <c r="N217" i="88" s="1"/>
  <c r="G130" i="95" s="1"/>
  <c r="I218" i="88"/>
  <c r="N218" i="88" s="1"/>
  <c r="I219" i="88"/>
  <c r="N219" i="88" s="1"/>
  <c r="I220" i="88"/>
  <c r="N220" i="88" s="1"/>
  <c r="I221" i="88"/>
  <c r="N221" i="88" s="1"/>
  <c r="I222" i="88"/>
  <c r="N222" i="88" s="1"/>
  <c r="H130" i="95" s="1"/>
  <c r="I223" i="88"/>
  <c r="N223" i="88" s="1"/>
  <c r="I130" i="95" s="1"/>
  <c r="I224" i="88"/>
  <c r="I225" i="88"/>
  <c r="N225" i="88" s="1"/>
  <c r="K130" i="95" s="1"/>
  <c r="I226" i="88"/>
  <c r="N226" i="88" s="1"/>
  <c r="L130" i="95" s="1"/>
  <c r="I227" i="88"/>
  <c r="N227" i="88" s="1"/>
  <c r="M130" i="95" s="1"/>
  <c r="I228" i="88"/>
  <c r="L228" i="88" s="1"/>
  <c r="N111" i="95" s="1"/>
  <c r="I229" i="88"/>
  <c r="N229" i="88" s="1"/>
  <c r="O130" i="95" s="1"/>
  <c r="I206" i="88"/>
  <c r="N206" i="88" s="1"/>
  <c r="D130" i="95" s="1"/>
  <c r="H207" i="88"/>
  <c r="K207" i="88" s="1"/>
  <c r="H208" i="88"/>
  <c r="K208" i="88" s="1"/>
  <c r="H209" i="88"/>
  <c r="K209" i="88" s="1"/>
  <c r="H210" i="88"/>
  <c r="K210" i="88" s="1"/>
  <c r="H211" i="88"/>
  <c r="K211" i="88" s="1"/>
  <c r="H212" i="88"/>
  <c r="K212" i="88" s="1"/>
  <c r="E92" i="95" s="1"/>
  <c r="H213" i="88"/>
  <c r="K213" i="88" s="1"/>
  <c r="H214" i="88"/>
  <c r="K214" i="88" s="1"/>
  <c r="F92" i="95" s="1"/>
  <c r="H215" i="88"/>
  <c r="K215" i="88" s="1"/>
  <c r="H216" i="88"/>
  <c r="K216" i="88" s="1"/>
  <c r="H217" i="88"/>
  <c r="K217" i="88" s="1"/>
  <c r="G92" i="95" s="1"/>
  <c r="H218" i="88"/>
  <c r="K218" i="88" s="1"/>
  <c r="H219" i="88"/>
  <c r="K219" i="88" s="1"/>
  <c r="H220" i="88"/>
  <c r="K220" i="88" s="1"/>
  <c r="H221" i="88"/>
  <c r="K221" i="88" s="1"/>
  <c r="H222" i="88"/>
  <c r="K222" i="88" s="1"/>
  <c r="H92" i="95" s="1"/>
  <c r="H223" i="88"/>
  <c r="H224" i="88"/>
  <c r="K224" i="88" s="1"/>
  <c r="J92" i="95" s="1"/>
  <c r="H225" i="88"/>
  <c r="H226" i="88"/>
  <c r="H227" i="88"/>
  <c r="K227" i="88" s="1"/>
  <c r="M92" i="95" s="1"/>
  <c r="N73" i="95"/>
  <c r="H229" i="88"/>
  <c r="H206" i="88"/>
  <c r="G207" i="88"/>
  <c r="G208" i="88"/>
  <c r="G209" i="88"/>
  <c r="G210" i="88"/>
  <c r="G211" i="88"/>
  <c r="G212" i="88"/>
  <c r="E54" i="95" s="1"/>
  <c r="G213" i="88"/>
  <c r="G214" i="88"/>
  <c r="F54" i="95" s="1"/>
  <c r="G215" i="88"/>
  <c r="G216" i="88"/>
  <c r="G217" i="88"/>
  <c r="G54" i="95" s="1"/>
  <c r="G218" i="88"/>
  <c r="G219" i="88"/>
  <c r="G220" i="88"/>
  <c r="G221" i="88"/>
  <c r="G222" i="88"/>
  <c r="H54" i="95" s="1"/>
  <c r="G223" i="88"/>
  <c r="I54" i="95" s="1"/>
  <c r="G224" i="88"/>
  <c r="J54" i="95" s="1"/>
  <c r="G225" i="88"/>
  <c r="K54" i="95" s="1"/>
  <c r="G226" i="88"/>
  <c r="L54" i="95" s="1"/>
  <c r="G227" i="88"/>
  <c r="M54" i="95" s="1"/>
  <c r="G228" i="88"/>
  <c r="N54" i="95" s="1"/>
  <c r="G229" i="88"/>
  <c r="O54" i="95" s="1"/>
  <c r="G206" i="88"/>
  <c r="D54" i="95" s="1"/>
  <c r="F207" i="88"/>
  <c r="F208" i="88"/>
  <c r="F209" i="88"/>
  <c r="F210" i="88"/>
  <c r="F211" i="88"/>
  <c r="F212" i="88"/>
  <c r="E168" i="95" s="1"/>
  <c r="F213" i="88"/>
  <c r="F214" i="88"/>
  <c r="F168" i="95" s="1"/>
  <c r="F215" i="88"/>
  <c r="F216" i="88"/>
  <c r="F217" i="88"/>
  <c r="G168" i="95" s="1"/>
  <c r="F218" i="88"/>
  <c r="F219" i="88"/>
  <c r="F220" i="88"/>
  <c r="F221" i="88"/>
  <c r="F222" i="88"/>
  <c r="H168" i="95" s="1"/>
  <c r="F223" i="88"/>
  <c r="I168" i="95" s="1"/>
  <c r="F224" i="88"/>
  <c r="J168" i="95" s="1"/>
  <c r="F225" i="88"/>
  <c r="K168" i="95" s="1"/>
  <c r="F226" i="88"/>
  <c r="L168" i="95" s="1"/>
  <c r="F227" i="88"/>
  <c r="M168" i="95" s="1"/>
  <c r="F228" i="88"/>
  <c r="N168" i="95" s="1"/>
  <c r="F229" i="88"/>
  <c r="O168" i="95" s="1"/>
  <c r="F206" i="88"/>
  <c r="D168" i="95" s="1"/>
  <c r="K226" i="88" l="1"/>
  <c r="L92" i="95" s="1"/>
  <c r="N214" i="88"/>
  <c r="F130" i="95" s="1"/>
  <c r="L214" i="88"/>
  <c r="K229" i="88"/>
  <c r="O92" i="95" s="1"/>
  <c r="J229" i="88"/>
  <c r="K223" i="88"/>
  <c r="I92" i="95" s="1"/>
  <c r="K225" i="88"/>
  <c r="K92" i="95" s="1"/>
  <c r="N224" i="88"/>
  <c r="J130" i="95" s="1"/>
  <c r="L224" i="88"/>
  <c r="J111" i="95" s="1"/>
  <c r="K206" i="88"/>
  <c r="D92" i="95" s="1"/>
  <c r="J206" i="88"/>
  <c r="D73" i="95" s="1"/>
  <c r="J212" i="88"/>
  <c r="E73" i="95" s="1"/>
  <c r="L220" i="88"/>
  <c r="M228" i="88"/>
  <c r="N149" i="95" s="1"/>
  <c r="M220" i="88"/>
  <c r="M212" i="88"/>
  <c r="E149" i="95" s="1"/>
  <c r="J227" i="88"/>
  <c r="M73" i="95" s="1"/>
  <c r="J219" i="88"/>
  <c r="J211" i="88"/>
  <c r="L227" i="88"/>
  <c r="M111" i="95" s="1"/>
  <c r="L219" i="88"/>
  <c r="L211" i="88"/>
  <c r="M227" i="88"/>
  <c r="M149" i="95" s="1"/>
  <c r="M219" i="88"/>
  <c r="M211" i="88"/>
  <c r="K228" i="88"/>
  <c r="N92" i="95" s="1"/>
  <c r="J226" i="88"/>
  <c r="L73" i="95" s="1"/>
  <c r="J218" i="88"/>
  <c r="J210" i="88"/>
  <c r="L226" i="88"/>
  <c r="L111" i="95" s="1"/>
  <c r="L218" i="88"/>
  <c r="L210" i="88"/>
  <c r="M226" i="88"/>
  <c r="L149" i="95" s="1"/>
  <c r="M218" i="88"/>
  <c r="M210" i="88"/>
  <c r="J220" i="88"/>
  <c r="J225" i="88"/>
  <c r="K73" i="95" s="1"/>
  <c r="J217" i="88"/>
  <c r="G73" i="95" s="1"/>
  <c r="J209" i="88"/>
  <c r="L225" i="88"/>
  <c r="K111" i="95" s="1"/>
  <c r="L217" i="88"/>
  <c r="G111" i="95" s="1"/>
  <c r="L209" i="88"/>
  <c r="M225" i="88"/>
  <c r="K149" i="95" s="1"/>
  <c r="M217" i="88"/>
  <c r="G149" i="95" s="1"/>
  <c r="M209" i="88"/>
  <c r="L212" i="88"/>
  <c r="E111" i="95" s="1"/>
  <c r="N228" i="88"/>
  <c r="N130" i="95" s="1"/>
  <c r="J224" i="88"/>
  <c r="J73" i="95" s="1"/>
  <c r="J216" i="88"/>
  <c r="J208" i="88"/>
  <c r="L216" i="88"/>
  <c r="L208" i="88"/>
  <c r="M224" i="88"/>
  <c r="J149" i="95" s="1"/>
  <c r="M216" i="88"/>
  <c r="M208" i="88"/>
  <c r="J223" i="88"/>
  <c r="I73" i="95" s="1"/>
  <c r="J215" i="88"/>
  <c r="J207" i="88"/>
  <c r="L223" i="88"/>
  <c r="I111" i="95" s="1"/>
  <c r="L215" i="88"/>
  <c r="L207" i="88"/>
  <c r="M223" i="88"/>
  <c r="I149" i="95" s="1"/>
  <c r="M215" i="88"/>
  <c r="M207" i="88"/>
  <c r="J222" i="88"/>
  <c r="H73" i="95" s="1"/>
  <c r="J214" i="88"/>
  <c r="F73" i="95" s="1"/>
  <c r="L206" i="88"/>
  <c r="D111" i="95" s="1"/>
  <c r="L222" i="88"/>
  <c r="H111" i="95" s="1"/>
  <c r="F111" i="95"/>
  <c r="M206" i="88"/>
  <c r="D149" i="95" s="1"/>
  <c r="M222" i="88"/>
  <c r="H149" i="95" s="1"/>
  <c r="M214" i="88"/>
  <c r="F149" i="95" s="1"/>
  <c r="O73" i="95"/>
  <c r="J221" i="88"/>
  <c r="J213" i="88"/>
  <c r="L229" i="88"/>
  <c r="O111" i="95" s="1"/>
  <c r="L221" i="88"/>
  <c r="L213" i="88"/>
  <c r="M229" i="88"/>
  <c r="O149" i="95" s="1"/>
  <c r="M221" i="88"/>
  <c r="M213" i="88"/>
  <c r="E81" i="88" l="1"/>
  <c r="J16" i="87"/>
  <c r="J14" i="87"/>
  <c r="J13" i="87"/>
  <c r="J12" i="87"/>
  <c r="J11" i="87"/>
  <c r="J10" i="87"/>
  <c r="K16" i="87"/>
  <c r="K14" i="87"/>
  <c r="K13" i="87"/>
  <c r="K12" i="87"/>
  <c r="K11" i="87"/>
  <c r="K10" i="87"/>
  <c r="L16" i="87"/>
  <c r="L14" i="87"/>
  <c r="L13" i="87"/>
  <c r="L12" i="87"/>
  <c r="L11" i="87"/>
  <c r="L10" i="87"/>
  <c r="M14" i="87"/>
  <c r="M16" i="87"/>
  <c r="M13" i="87"/>
  <c r="M12" i="87"/>
  <c r="M10" i="87"/>
  <c r="M11" i="87"/>
  <c r="D207" i="88" a="1"/>
  <c r="D207" i="88" s="1"/>
  <c r="D156" i="88"/>
  <c r="C121" i="88"/>
  <c r="M9" i="87" l="1"/>
  <c r="K9" i="87"/>
  <c r="L9" i="87"/>
  <c r="D99" i="87" l="1"/>
  <c r="D100" i="87"/>
  <c r="D101" i="87"/>
  <c r="D102" i="87"/>
  <c r="D103" i="87"/>
  <c r="D104" i="87"/>
  <c r="D105" i="87"/>
  <c r="D106" i="87"/>
  <c r="D107" i="87"/>
  <c r="D108" i="87"/>
  <c r="D109" i="87"/>
  <c r="D110" i="87"/>
  <c r="D98" i="87"/>
  <c r="E98" i="87"/>
  <c r="E106" i="87"/>
  <c r="E105" i="87"/>
  <c r="C31" i="88"/>
  <c r="H6" i="105" s="1"/>
  <c r="BQ9" i="102"/>
  <c r="BR9" i="102"/>
  <c r="C13" i="105" l="1"/>
  <c r="C20" i="105" l="1"/>
  <c r="E107" i="87" l="1"/>
  <c r="D20" i="105"/>
  <c r="E20" i="105"/>
  <c r="F20" i="105"/>
  <c r="G20" i="105"/>
  <c r="H20" i="105"/>
  <c r="I20" i="105"/>
  <c r="J20" i="105"/>
  <c r="K20" i="105"/>
  <c r="L20" i="105"/>
  <c r="M20" i="105"/>
  <c r="N20" i="105"/>
  <c r="O35" i="142"/>
  <c r="O36" i="142"/>
  <c r="O37" i="142"/>
  <c r="O28" i="142"/>
  <c r="O29" i="142"/>
  <c r="O10" i="142"/>
  <c r="O11" i="142"/>
  <c r="C54" i="85"/>
  <c r="D54" i="85"/>
  <c r="E54" i="85"/>
  <c r="F54" i="85"/>
  <c r="G54" i="85"/>
  <c r="H54" i="85"/>
  <c r="I54" i="85"/>
  <c r="J54" i="85"/>
  <c r="K54" i="85"/>
  <c r="L54" i="85"/>
  <c r="M54" i="85"/>
  <c r="B54" i="85"/>
  <c r="M9" i="84"/>
  <c r="M8" i="84"/>
  <c r="B8" i="84"/>
  <c r="U164" i="95"/>
  <c r="Z164" i="95"/>
  <c r="U145" i="95"/>
  <c r="Z145" i="95"/>
  <c r="Q160" i="95"/>
  <c r="Q141" i="95"/>
  <c r="U126" i="95"/>
  <c r="Z126" i="95"/>
  <c r="Q122" i="95"/>
  <c r="U107" i="95"/>
  <c r="Z107" i="95"/>
  <c r="Q103" i="95"/>
  <c r="U88" i="95"/>
  <c r="Z88" i="95"/>
  <c r="Q84" i="95"/>
  <c r="O132" i="95"/>
  <c r="O112" i="95"/>
  <c r="O93" i="95"/>
  <c r="U69" i="95"/>
  <c r="Z69" i="95"/>
  <c r="Q65" i="95"/>
  <c r="O58" i="95"/>
  <c r="O74" i="95"/>
  <c r="U50" i="95"/>
  <c r="Z50" i="95"/>
  <c r="Q46" i="95"/>
  <c r="O134" i="95" l="1"/>
  <c r="O133" i="95"/>
  <c r="O131" i="95"/>
  <c r="O114" i="95"/>
  <c r="O169" i="95"/>
  <c r="O170" i="95"/>
  <c r="O171" i="95"/>
  <c r="O172" i="95"/>
  <c r="O115" i="95"/>
  <c r="O113" i="95"/>
  <c r="O153" i="95"/>
  <c r="O151" i="95"/>
  <c r="O152" i="95"/>
  <c r="O96" i="95"/>
  <c r="O150" i="95"/>
  <c r="O95" i="95"/>
  <c r="O94" i="95"/>
  <c r="O57" i="95"/>
  <c r="O56" i="95"/>
  <c r="O55" i="95"/>
  <c r="O77" i="95"/>
  <c r="O76" i="95"/>
  <c r="O75" i="95"/>
  <c r="H16" i="95" l="1"/>
  <c r="M16" i="95"/>
  <c r="H15" i="95"/>
  <c r="M15" i="95"/>
  <c r="D10" i="95"/>
  <c r="L6" i="87"/>
  <c r="L8" i="85" s="1"/>
  <c r="M6" i="87"/>
  <c r="M8" i="85" s="1"/>
  <c r="B6" i="87"/>
  <c r="B8" i="85" s="1"/>
  <c r="I99" i="87"/>
  <c r="I100" i="87"/>
  <c r="I101" i="87"/>
  <c r="I102" i="87"/>
  <c r="I103" i="87"/>
  <c r="F5" i="87" s="1"/>
  <c r="F7" i="85" s="1"/>
  <c r="I104" i="87"/>
  <c r="G5" i="87" s="1"/>
  <c r="G7" i="85" s="1"/>
  <c r="I105" i="87"/>
  <c r="H5" i="87" s="1"/>
  <c r="H7" i="85" s="1"/>
  <c r="I106" i="87"/>
  <c r="I5" i="87" s="1"/>
  <c r="I7" i="85" s="1"/>
  <c r="I107" i="87"/>
  <c r="J5" i="87" s="1"/>
  <c r="J7" i="85" s="1"/>
  <c r="I108" i="87"/>
  <c r="K5" i="87" s="1"/>
  <c r="K7" i="85" s="1"/>
  <c r="I109" i="87"/>
  <c r="L5" i="87" s="1"/>
  <c r="L7" i="85" s="1"/>
  <c r="I110" i="87"/>
  <c r="M5" i="87" s="1"/>
  <c r="M7" i="85" s="1"/>
  <c r="I98" i="87"/>
  <c r="E5" i="87" s="1"/>
  <c r="E7" i="85" s="1"/>
  <c r="H99" i="87"/>
  <c r="H100" i="87"/>
  <c r="H101" i="87"/>
  <c r="H102" i="87"/>
  <c r="H103" i="87"/>
  <c r="H104" i="87"/>
  <c r="H105" i="87"/>
  <c r="H106" i="87"/>
  <c r="H107" i="87"/>
  <c r="H108" i="87"/>
  <c r="H109" i="87"/>
  <c r="H110" i="87"/>
  <c r="H98" i="87"/>
  <c r="F110" i="87"/>
  <c r="F98" i="87"/>
  <c r="F99" i="87"/>
  <c r="F100" i="87"/>
  <c r="F101" i="87"/>
  <c r="F102" i="87"/>
  <c r="F103" i="87"/>
  <c r="F104" i="87"/>
  <c r="F105" i="87"/>
  <c r="F106" i="87"/>
  <c r="F107" i="87"/>
  <c r="F108" i="87"/>
  <c r="F109" i="87"/>
  <c r="E99" i="87"/>
  <c r="E100" i="87"/>
  <c r="E101" i="87"/>
  <c r="E102" i="87"/>
  <c r="E103" i="87"/>
  <c r="E104" i="87"/>
  <c r="E108" i="87"/>
  <c r="E109" i="87"/>
  <c r="E110" i="87"/>
  <c r="B5" i="87"/>
  <c r="B7" i="85" s="1"/>
  <c r="C5" i="87"/>
  <c r="C7" i="85" s="1"/>
  <c r="D5" i="87"/>
  <c r="D7" i="85" s="1"/>
  <c r="B4" i="87"/>
  <c r="B6" i="85" s="1"/>
  <c r="C4" i="87"/>
  <c r="C6" i="85" s="1"/>
  <c r="B9" i="85" l="1"/>
  <c r="C71" i="85"/>
  <c r="M62" i="85"/>
  <c r="M26" i="85"/>
  <c r="M56" i="85"/>
  <c r="M50" i="85"/>
  <c r="M44" i="85"/>
  <c r="M32" i="85"/>
  <c r="M38" i="85"/>
  <c r="M25" i="85"/>
  <c r="M37" i="85"/>
  <c r="M61" i="85"/>
  <c r="M31" i="85"/>
  <c r="M55" i="85"/>
  <c r="M57" i="85" s="1"/>
  <c r="M49" i="85"/>
  <c r="M43" i="85"/>
  <c r="B55" i="87"/>
  <c r="B56" i="87"/>
  <c r="B57" i="87"/>
  <c r="B58" i="87"/>
  <c r="F22" i="87" s="1"/>
  <c r="B59" i="87"/>
  <c r="G22" i="87" s="1"/>
  <c r="B60" i="87"/>
  <c r="H22" i="87" s="1"/>
  <c r="B61" i="87"/>
  <c r="I22" i="87" s="1"/>
  <c r="B62" i="87"/>
  <c r="J22" i="87" s="1"/>
  <c r="B63" i="87"/>
  <c r="K22" i="87" s="1"/>
  <c r="B64" i="87"/>
  <c r="L22" i="87" s="1"/>
  <c r="B65" i="87"/>
  <c r="M22" i="87" s="1"/>
  <c r="M23" i="87" s="1"/>
  <c r="B54" i="87"/>
  <c r="F185" i="87" l="1"/>
  <c r="H18" i="95"/>
  <c r="I18" i="95"/>
  <c r="J18" i="95"/>
  <c r="K18" i="95"/>
  <c r="L18" i="95"/>
  <c r="M18" i="95"/>
  <c r="N18" i="95"/>
  <c r="O18" i="95"/>
  <c r="E18" i="95"/>
  <c r="F18" i="95"/>
  <c r="G18" i="95"/>
  <c r="M4" i="87"/>
  <c r="M6" i="85" s="1"/>
  <c r="L4" i="87"/>
  <c r="L6" i="85" s="1"/>
  <c r="K4" i="87"/>
  <c r="K6" i="85" s="1"/>
  <c r="J4" i="87"/>
  <c r="J6" i="85" s="1"/>
  <c r="I4" i="87"/>
  <c r="I6" i="85" s="1"/>
  <c r="H4" i="87"/>
  <c r="H6" i="85" s="1"/>
  <c r="G4" i="87"/>
  <c r="G6" i="85" s="1"/>
  <c r="F4" i="87"/>
  <c r="F6" i="85" s="1"/>
  <c r="N5" i="105"/>
  <c r="J71" i="85" l="1"/>
  <c r="L9" i="85"/>
  <c r="L71" i="85"/>
  <c r="M9" i="85"/>
  <c r="M71" i="85"/>
  <c r="M70" i="85"/>
  <c r="I71" i="85"/>
  <c r="F71" i="85"/>
  <c r="G71" i="85"/>
  <c r="K71" i="85"/>
  <c r="H71" i="85"/>
  <c r="O200" i="88"/>
  <c r="O199" i="88"/>
  <c r="O198" i="88"/>
  <c r="O197" i="88"/>
  <c r="O196" i="88"/>
  <c r="O195" i="88"/>
  <c r="O194" i="88"/>
  <c r="O193" i="88"/>
  <c r="O192" i="88"/>
  <c r="O191" i="88"/>
  <c r="O190" i="88"/>
  <c r="O189" i="88"/>
  <c r="O188" i="88"/>
  <c r="O187" i="88"/>
  <c r="O186" i="88"/>
  <c r="O185" i="88"/>
  <c r="O184" i="88"/>
  <c r="O183" i="88"/>
  <c r="O182" i="88"/>
  <c r="O181" i="88"/>
  <c r="O180" i="88"/>
  <c r="O179" i="88"/>
  <c r="O178" i="88"/>
  <c r="O177" i="88"/>
  <c r="O176" i="88"/>
  <c r="O175" i="88"/>
  <c r="O174" i="88"/>
  <c r="O173" i="88"/>
  <c r="K174" i="88"/>
  <c r="K175" i="88"/>
  <c r="K176" i="88"/>
  <c r="K177" i="88"/>
  <c r="K178" i="88"/>
  <c r="K179" i="88"/>
  <c r="K180" i="88"/>
  <c r="K181" i="88"/>
  <c r="K182" i="88"/>
  <c r="K183" i="88"/>
  <c r="K184" i="88"/>
  <c r="K185" i="88"/>
  <c r="K186" i="88"/>
  <c r="K187" i="88"/>
  <c r="K188" i="88"/>
  <c r="K189" i="88"/>
  <c r="K190" i="88"/>
  <c r="K191" i="88"/>
  <c r="K192" i="88"/>
  <c r="K193" i="88"/>
  <c r="K194" i="88"/>
  <c r="K195" i="88"/>
  <c r="K196" i="88"/>
  <c r="K197" i="88"/>
  <c r="K198" i="88"/>
  <c r="K199" i="88"/>
  <c r="K200" i="88"/>
  <c r="K173" i="88"/>
  <c r="G174" i="88"/>
  <c r="G175" i="88"/>
  <c r="G176" i="88"/>
  <c r="G177" i="88"/>
  <c r="G178" i="88"/>
  <c r="G179" i="88"/>
  <c r="G180" i="88"/>
  <c r="G181" i="88"/>
  <c r="G182" i="88"/>
  <c r="G183" i="88"/>
  <c r="G184" i="88"/>
  <c r="G185" i="88"/>
  <c r="G186" i="88"/>
  <c r="G187" i="88"/>
  <c r="G188" i="88"/>
  <c r="G189" i="88"/>
  <c r="G190" i="88"/>
  <c r="G191" i="88"/>
  <c r="G192" i="88"/>
  <c r="G193" i="88"/>
  <c r="G194" i="88"/>
  <c r="G195" i="88"/>
  <c r="G196" i="88"/>
  <c r="G197" i="88"/>
  <c r="G198" i="88"/>
  <c r="G199" i="88"/>
  <c r="G200" i="88"/>
  <c r="G173" i="88"/>
  <c r="C174" i="88"/>
  <c r="C175" i="88"/>
  <c r="C176" i="88"/>
  <c r="C177" i="88"/>
  <c r="C178" i="88"/>
  <c r="C179" i="88"/>
  <c r="C180" i="88"/>
  <c r="C181" i="88"/>
  <c r="C182" i="88"/>
  <c r="C183" i="88"/>
  <c r="C184" i="88"/>
  <c r="C185" i="88"/>
  <c r="C186" i="88"/>
  <c r="C187" i="88"/>
  <c r="C188" i="88"/>
  <c r="C189" i="88"/>
  <c r="C190" i="88"/>
  <c r="C191" i="88"/>
  <c r="C192" i="88"/>
  <c r="C193" i="88"/>
  <c r="C194" i="88"/>
  <c r="C195" i="88"/>
  <c r="C196" i="88"/>
  <c r="C197" i="88"/>
  <c r="C198" i="88"/>
  <c r="C199" i="88"/>
  <c r="C200" i="88"/>
  <c r="C173" i="88"/>
  <c r="B174" i="88"/>
  <c r="B175" i="88"/>
  <c r="B176" i="88"/>
  <c r="B177" i="88"/>
  <c r="B178" i="88"/>
  <c r="B179" i="88"/>
  <c r="B180" i="88"/>
  <c r="B181" i="88"/>
  <c r="B182" i="88"/>
  <c r="B183" i="88"/>
  <c r="B184" i="88"/>
  <c r="B185" i="88"/>
  <c r="B186" i="88"/>
  <c r="B187" i="88"/>
  <c r="B188" i="88"/>
  <c r="B189" i="88"/>
  <c r="B190" i="88"/>
  <c r="B191" i="88"/>
  <c r="B192" i="88"/>
  <c r="B193" i="88"/>
  <c r="B194" i="88"/>
  <c r="B195" i="88"/>
  <c r="B196" i="88"/>
  <c r="B197" i="88"/>
  <c r="B198" i="88"/>
  <c r="B173" i="88"/>
  <c r="B149" i="88"/>
  <c r="B120" i="88"/>
  <c r="B121" i="88"/>
  <c r="AH82" i="88"/>
  <c r="C82" i="88"/>
  <c r="D82" i="88"/>
  <c r="E82" i="88"/>
  <c r="F82" i="88"/>
  <c r="G82" i="88"/>
  <c r="H82" i="88"/>
  <c r="I82" i="88"/>
  <c r="J82" i="88"/>
  <c r="K82" i="88"/>
  <c r="L82" i="88"/>
  <c r="M82" i="88"/>
  <c r="N82" i="88"/>
  <c r="O82" i="88"/>
  <c r="P82" i="88"/>
  <c r="Q82" i="88"/>
  <c r="R82" i="88"/>
  <c r="S82" i="88"/>
  <c r="T82" i="88"/>
  <c r="U82" i="88"/>
  <c r="V82" i="88"/>
  <c r="W82" i="88"/>
  <c r="X82" i="88"/>
  <c r="Y82" i="88"/>
  <c r="Z82" i="88"/>
  <c r="AA82" i="88"/>
  <c r="AB82" i="88"/>
  <c r="AC82" i="88"/>
  <c r="AD82" i="88"/>
  <c r="AE82" i="88"/>
  <c r="AF82" i="88"/>
  <c r="AG82" i="88"/>
  <c r="B82" i="88"/>
  <c r="B75" i="88"/>
  <c r="C75" i="88"/>
  <c r="D75" i="88"/>
  <c r="E75" i="88"/>
  <c r="F75" i="88"/>
  <c r="G75" i="88"/>
  <c r="H75" i="88"/>
  <c r="I75" i="88"/>
  <c r="J75" i="88"/>
  <c r="K75" i="88"/>
  <c r="L75" i="88"/>
  <c r="M75" i="88"/>
  <c r="N75" i="88"/>
  <c r="O75" i="88"/>
  <c r="P75" i="88"/>
  <c r="Q75" i="88"/>
  <c r="R75" i="88"/>
  <c r="S75" i="88"/>
  <c r="T75" i="88"/>
  <c r="U75" i="88"/>
  <c r="V75" i="88"/>
  <c r="W75" i="88"/>
  <c r="X75" i="88"/>
  <c r="Y75" i="88"/>
  <c r="Z75" i="88"/>
  <c r="AA75" i="88"/>
  <c r="AB75" i="88"/>
  <c r="AC75" i="88"/>
  <c r="AD75" i="88"/>
  <c r="AE75" i="88"/>
  <c r="AF75" i="88"/>
  <c r="AG75" i="88"/>
  <c r="AH75" i="88"/>
  <c r="B76" i="88"/>
  <c r="C76" i="88"/>
  <c r="D76" i="88"/>
  <c r="E76" i="88"/>
  <c r="F76" i="88"/>
  <c r="G76" i="88"/>
  <c r="H76" i="88"/>
  <c r="I76" i="88"/>
  <c r="J76" i="88"/>
  <c r="K76" i="88"/>
  <c r="L76" i="88"/>
  <c r="M76" i="88"/>
  <c r="N76" i="88"/>
  <c r="O76" i="88"/>
  <c r="P76" i="88"/>
  <c r="Q76" i="88"/>
  <c r="R76" i="88"/>
  <c r="S76" i="88"/>
  <c r="T76" i="88"/>
  <c r="U76" i="88"/>
  <c r="V76" i="88"/>
  <c r="W76" i="88"/>
  <c r="X76" i="88"/>
  <c r="Y76" i="88"/>
  <c r="Z76" i="88"/>
  <c r="AA76" i="88"/>
  <c r="AB76" i="88"/>
  <c r="AC76" i="88"/>
  <c r="AD76" i="88"/>
  <c r="AE76" i="88"/>
  <c r="AF76" i="88"/>
  <c r="AG76" i="88"/>
  <c r="AH76" i="88"/>
  <c r="B77" i="88"/>
  <c r="C77" i="88"/>
  <c r="D77" i="88"/>
  <c r="E77" i="88"/>
  <c r="F77" i="88"/>
  <c r="G77" i="88"/>
  <c r="H77" i="88"/>
  <c r="I77" i="88"/>
  <c r="J77" i="88"/>
  <c r="K77" i="88"/>
  <c r="L77" i="88"/>
  <c r="M77" i="88"/>
  <c r="N77" i="88"/>
  <c r="O77" i="88"/>
  <c r="P77" i="88"/>
  <c r="Q77" i="88"/>
  <c r="R77" i="88"/>
  <c r="S77" i="88"/>
  <c r="T77" i="88"/>
  <c r="U77" i="88"/>
  <c r="V77" i="88"/>
  <c r="W77" i="88"/>
  <c r="X77" i="88"/>
  <c r="Y77" i="88"/>
  <c r="Z77" i="88"/>
  <c r="AA77" i="88"/>
  <c r="AB77" i="88"/>
  <c r="AC77" i="88"/>
  <c r="AD77" i="88"/>
  <c r="AE77" i="88"/>
  <c r="AF77" i="88"/>
  <c r="AG77" i="88"/>
  <c r="AH77" i="88"/>
  <c r="B78" i="88"/>
  <c r="C78" i="88"/>
  <c r="D78" i="88"/>
  <c r="E78" i="88"/>
  <c r="F78" i="88"/>
  <c r="G78" i="88"/>
  <c r="H78" i="88"/>
  <c r="I78" i="88"/>
  <c r="J78" i="88"/>
  <c r="K78" i="88"/>
  <c r="L78" i="88"/>
  <c r="M78" i="88"/>
  <c r="N78" i="88"/>
  <c r="O78" i="88"/>
  <c r="P78" i="88"/>
  <c r="Q78" i="88"/>
  <c r="R78" i="88"/>
  <c r="S78" i="88"/>
  <c r="T78" i="88"/>
  <c r="U78" i="88"/>
  <c r="V78" i="88"/>
  <c r="W78" i="88"/>
  <c r="X78" i="88"/>
  <c r="Y78" i="88"/>
  <c r="Z78" i="88"/>
  <c r="AA78" i="88"/>
  <c r="AB78" i="88"/>
  <c r="AC78" i="88"/>
  <c r="AD78" i="88"/>
  <c r="AE78" i="88"/>
  <c r="AF78" i="88"/>
  <c r="AG78" i="88"/>
  <c r="AH78" i="88"/>
  <c r="B79" i="88"/>
  <c r="C79" i="88"/>
  <c r="D79" i="88"/>
  <c r="E79" i="88"/>
  <c r="F79" i="88"/>
  <c r="G79" i="88"/>
  <c r="H79" i="88"/>
  <c r="I79" i="88"/>
  <c r="J79" i="88"/>
  <c r="K79" i="88"/>
  <c r="L79" i="88"/>
  <c r="M79" i="88"/>
  <c r="N79" i="88"/>
  <c r="O79" i="88"/>
  <c r="P79" i="88"/>
  <c r="Q79" i="88"/>
  <c r="R79" i="88"/>
  <c r="S79" i="88"/>
  <c r="T79" i="88"/>
  <c r="U79" i="88"/>
  <c r="V79" i="88"/>
  <c r="W79" i="88"/>
  <c r="X79" i="88"/>
  <c r="Y79" i="88"/>
  <c r="Z79" i="88"/>
  <c r="AA79" i="88"/>
  <c r="AB79" i="88"/>
  <c r="AC79" i="88"/>
  <c r="AD79" i="88"/>
  <c r="AE79" i="88"/>
  <c r="AF79" i="88"/>
  <c r="AG79" i="88"/>
  <c r="AH79" i="88"/>
  <c r="B80" i="88"/>
  <c r="C80" i="88"/>
  <c r="D80" i="88"/>
  <c r="E80" i="88"/>
  <c r="F80" i="88"/>
  <c r="G80" i="88"/>
  <c r="H80" i="88"/>
  <c r="I80" i="88"/>
  <c r="J80" i="88"/>
  <c r="K80" i="88"/>
  <c r="L80" i="88"/>
  <c r="M80" i="88"/>
  <c r="N80" i="88"/>
  <c r="O80" i="88"/>
  <c r="P80" i="88"/>
  <c r="Q80" i="88"/>
  <c r="R80" i="88"/>
  <c r="S80" i="88"/>
  <c r="T80" i="88"/>
  <c r="U80" i="88"/>
  <c r="V80" i="88"/>
  <c r="W80" i="88"/>
  <c r="X80" i="88"/>
  <c r="Y80" i="88"/>
  <c r="Z80" i="88"/>
  <c r="AA80" i="88"/>
  <c r="AB80" i="88"/>
  <c r="AC80" i="88"/>
  <c r="AD80" i="88"/>
  <c r="AE80" i="88"/>
  <c r="AF80" i="88"/>
  <c r="AG80" i="88"/>
  <c r="AH80" i="88"/>
  <c r="B81" i="88"/>
  <c r="C81" i="88"/>
  <c r="D81" i="88"/>
  <c r="F81" i="88"/>
  <c r="G81" i="88"/>
  <c r="H81" i="88"/>
  <c r="I81" i="88"/>
  <c r="J81" i="88"/>
  <c r="K81" i="88"/>
  <c r="L81" i="88"/>
  <c r="M81" i="88"/>
  <c r="N81" i="88"/>
  <c r="O81" i="88"/>
  <c r="P81" i="88"/>
  <c r="Q81" i="88"/>
  <c r="R81" i="88"/>
  <c r="S81" i="88"/>
  <c r="T81" i="88"/>
  <c r="U81" i="88"/>
  <c r="V81" i="88"/>
  <c r="W81" i="88"/>
  <c r="X81" i="88"/>
  <c r="Y81" i="88"/>
  <c r="Z81" i="88"/>
  <c r="AA81" i="88"/>
  <c r="AB81" i="88"/>
  <c r="AC81" i="88"/>
  <c r="AD81" i="88"/>
  <c r="AE81" i="88"/>
  <c r="AF81" i="88"/>
  <c r="AG81" i="88"/>
  <c r="AH81" i="88"/>
  <c r="C74" i="88"/>
  <c r="D74" i="88"/>
  <c r="E74" i="88"/>
  <c r="F74" i="88"/>
  <c r="G74" i="88"/>
  <c r="H74" i="88"/>
  <c r="I74" i="88"/>
  <c r="J74" i="88"/>
  <c r="K74" i="88"/>
  <c r="L74" i="88"/>
  <c r="M74" i="88"/>
  <c r="N74" i="88"/>
  <c r="O74" i="88"/>
  <c r="P74" i="88"/>
  <c r="Q74" i="88"/>
  <c r="R74" i="88"/>
  <c r="S74" i="88"/>
  <c r="T74" i="88"/>
  <c r="U74" i="88"/>
  <c r="V74" i="88"/>
  <c r="W74" i="88"/>
  <c r="X74" i="88"/>
  <c r="Y74" i="88"/>
  <c r="Z74" i="88"/>
  <c r="AA74" i="88"/>
  <c r="AB74" i="88"/>
  <c r="AC74" i="88"/>
  <c r="AD74" i="88"/>
  <c r="AE74" i="88"/>
  <c r="AF74" i="88"/>
  <c r="AG74" i="88"/>
  <c r="AH74" i="88"/>
  <c r="B74" i="88"/>
  <c r="BT7" i="102" l="1"/>
  <c r="M77" i="85"/>
  <c r="BT9" i="102"/>
  <c r="O34" i="142"/>
  <c r="BS7" i="102"/>
  <c r="BU7" i="102" s="1"/>
  <c r="O33" i="142"/>
  <c r="M73" i="85"/>
  <c r="M74" i="85" s="1"/>
  <c r="C36" i="88"/>
  <c r="M6" i="105" s="1"/>
  <c r="C35" i="88"/>
  <c r="L6" i="105" s="1"/>
  <c r="C25" i="88"/>
  <c r="F6" i="105" s="1"/>
  <c r="C19" i="88"/>
  <c r="C17" i="88"/>
  <c r="C15" i="88"/>
  <c r="C12" i="88"/>
  <c r="C11" i="88"/>
  <c r="C14" i="88"/>
  <c r="C13" i="88"/>
  <c r="C10" i="88"/>
  <c r="C9" i="88"/>
  <c r="C7" i="88"/>
  <c r="C6" i="88"/>
  <c r="C8" i="88"/>
  <c r="C34" i="88"/>
  <c r="K6" i="105" s="1"/>
  <c r="C21" i="105"/>
  <c r="N27" i="105"/>
  <c r="M27" i="105"/>
  <c r="L27" i="105"/>
  <c r="K27" i="105"/>
  <c r="J27" i="105"/>
  <c r="I27" i="105"/>
  <c r="H27" i="105"/>
  <c r="G27" i="105"/>
  <c r="F27" i="105"/>
  <c r="E27" i="105"/>
  <c r="N26" i="105"/>
  <c r="M26" i="105"/>
  <c r="L26" i="105"/>
  <c r="K26" i="105"/>
  <c r="J26" i="105"/>
  <c r="I26" i="105"/>
  <c r="H26" i="105"/>
  <c r="G26" i="105"/>
  <c r="F26" i="105"/>
  <c r="E26" i="105"/>
  <c r="D26" i="105"/>
  <c r="N25" i="105"/>
  <c r="M25" i="105"/>
  <c r="L25" i="105"/>
  <c r="K25" i="105"/>
  <c r="J25" i="105"/>
  <c r="I25" i="105"/>
  <c r="H25" i="105"/>
  <c r="G25" i="105"/>
  <c r="F25" i="105"/>
  <c r="E25" i="105"/>
  <c r="D25" i="105"/>
  <c r="N24" i="105"/>
  <c r="M24" i="105"/>
  <c r="L24" i="105"/>
  <c r="K24" i="105"/>
  <c r="J24" i="105"/>
  <c r="I24" i="105"/>
  <c r="H24" i="105"/>
  <c r="G24" i="105"/>
  <c r="F24" i="105"/>
  <c r="E24" i="105"/>
  <c r="D24" i="105"/>
  <c r="N23" i="105"/>
  <c r="M23" i="105"/>
  <c r="L23" i="105"/>
  <c r="K23" i="105"/>
  <c r="J23" i="105"/>
  <c r="I23" i="105"/>
  <c r="H23" i="105"/>
  <c r="G23" i="105"/>
  <c r="F23" i="105"/>
  <c r="E23" i="105"/>
  <c r="D23" i="105"/>
  <c r="N22" i="105"/>
  <c r="M22" i="105"/>
  <c r="L22" i="105"/>
  <c r="K22" i="105"/>
  <c r="J22" i="105"/>
  <c r="I22" i="105"/>
  <c r="H22" i="105"/>
  <c r="G22" i="105"/>
  <c r="F22" i="105"/>
  <c r="E22" i="105"/>
  <c r="D22" i="105"/>
  <c r="C22" i="105"/>
  <c r="C23" i="105"/>
  <c r="C24" i="105"/>
  <c r="C25" i="105"/>
  <c r="C26" i="105"/>
  <c r="C27" i="105"/>
  <c r="D21" i="105"/>
  <c r="E21" i="105"/>
  <c r="F21" i="105"/>
  <c r="G21" i="105"/>
  <c r="H21" i="105"/>
  <c r="I21" i="105"/>
  <c r="J21" i="105"/>
  <c r="K21" i="105"/>
  <c r="L21" i="105"/>
  <c r="M21" i="105"/>
  <c r="N21" i="105"/>
  <c r="C18" i="105"/>
  <c r="D19" i="105"/>
  <c r="E19" i="105"/>
  <c r="E38" i="105" s="1"/>
  <c r="F19" i="105"/>
  <c r="G19" i="105"/>
  <c r="H19" i="105"/>
  <c r="I19" i="105"/>
  <c r="J19" i="105"/>
  <c r="K19" i="105"/>
  <c r="L19" i="105"/>
  <c r="M19" i="105"/>
  <c r="N19" i="105"/>
  <c r="D18" i="105"/>
  <c r="E18" i="105"/>
  <c r="F18" i="105"/>
  <c r="G18" i="105"/>
  <c r="H18" i="105"/>
  <c r="I18" i="105"/>
  <c r="J18" i="105"/>
  <c r="K18" i="105"/>
  <c r="L18" i="105"/>
  <c r="M18" i="105"/>
  <c r="N18" i="105"/>
  <c r="D17" i="105"/>
  <c r="F17" i="105"/>
  <c r="F36" i="105" s="1"/>
  <c r="G17" i="105"/>
  <c r="H17" i="105"/>
  <c r="I17" i="105"/>
  <c r="J17" i="105"/>
  <c r="K17" i="105"/>
  <c r="L17" i="105"/>
  <c r="M17" i="105"/>
  <c r="N17" i="105"/>
  <c r="D16" i="105"/>
  <c r="E16" i="105"/>
  <c r="F16" i="105"/>
  <c r="G16" i="105"/>
  <c r="H16" i="105"/>
  <c r="I16" i="105"/>
  <c r="J16" i="105"/>
  <c r="K16" i="105"/>
  <c r="L16" i="105"/>
  <c r="M16" i="105"/>
  <c r="N16" i="105"/>
  <c r="D15" i="105"/>
  <c r="E15" i="105"/>
  <c r="F15" i="105"/>
  <c r="G15" i="105"/>
  <c r="H15" i="105"/>
  <c r="I15" i="105"/>
  <c r="J15" i="105"/>
  <c r="K15" i="105"/>
  <c r="L15" i="105"/>
  <c r="M15" i="105"/>
  <c r="N15" i="105"/>
  <c r="E14" i="105"/>
  <c r="D14" i="105"/>
  <c r="F14" i="105"/>
  <c r="G14" i="105"/>
  <c r="H14" i="105"/>
  <c r="I14" i="105"/>
  <c r="J14" i="105"/>
  <c r="K14" i="105"/>
  <c r="L14" i="105"/>
  <c r="M14" i="105"/>
  <c r="N14" i="105"/>
  <c r="C14" i="105"/>
  <c r="F13" i="105"/>
  <c r="G13" i="105"/>
  <c r="H13" i="105"/>
  <c r="I13" i="105"/>
  <c r="J13" i="105"/>
  <c r="K13" i="105"/>
  <c r="L13" i="105"/>
  <c r="M13" i="105"/>
  <c r="N13" i="105"/>
  <c r="D13" i="105"/>
  <c r="C17" i="105"/>
  <c r="C15" i="105"/>
  <c r="C16" i="105"/>
  <c r="C19" i="105"/>
  <c r="M76" i="85" l="1"/>
  <c r="D25" i="95"/>
  <c r="C6" i="105"/>
  <c r="O38" i="142"/>
  <c r="N32" i="105" l="1"/>
  <c r="B9" i="87"/>
  <c r="H164" i="95"/>
  <c r="H50" i="95"/>
  <c r="H126" i="95"/>
  <c r="M164" i="95"/>
  <c r="M50" i="95"/>
  <c r="M126" i="95"/>
  <c r="B156" i="88"/>
  <c r="D160" i="88"/>
  <c r="D159" i="88"/>
  <c r="D158" i="88"/>
  <c r="D157" i="88"/>
  <c r="D155" i="88"/>
  <c r="D154" i="88"/>
  <c r="D153" i="88"/>
  <c r="D152" i="88"/>
  <c r="D151" i="88"/>
  <c r="D150" i="88"/>
  <c r="D149" i="88"/>
  <c r="C150" i="88"/>
  <c r="C151" i="88"/>
  <c r="C152" i="88"/>
  <c r="C153" i="88"/>
  <c r="C154" i="88"/>
  <c r="C155" i="88"/>
  <c r="C156" i="88"/>
  <c r="C157" i="88"/>
  <c r="C158" i="88"/>
  <c r="C159" i="88"/>
  <c r="C160" i="88"/>
  <c r="C149" i="88"/>
  <c r="B150" i="88"/>
  <c r="B151" i="88"/>
  <c r="B152" i="88"/>
  <c r="B153" i="88"/>
  <c r="B154" i="88"/>
  <c r="B155" i="88"/>
  <c r="B157" i="88"/>
  <c r="B158" i="88"/>
  <c r="B159" i="88"/>
  <c r="B160" i="88"/>
  <c r="M5" i="105"/>
  <c r="L5" i="105"/>
  <c r="K5" i="105"/>
  <c r="J5" i="105"/>
  <c r="I5" i="105"/>
  <c r="H5" i="105"/>
  <c r="G5" i="105"/>
  <c r="F5" i="105"/>
  <c r="E5" i="105"/>
  <c r="D5" i="105"/>
  <c r="C5" i="105"/>
  <c r="B83" i="88"/>
  <c r="C120" i="88"/>
  <c r="AH46" i="88"/>
  <c r="AH83" i="88" s="1"/>
  <c r="AH49" i="88"/>
  <c r="AG47" i="88"/>
  <c r="AH47" i="88"/>
  <c r="AH48" i="88"/>
  <c r="AI7" i="98"/>
  <c r="AI5" i="98"/>
  <c r="M7" i="84" s="1"/>
  <c r="M10" i="84" s="1"/>
  <c r="M11" i="84" s="1"/>
  <c r="M12" i="84" s="1"/>
  <c r="N33" i="105"/>
  <c r="N34" i="105"/>
  <c r="N35" i="105"/>
  <c r="N36" i="105"/>
  <c r="N37" i="105"/>
  <c r="N38" i="105"/>
  <c r="N39" i="105"/>
  <c r="N40" i="105"/>
  <c r="N41" i="105"/>
  <c r="N42" i="105"/>
  <c r="N43" i="105"/>
  <c r="N44" i="105"/>
  <c r="N45" i="105"/>
  <c r="N46" i="105"/>
  <c r="M32" i="105"/>
  <c r="AN160" i="95" l="1"/>
  <c r="AN46" i="95"/>
  <c r="AN141" i="95"/>
  <c r="AN103" i="95"/>
  <c r="AN84" i="95"/>
  <c r="AN122" i="95"/>
  <c r="AN65" i="95"/>
  <c r="AO160" i="95"/>
  <c r="AO141" i="95"/>
  <c r="AO103" i="95"/>
  <c r="AO84" i="95"/>
  <c r="AO122" i="95"/>
  <c r="AO65" i="95"/>
  <c r="AO46" i="95"/>
  <c r="BP6" i="102"/>
  <c r="BU6" i="102" s="1"/>
  <c r="O9" i="142"/>
  <c r="O12" i="142" s="1"/>
  <c r="M14" i="84" s="1"/>
  <c r="BF6" i="140"/>
  <c r="BI6" i="140" s="1"/>
  <c r="AD150" i="95"/>
  <c r="AD131" i="95"/>
  <c r="AD112" i="95"/>
  <c r="AD93" i="95"/>
  <c r="AD169" i="95"/>
  <c r="AD74" i="95"/>
  <c r="AD55" i="95"/>
  <c r="AO133" i="95"/>
  <c r="AO114" i="95"/>
  <c r="AO152" i="95"/>
  <c r="AO95" i="95"/>
  <c r="AO76" i="95"/>
  <c r="AO171" i="95"/>
  <c r="AO57" i="95"/>
  <c r="AG95" i="95"/>
  <c r="AG114" i="95"/>
  <c r="AG152" i="95"/>
  <c r="AG171" i="95"/>
  <c r="AG76" i="95"/>
  <c r="AG133" i="95"/>
  <c r="AG57" i="95"/>
  <c r="AL170" i="95"/>
  <c r="AL151" i="95"/>
  <c r="AL113" i="95"/>
  <c r="AL56" i="95"/>
  <c r="AL94" i="95"/>
  <c r="AL75" i="95"/>
  <c r="AL132" i="95"/>
  <c r="AF151" i="95"/>
  <c r="AF94" i="95"/>
  <c r="AF56" i="95"/>
  <c r="AF132" i="95"/>
  <c r="AF75" i="95"/>
  <c r="AF113" i="95"/>
  <c r="AF170" i="95"/>
  <c r="AO74" i="95"/>
  <c r="AO150" i="95"/>
  <c r="AO169" i="95"/>
  <c r="AO131" i="95"/>
  <c r="AO112" i="95"/>
  <c r="AO93" i="95"/>
  <c r="AO55" i="95"/>
  <c r="AG55" i="95"/>
  <c r="AG93" i="95"/>
  <c r="AG150" i="95"/>
  <c r="AG112" i="95"/>
  <c r="AG74" i="95"/>
  <c r="AG169" i="95"/>
  <c r="AG131" i="95"/>
  <c r="AN114" i="95"/>
  <c r="AN133" i="95"/>
  <c r="AN57" i="95"/>
  <c r="AN171" i="95"/>
  <c r="AN95" i="95"/>
  <c r="AN152" i="95"/>
  <c r="AN76" i="95"/>
  <c r="AK170" i="95"/>
  <c r="AK151" i="95"/>
  <c r="AK94" i="95"/>
  <c r="AK75" i="95"/>
  <c r="AK113" i="95"/>
  <c r="AK132" i="95"/>
  <c r="AK56" i="95"/>
  <c r="AN112" i="95"/>
  <c r="AN131" i="95"/>
  <c r="AN74" i="95"/>
  <c r="AN169" i="95"/>
  <c r="AN93" i="95"/>
  <c r="AN150" i="95"/>
  <c r="AN55" i="95"/>
  <c r="AM114" i="95"/>
  <c r="AM133" i="95"/>
  <c r="AM171" i="95"/>
  <c r="AM95" i="95"/>
  <c r="AM76" i="95"/>
  <c r="AM57" i="95"/>
  <c r="AM152" i="95"/>
  <c r="AJ132" i="95"/>
  <c r="AJ75" i="95"/>
  <c r="AJ94" i="95"/>
  <c r="AJ151" i="95"/>
  <c r="AJ113" i="95"/>
  <c r="AJ56" i="95"/>
  <c r="AJ170" i="95"/>
  <c r="AE113" i="95"/>
  <c r="AE132" i="95"/>
  <c r="AE56" i="95"/>
  <c r="AE75" i="95"/>
  <c r="AE170" i="95"/>
  <c r="AE151" i="95"/>
  <c r="AE94" i="95"/>
  <c r="AM112" i="95"/>
  <c r="AM131" i="95"/>
  <c r="AM74" i="95"/>
  <c r="AM55" i="95"/>
  <c r="AM169" i="95"/>
  <c r="AM93" i="95"/>
  <c r="AM150" i="95"/>
  <c r="AG96" i="95"/>
  <c r="AG115" i="95"/>
  <c r="AG153" i="95"/>
  <c r="AG134" i="95"/>
  <c r="AG77" i="95"/>
  <c r="AG172" i="95"/>
  <c r="AG58" i="95"/>
  <c r="AL171" i="95"/>
  <c r="AL152" i="95"/>
  <c r="AL133" i="95"/>
  <c r="AL76" i="95"/>
  <c r="AL95" i="95"/>
  <c r="AL57" i="95"/>
  <c r="AL114" i="95"/>
  <c r="AF171" i="95"/>
  <c r="AF152" i="95"/>
  <c r="AF76" i="95"/>
  <c r="AF95" i="95"/>
  <c r="AF133" i="95"/>
  <c r="AF114" i="95"/>
  <c r="AF57" i="95"/>
  <c r="AI56" i="95"/>
  <c r="AI170" i="95"/>
  <c r="AI151" i="95"/>
  <c r="AI113" i="95"/>
  <c r="AI132" i="95"/>
  <c r="AI94" i="95"/>
  <c r="AI75" i="95"/>
  <c r="AL169" i="95"/>
  <c r="AL150" i="95"/>
  <c r="AL93" i="95"/>
  <c r="AL55" i="95"/>
  <c r="AL131" i="95"/>
  <c r="AL112" i="95"/>
  <c r="AL74" i="95"/>
  <c r="AF169" i="95"/>
  <c r="AF150" i="95"/>
  <c r="AF112" i="95"/>
  <c r="AF131" i="95"/>
  <c r="AF93" i="95"/>
  <c r="AF74" i="95"/>
  <c r="AF55" i="95"/>
  <c r="AK171" i="95"/>
  <c r="AK152" i="95"/>
  <c r="AK95" i="95"/>
  <c r="AK76" i="95"/>
  <c r="AK57" i="95"/>
  <c r="AK133" i="95"/>
  <c r="AK114" i="95"/>
  <c r="AH170" i="95"/>
  <c r="AH132" i="95"/>
  <c r="AH56" i="95"/>
  <c r="AH113" i="95"/>
  <c r="AH151" i="95"/>
  <c r="AH94" i="95"/>
  <c r="AH75" i="95"/>
  <c r="AK169" i="95"/>
  <c r="AK150" i="95"/>
  <c r="AK93" i="95"/>
  <c r="AK112" i="95"/>
  <c r="AK74" i="95"/>
  <c r="AK131" i="95"/>
  <c r="AK55" i="95"/>
  <c r="AN115" i="95"/>
  <c r="AN134" i="95"/>
  <c r="AN77" i="95"/>
  <c r="AN58" i="95"/>
  <c r="AN172" i="95"/>
  <c r="AN153" i="95"/>
  <c r="AN96" i="95"/>
  <c r="AJ76" i="95"/>
  <c r="AJ133" i="95"/>
  <c r="AJ171" i="95"/>
  <c r="AJ57" i="95"/>
  <c r="AJ114" i="95"/>
  <c r="AJ152" i="95"/>
  <c r="AJ95" i="95"/>
  <c r="AE171" i="95"/>
  <c r="AE76" i="95"/>
  <c r="AE95" i="95"/>
  <c r="AE57" i="95"/>
  <c r="AE133" i="95"/>
  <c r="AE114" i="95"/>
  <c r="AE152" i="95"/>
  <c r="AD170" i="95"/>
  <c r="AD113" i="95"/>
  <c r="AD56" i="95"/>
  <c r="AD151" i="95"/>
  <c r="AD75" i="95"/>
  <c r="AD132" i="95"/>
  <c r="AD94" i="95"/>
  <c r="AO126" i="95"/>
  <c r="AO88" i="95"/>
  <c r="AO107" i="95"/>
  <c r="AO69" i="95"/>
  <c r="AO50" i="95"/>
  <c r="AO145" i="95"/>
  <c r="AO164" i="95"/>
  <c r="O20" i="95"/>
  <c r="AJ112" i="95"/>
  <c r="AJ74" i="95"/>
  <c r="AJ55" i="95"/>
  <c r="AJ169" i="95"/>
  <c r="AJ93" i="95"/>
  <c r="AJ150" i="95"/>
  <c r="AJ131" i="95"/>
  <c r="AE93" i="95"/>
  <c r="AE169" i="95"/>
  <c r="AE150" i="95"/>
  <c r="AE112" i="95"/>
  <c r="AE55" i="95"/>
  <c r="AE131" i="95"/>
  <c r="AE74" i="95"/>
  <c r="AL172" i="95"/>
  <c r="AL153" i="95"/>
  <c r="AL134" i="95"/>
  <c r="AL77" i="95"/>
  <c r="AL96" i="95"/>
  <c r="AL115" i="95"/>
  <c r="AL58" i="95"/>
  <c r="AF96" i="95"/>
  <c r="AF58" i="95"/>
  <c r="AF115" i="95"/>
  <c r="AF153" i="95"/>
  <c r="AF134" i="95"/>
  <c r="AF77" i="95"/>
  <c r="AF172" i="95"/>
  <c r="AI133" i="95"/>
  <c r="AI57" i="95"/>
  <c r="AI171" i="95"/>
  <c r="AI76" i="95"/>
  <c r="AI114" i="95"/>
  <c r="AI152" i="95"/>
  <c r="AI95" i="95"/>
  <c r="AO134" i="95"/>
  <c r="AO96" i="95"/>
  <c r="AO172" i="95"/>
  <c r="AO77" i="95"/>
  <c r="AO115" i="95"/>
  <c r="AO153" i="95"/>
  <c r="AO58" i="95"/>
  <c r="O11" i="95"/>
  <c r="AI74" i="95"/>
  <c r="AI93" i="95"/>
  <c r="AI55" i="95"/>
  <c r="AI150" i="95"/>
  <c r="AI169" i="95"/>
  <c r="AI131" i="95"/>
  <c r="AI112" i="95"/>
  <c r="AK172" i="95"/>
  <c r="AK153" i="95"/>
  <c r="AK96" i="95"/>
  <c r="AK58" i="95"/>
  <c r="AK115" i="95"/>
  <c r="AK77" i="95"/>
  <c r="AK134" i="95"/>
  <c r="AH152" i="95"/>
  <c r="AH114" i="95"/>
  <c r="AH171" i="95"/>
  <c r="AH76" i="95"/>
  <c r="AH57" i="95"/>
  <c r="AH133" i="95"/>
  <c r="AH95" i="95"/>
  <c r="AM115" i="95"/>
  <c r="AM134" i="95"/>
  <c r="AM77" i="95"/>
  <c r="AM153" i="95"/>
  <c r="AM172" i="95"/>
  <c r="AM58" i="95"/>
  <c r="AM96" i="95"/>
  <c r="N11" i="95"/>
  <c r="AH131" i="95"/>
  <c r="AH93" i="95"/>
  <c r="AH74" i="95"/>
  <c r="AH150" i="95"/>
  <c r="AH112" i="95"/>
  <c r="AH55" i="95"/>
  <c r="AH169" i="95"/>
  <c r="AJ153" i="95"/>
  <c r="AJ77" i="95"/>
  <c r="AJ115" i="95"/>
  <c r="AJ58" i="95"/>
  <c r="AJ96" i="95"/>
  <c r="AJ134" i="95"/>
  <c r="AJ172" i="95"/>
  <c r="AE115" i="95"/>
  <c r="AE153" i="95"/>
  <c r="AE134" i="95"/>
  <c r="AE58" i="95"/>
  <c r="AE96" i="95"/>
  <c r="AE77" i="95"/>
  <c r="AE172" i="95"/>
  <c r="AD57" i="95"/>
  <c r="AD95" i="95"/>
  <c r="AD114" i="95"/>
  <c r="AD171" i="95"/>
  <c r="AD133" i="95"/>
  <c r="AD152" i="95"/>
  <c r="AD76" i="95"/>
  <c r="AO168" i="95"/>
  <c r="AO130" i="95"/>
  <c r="AO54" i="95"/>
  <c r="AO111" i="95"/>
  <c r="AO149" i="95"/>
  <c r="AO92" i="95"/>
  <c r="AO73" i="95"/>
  <c r="AI153" i="95"/>
  <c r="AI77" i="95"/>
  <c r="AI96" i="95"/>
  <c r="AI58" i="95"/>
  <c r="AI115" i="95"/>
  <c r="AI172" i="95"/>
  <c r="AI134" i="95"/>
  <c r="AO56" i="95"/>
  <c r="AO94" i="95"/>
  <c r="AO113" i="95"/>
  <c r="AO151" i="95"/>
  <c r="AO170" i="95"/>
  <c r="AO132" i="95"/>
  <c r="AO75" i="95"/>
  <c r="AG132" i="95"/>
  <c r="AG56" i="95"/>
  <c r="AG113" i="95"/>
  <c r="AG151" i="95"/>
  <c r="AG94" i="95"/>
  <c r="AG75" i="95"/>
  <c r="AG170" i="95"/>
  <c r="AH172" i="95"/>
  <c r="AH96" i="95"/>
  <c r="AH77" i="95"/>
  <c r="AH115" i="95"/>
  <c r="AH153" i="95"/>
  <c r="AH58" i="95"/>
  <c r="AH134" i="95"/>
  <c r="AN113" i="95"/>
  <c r="AN132" i="95"/>
  <c r="AN94" i="95"/>
  <c r="AN151" i="95"/>
  <c r="AN170" i="95"/>
  <c r="AN56" i="95"/>
  <c r="AN75" i="95"/>
  <c r="D121" i="88"/>
  <c r="AD115" i="95"/>
  <c r="AD153" i="95"/>
  <c r="AD134" i="95"/>
  <c r="AD58" i="95"/>
  <c r="AD96" i="95"/>
  <c r="AD77" i="95"/>
  <c r="AD172" i="95"/>
  <c r="AM113" i="95"/>
  <c r="AM132" i="95"/>
  <c r="AM56" i="95"/>
  <c r="AM151" i="95"/>
  <c r="AM94" i="95"/>
  <c r="AM75" i="95"/>
  <c r="AM170" i="95"/>
  <c r="AH55" i="88"/>
  <c r="E229" i="88"/>
  <c r="F160" i="88"/>
  <c r="H200" i="88" s="1"/>
  <c r="F159" i="88"/>
  <c r="D199" i="88" s="1"/>
  <c r="E149" i="88"/>
  <c r="G159" i="88"/>
  <c r="E199" i="88" s="1"/>
  <c r="E160" i="88"/>
  <c r="G160" i="88"/>
  <c r="M107" i="95"/>
  <c r="M145" i="95"/>
  <c r="M69" i="95"/>
  <c r="M88" i="95"/>
  <c r="H107" i="95"/>
  <c r="H145" i="95"/>
  <c r="H69" i="95"/>
  <c r="H88" i="95"/>
  <c r="D120" i="88"/>
  <c r="M29" i="87"/>
  <c r="M60" i="85" s="1"/>
  <c r="M27" i="87"/>
  <c r="M48" i="85" s="1"/>
  <c r="M51" i="85" s="1"/>
  <c r="M26" i="87"/>
  <c r="M42" i="85" s="1"/>
  <c r="M45" i="85" s="1"/>
  <c r="M25" i="87"/>
  <c r="M36" i="85" s="1"/>
  <c r="M39" i="85" s="1"/>
  <c r="M24" i="87"/>
  <c r="M30" i="85" s="1"/>
  <c r="M24" i="85"/>
  <c r="O26" i="95" l="1"/>
  <c r="O17" i="95"/>
  <c r="O24" i="95"/>
  <c r="M63" i="85"/>
  <c r="M15" i="85" s="1"/>
  <c r="BF7" i="140" s="1"/>
  <c r="M27" i="85"/>
  <c r="M14" i="85" s="1"/>
  <c r="BE7" i="140" s="1"/>
  <c r="M33" i="85"/>
  <c r="M16" i="85" s="1"/>
  <c r="BG7" i="140" s="1"/>
  <c r="M17" i="85"/>
  <c r="BH7" i="140" s="1"/>
  <c r="E200" i="88"/>
  <c r="Q200" i="88"/>
  <c r="M200" i="88"/>
  <c r="I200" i="88"/>
  <c r="F199" i="88"/>
  <c r="D200" i="88"/>
  <c r="P200" i="88"/>
  <c r="L200" i="88"/>
  <c r="B48" i="88"/>
  <c r="N200" i="88" l="1"/>
  <c r="S200" i="88" s="1"/>
  <c r="N160" i="95"/>
  <c r="BI7" i="140"/>
  <c r="M18" i="85"/>
  <c r="AD164" i="95"/>
  <c r="AD145" i="95"/>
  <c r="AD107" i="95"/>
  <c r="AD50" i="95"/>
  <c r="AD88" i="95"/>
  <c r="AD126" i="95"/>
  <c r="AD69" i="95"/>
  <c r="D20" i="95"/>
  <c r="R200" i="88"/>
  <c r="W200" i="88" s="1"/>
  <c r="O122" i="95" s="1"/>
  <c r="J200" i="88"/>
  <c r="F200" i="88"/>
  <c r="O160" i="95" s="1"/>
  <c r="B49" i="88"/>
  <c r="C9" i="102"/>
  <c r="D9" i="102"/>
  <c r="I9" i="102"/>
  <c r="J9" i="102"/>
  <c r="O9" i="102"/>
  <c r="P9" i="102"/>
  <c r="U9" i="102"/>
  <c r="V9" i="102"/>
  <c r="AA9" i="102"/>
  <c r="AB9" i="102"/>
  <c r="AG9" i="102"/>
  <c r="AH9" i="102"/>
  <c r="AM9" i="102"/>
  <c r="AN9" i="102"/>
  <c r="AS9" i="102"/>
  <c r="AT9" i="102"/>
  <c r="AY9" i="102"/>
  <c r="AZ9" i="102"/>
  <c r="O46" i="95" l="1"/>
  <c r="X200" i="88"/>
  <c r="O9" i="95" s="1"/>
  <c r="B71" i="85"/>
  <c r="M20" i="85"/>
  <c r="M19" i="85"/>
  <c r="AD111" i="95"/>
  <c r="AD130" i="95"/>
  <c r="AD73" i="95"/>
  <c r="AD54" i="95"/>
  <c r="AD92" i="95"/>
  <c r="AD168" i="95"/>
  <c r="AD149" i="95"/>
  <c r="V200" i="88"/>
  <c r="O141" i="95" s="1"/>
  <c r="U200" i="88"/>
  <c r="T200" i="88"/>
  <c r="O84" i="95" s="1"/>
  <c r="M10" i="142"/>
  <c r="N10" i="142"/>
  <c r="M11" i="142"/>
  <c r="N11" i="142"/>
  <c r="M28" i="142"/>
  <c r="N28" i="142"/>
  <c r="M29" i="142"/>
  <c r="N29" i="142"/>
  <c r="M35" i="142"/>
  <c r="N35" i="142"/>
  <c r="M36" i="142"/>
  <c r="N36" i="142"/>
  <c r="M37" i="142"/>
  <c r="N37" i="142"/>
  <c r="L39" i="105"/>
  <c r="M39" i="105"/>
  <c r="L32" i="105"/>
  <c r="L33" i="105"/>
  <c r="M33" i="105"/>
  <c r="L34" i="105"/>
  <c r="M34" i="105"/>
  <c r="L35" i="105"/>
  <c r="M35" i="105"/>
  <c r="L36" i="105"/>
  <c r="M36" i="105"/>
  <c r="L37" i="105"/>
  <c r="M37" i="105"/>
  <c r="L38" i="105"/>
  <c r="M38" i="105"/>
  <c r="L40" i="105"/>
  <c r="M41" i="105"/>
  <c r="L42" i="105"/>
  <c r="M42" i="105"/>
  <c r="L43" i="105"/>
  <c r="M43" i="105"/>
  <c r="L44" i="105"/>
  <c r="M44" i="105"/>
  <c r="L45" i="105"/>
  <c r="L46" i="105"/>
  <c r="M46" i="105"/>
  <c r="M40" i="105"/>
  <c r="L41" i="105"/>
  <c r="M45" i="105"/>
  <c r="C83" i="88"/>
  <c r="D46" i="88"/>
  <c r="D83" i="88" s="1"/>
  <c r="E46" i="88"/>
  <c r="E83" i="88" s="1"/>
  <c r="F46" i="88"/>
  <c r="F83" i="88" s="1"/>
  <c r="G83" i="88"/>
  <c r="H46" i="88"/>
  <c r="H83" i="88" s="1"/>
  <c r="I46" i="88"/>
  <c r="I83" i="88" s="1"/>
  <c r="J46" i="88"/>
  <c r="J83" i="88" s="1"/>
  <c r="K46" i="88"/>
  <c r="K83" i="88" s="1"/>
  <c r="L46" i="88"/>
  <c r="L83" i="88" s="1"/>
  <c r="M46" i="88"/>
  <c r="M83" i="88" s="1"/>
  <c r="N46" i="88"/>
  <c r="N83" i="88" s="1"/>
  <c r="O46" i="88"/>
  <c r="O83" i="88" s="1"/>
  <c r="P83" i="88"/>
  <c r="Q46" i="88"/>
  <c r="Q83" i="88" s="1"/>
  <c r="R46" i="88"/>
  <c r="R83" i="88" s="1"/>
  <c r="S46" i="88"/>
  <c r="S83" i="88" s="1"/>
  <c r="T46" i="88"/>
  <c r="T83" i="88" s="1"/>
  <c r="U46" i="88"/>
  <c r="U83" i="88" s="1"/>
  <c r="V46" i="88"/>
  <c r="V83" i="88" s="1"/>
  <c r="W46" i="88"/>
  <c r="W83" i="88" s="1"/>
  <c r="X46" i="88"/>
  <c r="X83" i="88" s="1"/>
  <c r="Y46" i="88"/>
  <c r="Y83" i="88" s="1"/>
  <c r="Z46" i="88"/>
  <c r="Z83" i="88" s="1"/>
  <c r="AA46" i="88"/>
  <c r="AA83" i="88" s="1"/>
  <c r="AB46" i="88"/>
  <c r="AB83" i="88" s="1"/>
  <c r="AC46" i="88"/>
  <c r="AC83" i="88" s="1"/>
  <c r="AD46" i="88"/>
  <c r="AD83" i="88" s="1"/>
  <c r="AE46" i="88"/>
  <c r="AE83" i="88" s="1"/>
  <c r="AF46" i="88"/>
  <c r="AF83" i="88" s="1"/>
  <c r="AG83" i="88"/>
  <c r="O103" i="95" l="1"/>
  <c r="Y200" i="88"/>
  <c r="O65" i="95"/>
  <c r="Z200" i="88"/>
  <c r="C228" i="88"/>
  <c r="B228" i="88"/>
  <c r="N15" i="95" l="1"/>
  <c r="C229" i="88"/>
  <c r="N50" i="95"/>
  <c r="N126" i="95"/>
  <c r="N164" i="95"/>
  <c r="N69" i="95"/>
  <c r="N107" i="95"/>
  <c r="N88" i="95"/>
  <c r="N145" i="95"/>
  <c r="AA126" i="95"/>
  <c r="AA164" i="95"/>
  <c r="AA107" i="95"/>
  <c r="AA69" i="95"/>
  <c r="AA50" i="95"/>
  <c r="AA88" i="95"/>
  <c r="AA145" i="95"/>
  <c r="N16" i="95"/>
  <c r="B229" i="88"/>
  <c r="E228" i="88"/>
  <c r="N24" i="95" s="1"/>
  <c r="P228" i="88"/>
  <c r="AB107" i="95" l="1"/>
  <c r="AB145" i="95"/>
  <c r="AB88" i="95"/>
  <c r="AB50" i="95"/>
  <c r="AB164" i="95"/>
  <c r="AB69" i="95"/>
  <c r="AB126" i="95"/>
  <c r="O16" i="95"/>
  <c r="O15" i="95"/>
  <c r="O19" i="95" s="1"/>
  <c r="O50" i="95"/>
  <c r="O126" i="95"/>
  <c r="O164" i="95"/>
  <c r="O69" i="95"/>
  <c r="O107" i="95"/>
  <c r="O145" i="95"/>
  <c r="O88" i="95"/>
  <c r="N17" i="95"/>
  <c r="N19" i="95" s="1"/>
  <c r="O228" i="88"/>
  <c r="D119" i="88"/>
  <c r="H49" i="88"/>
  <c r="I49" i="88"/>
  <c r="P49" i="88"/>
  <c r="Q49" i="88"/>
  <c r="X49" i="88"/>
  <c r="Y49" i="88"/>
  <c r="AF49" i="88"/>
  <c r="E47" i="88"/>
  <c r="F47" i="88"/>
  <c r="H47" i="88"/>
  <c r="I47" i="88"/>
  <c r="J47" i="88"/>
  <c r="K47" i="88"/>
  <c r="L47" i="88"/>
  <c r="N47" i="88"/>
  <c r="O47" i="88"/>
  <c r="P47" i="88"/>
  <c r="Q47" i="88"/>
  <c r="R47" i="88"/>
  <c r="S47" i="88"/>
  <c r="T47" i="88"/>
  <c r="U47" i="88"/>
  <c r="V47" i="88"/>
  <c r="W47" i="88"/>
  <c r="X47" i="88"/>
  <c r="Y47" i="88"/>
  <c r="Z47" i="88"/>
  <c r="AA47" i="88"/>
  <c r="AB47" i="88"/>
  <c r="AC47" i="88"/>
  <c r="AD47" i="88"/>
  <c r="AE47" i="88"/>
  <c r="AF47" i="88"/>
  <c r="C48" i="88"/>
  <c r="D48" i="88"/>
  <c r="E48" i="88"/>
  <c r="F48" i="88"/>
  <c r="H48" i="88"/>
  <c r="I48" i="88"/>
  <c r="K48" i="88"/>
  <c r="L48" i="88"/>
  <c r="N48" i="88"/>
  <c r="P48" i="88"/>
  <c r="Q48" i="88"/>
  <c r="S48" i="88"/>
  <c r="T48" i="88"/>
  <c r="U48" i="88"/>
  <c r="V48" i="88"/>
  <c r="X48" i="88"/>
  <c r="Y48" i="88"/>
  <c r="AA48" i="88"/>
  <c r="AB48" i="88"/>
  <c r="AC48" i="88"/>
  <c r="AD48" i="88"/>
  <c r="AF48" i="88"/>
  <c r="AG48" i="88"/>
  <c r="B55" i="88"/>
  <c r="C32" i="88"/>
  <c r="I6" i="105" s="1"/>
  <c r="C28" i="88"/>
  <c r="C27" i="88"/>
  <c r="C23" i="88"/>
  <c r="C22" i="88"/>
  <c r="E6" i="105" s="1"/>
  <c r="C21" i="88"/>
  <c r="C20" i="88"/>
  <c r="D6" i="105" s="1"/>
  <c r="C18" i="88"/>
  <c r="C16" i="88"/>
  <c r="AH160" i="95" l="1"/>
  <c r="AH122" i="95"/>
  <c r="AH103" i="95"/>
  <c r="AH84" i="95"/>
  <c r="AH46" i="95"/>
  <c r="AH141" i="95"/>
  <c r="AH65" i="95"/>
  <c r="AM160" i="95"/>
  <c r="AM46" i="95"/>
  <c r="AM141" i="95"/>
  <c r="AM122" i="95"/>
  <c r="AM84" i="95"/>
  <c r="AM103" i="95"/>
  <c r="AM65" i="95"/>
  <c r="AI46" i="95"/>
  <c r="AI65" i="95"/>
  <c r="AI160" i="95"/>
  <c r="AI141" i="95"/>
  <c r="AI122" i="95"/>
  <c r="AI103" i="95"/>
  <c r="AI84" i="95"/>
  <c r="AG145" i="95"/>
  <c r="AG88" i="95"/>
  <c r="AG160" i="95"/>
  <c r="AG122" i="95"/>
  <c r="AG103" i="95"/>
  <c r="AG65" i="95"/>
  <c r="AG46" i="95"/>
  <c r="AG141" i="95"/>
  <c r="AG84" i="95"/>
  <c r="AL160" i="95"/>
  <c r="AL46" i="95"/>
  <c r="AL122" i="95"/>
  <c r="AL103" i="95"/>
  <c r="AL141" i="95"/>
  <c r="AL65" i="95"/>
  <c r="AL84" i="95"/>
  <c r="AF141" i="95"/>
  <c r="AF103" i="95"/>
  <c r="AF84" i="95"/>
  <c r="AF46" i="95"/>
  <c r="AF122" i="95"/>
  <c r="AF65" i="95"/>
  <c r="AF160" i="95"/>
  <c r="AK160" i="95"/>
  <c r="AK141" i="95"/>
  <c r="AK122" i="95"/>
  <c r="AK103" i="95"/>
  <c r="AK84" i="95"/>
  <c r="AK65" i="95"/>
  <c r="AK46" i="95"/>
  <c r="AJ65" i="95"/>
  <c r="AJ46" i="95"/>
  <c r="AJ160" i="95"/>
  <c r="AJ141" i="95"/>
  <c r="AJ122" i="95"/>
  <c r="AJ103" i="95"/>
  <c r="AJ84" i="95"/>
  <c r="AE46" i="95"/>
  <c r="AE160" i="95"/>
  <c r="AE141" i="95"/>
  <c r="AE122" i="95"/>
  <c r="AE103" i="95"/>
  <c r="AE84" i="95"/>
  <c r="AE65" i="95"/>
  <c r="BB88" i="95"/>
  <c r="BB126" i="95"/>
  <c r="BB164" i="95"/>
  <c r="BB50" i="95"/>
  <c r="BB107" i="95"/>
  <c r="O21" i="95"/>
  <c r="O182" i="95"/>
  <c r="T181" i="95" s="1"/>
  <c r="BB145" i="95"/>
  <c r="BB69" i="95"/>
  <c r="N182" i="95"/>
  <c r="AI145" i="95"/>
  <c r="AI126" i="95"/>
  <c r="AI50" i="95"/>
  <c r="AI88" i="95"/>
  <c r="AI69" i="95"/>
  <c r="AI107" i="95"/>
  <c r="AI164" i="95"/>
  <c r="I20" i="95"/>
  <c r="I11" i="95"/>
  <c r="I26" i="95" s="1"/>
  <c r="AH107" i="95"/>
  <c r="AH88" i="95"/>
  <c r="AH50" i="95"/>
  <c r="AH145" i="95"/>
  <c r="AH69" i="95"/>
  <c r="AH126" i="95"/>
  <c r="AH164" i="95"/>
  <c r="H20" i="95"/>
  <c r="H11" i="95"/>
  <c r="H26" i="95" s="1"/>
  <c r="AN54" i="95"/>
  <c r="AN168" i="95"/>
  <c r="AN92" i="95"/>
  <c r="AN130" i="95"/>
  <c r="AN111" i="95"/>
  <c r="AN149" i="95"/>
  <c r="AN73" i="95"/>
  <c r="AM111" i="95"/>
  <c r="AM130" i="95"/>
  <c r="AM168" i="95"/>
  <c r="AM54" i="95"/>
  <c r="AM149" i="95"/>
  <c r="AM92" i="95"/>
  <c r="AM73" i="95"/>
  <c r="AG50" i="95"/>
  <c r="AG107" i="95"/>
  <c r="AG69" i="95"/>
  <c r="AG126" i="95"/>
  <c r="AG164" i="95"/>
  <c r="G20" i="95"/>
  <c r="G11" i="95"/>
  <c r="G26" i="95" s="1"/>
  <c r="AE111" i="95"/>
  <c r="AE130" i="95"/>
  <c r="AE73" i="95"/>
  <c r="AE54" i="95"/>
  <c r="AE92" i="95"/>
  <c r="AE168" i="95"/>
  <c r="AE149" i="95"/>
  <c r="D11" i="95"/>
  <c r="D26" i="95" s="1"/>
  <c r="AF50" i="95"/>
  <c r="AF88" i="95"/>
  <c r="AF145" i="95"/>
  <c r="AF126" i="95"/>
  <c r="AF164" i="95"/>
  <c r="AF107" i="95"/>
  <c r="AF69" i="95"/>
  <c r="F20" i="95"/>
  <c r="AN126" i="95"/>
  <c r="AN164" i="95"/>
  <c r="AN107" i="95"/>
  <c r="AN69" i="95"/>
  <c r="AN145" i="95"/>
  <c r="AN88" i="95"/>
  <c r="AN50" i="95"/>
  <c r="N20" i="95"/>
  <c r="AE145" i="95"/>
  <c r="AE50" i="95"/>
  <c r="AE107" i="95"/>
  <c r="AE88" i="95"/>
  <c r="AE126" i="95"/>
  <c r="AE164" i="95"/>
  <c r="AE69" i="95"/>
  <c r="E20" i="95"/>
  <c r="M11" i="95"/>
  <c r="AM145" i="95"/>
  <c r="AM164" i="95"/>
  <c r="AM88" i="95"/>
  <c r="AM126" i="95"/>
  <c r="AM69" i="95"/>
  <c r="AM107" i="95"/>
  <c r="AM50" i="95"/>
  <c r="M20" i="95"/>
  <c r="L11" i="95"/>
  <c r="F11" i="95"/>
  <c r="AK164" i="95"/>
  <c r="AK50" i="95"/>
  <c r="AK69" i="95"/>
  <c r="AK145" i="95"/>
  <c r="AK107" i="95"/>
  <c r="AK126" i="95"/>
  <c r="AK88" i="95"/>
  <c r="K20" i="95"/>
  <c r="K11" i="95"/>
  <c r="K26" i="95" s="1"/>
  <c r="AJ145" i="95"/>
  <c r="AJ69" i="95"/>
  <c r="AJ88" i="95"/>
  <c r="AJ107" i="95"/>
  <c r="AJ50" i="95"/>
  <c r="AJ126" i="95"/>
  <c r="AJ164" i="95"/>
  <c r="J20" i="95"/>
  <c r="J11" i="95"/>
  <c r="J26" i="95" s="1"/>
  <c r="E11" i="95"/>
  <c r="Y55" i="88"/>
  <c r="X55" i="88"/>
  <c r="Q55" i="88"/>
  <c r="P55" i="88"/>
  <c r="I55" i="88"/>
  <c r="AG55" i="88"/>
  <c r="H55" i="88"/>
  <c r="AF55" i="88"/>
  <c r="AE49" i="88"/>
  <c r="W49" i="88"/>
  <c r="O49" i="88"/>
  <c r="G49" i="88"/>
  <c r="AD49" i="88"/>
  <c r="V49" i="88"/>
  <c r="N49" i="88"/>
  <c r="N55" i="88" s="1"/>
  <c r="F49" i="88"/>
  <c r="F55" i="88" s="1"/>
  <c r="Z48" i="88"/>
  <c r="R48" i="88"/>
  <c r="J48" i="88"/>
  <c r="AC49" i="88"/>
  <c r="U49" i="88"/>
  <c r="U55" i="88" s="1"/>
  <c r="M49" i="88"/>
  <c r="M55" i="88" s="1"/>
  <c r="E49" i="88"/>
  <c r="E55" i="88" s="1"/>
  <c r="E159" i="88"/>
  <c r="AB49" i="88"/>
  <c r="T49" i="88"/>
  <c r="T55" i="88" s="1"/>
  <c r="L55" i="88"/>
  <c r="D49" i="88"/>
  <c r="D55" i="88" s="1"/>
  <c r="F158" i="88"/>
  <c r="P198" i="88" s="1"/>
  <c r="AA49" i="88"/>
  <c r="S49" i="88"/>
  <c r="K49" i="88"/>
  <c r="K55" i="88" s="1"/>
  <c r="C49" i="88"/>
  <c r="C55" i="88" s="1"/>
  <c r="AE48" i="88"/>
  <c r="W48" i="88"/>
  <c r="Z49" i="88"/>
  <c r="R49" i="88"/>
  <c r="J49" i="88"/>
  <c r="E158" i="88"/>
  <c r="M199" i="88"/>
  <c r="H199" i="88"/>
  <c r="G158" i="88"/>
  <c r="Q198" i="88" s="1"/>
  <c r="O22" i="95" l="1"/>
  <c r="F26" i="95"/>
  <c r="N26" i="95"/>
  <c r="E26" i="95"/>
  <c r="M26" i="95"/>
  <c r="AG168" i="95"/>
  <c r="AG92" i="95"/>
  <c r="AG73" i="95"/>
  <c r="AG111" i="95"/>
  <c r="AG54" i="95"/>
  <c r="AG149" i="95"/>
  <c r="AG130" i="95"/>
  <c r="AB55" i="88"/>
  <c r="AI168" i="95"/>
  <c r="AI73" i="95"/>
  <c r="AI149" i="95"/>
  <c r="AI111" i="95"/>
  <c r="AI54" i="95"/>
  <c r="AI130" i="95"/>
  <c r="AI92" i="95"/>
  <c r="AD55" i="88"/>
  <c r="AK149" i="95"/>
  <c r="AK130" i="95"/>
  <c r="AK54" i="95"/>
  <c r="AK111" i="95"/>
  <c r="AK92" i="95"/>
  <c r="AK168" i="95"/>
  <c r="AK73" i="95"/>
  <c r="AL164" i="95"/>
  <c r="AL69" i="95"/>
  <c r="AL126" i="95"/>
  <c r="AL88" i="95"/>
  <c r="AL107" i="95"/>
  <c r="AL50" i="95"/>
  <c r="L20" i="95"/>
  <c r="AL149" i="95"/>
  <c r="AL130" i="95"/>
  <c r="AL168" i="95"/>
  <c r="AL54" i="95"/>
  <c r="AL111" i="95"/>
  <c r="AL92" i="95"/>
  <c r="AL73" i="95"/>
  <c r="AC55" i="88"/>
  <c r="AJ92" i="95"/>
  <c r="AJ149" i="95"/>
  <c r="AJ130" i="95"/>
  <c r="AJ73" i="95"/>
  <c r="AJ54" i="95"/>
  <c r="AJ111" i="95"/>
  <c r="AJ168" i="95"/>
  <c r="V55" i="88"/>
  <c r="S55" i="88"/>
  <c r="AF111" i="95"/>
  <c r="AF130" i="95"/>
  <c r="AF92" i="95"/>
  <c r="AF73" i="95"/>
  <c r="AF54" i="95"/>
  <c r="AF168" i="95"/>
  <c r="AF149" i="95"/>
  <c r="AA55" i="88"/>
  <c r="AH168" i="95"/>
  <c r="AH130" i="95"/>
  <c r="AH92" i="95"/>
  <c r="AH111" i="95"/>
  <c r="AH54" i="95"/>
  <c r="AH149" i="95"/>
  <c r="AH73" i="95"/>
  <c r="L198" i="88"/>
  <c r="R198" i="88"/>
  <c r="U198" i="88" s="1"/>
  <c r="M103" i="95" s="1"/>
  <c r="Q199" i="88"/>
  <c r="G55" i="88"/>
  <c r="O55" i="88"/>
  <c r="R55" i="88"/>
  <c r="Z55" i="88"/>
  <c r="AE55" i="88"/>
  <c r="J55" i="88"/>
  <c r="W55" i="88"/>
  <c r="P199" i="88"/>
  <c r="D198" i="88"/>
  <c r="L199" i="88"/>
  <c r="N199" i="88" s="1"/>
  <c r="S199" i="88" s="1"/>
  <c r="H198" i="88"/>
  <c r="E198" i="88"/>
  <c r="I198" i="88"/>
  <c r="M198" i="88"/>
  <c r="I199" i="88"/>
  <c r="J199" i="88" s="1"/>
  <c r="M76" i="95"/>
  <c r="N75" i="95"/>
  <c r="M94" i="95"/>
  <c r="N93" i="95"/>
  <c r="M113" i="95"/>
  <c r="N112" i="95"/>
  <c r="M132" i="95"/>
  <c r="N131" i="95"/>
  <c r="M153" i="95"/>
  <c r="N151" i="95"/>
  <c r="N153" i="95"/>
  <c r="M170" i="95"/>
  <c r="N169" i="95"/>
  <c r="M57" i="95"/>
  <c r="N56" i="95"/>
  <c r="N46" i="95" l="1"/>
  <c r="L26" i="95"/>
  <c r="N198" i="88"/>
  <c r="V198" i="88"/>
  <c r="M141" i="95" s="1"/>
  <c r="W198" i="88"/>
  <c r="M122" i="95" s="1"/>
  <c r="R199" i="88"/>
  <c r="W199" i="88" s="1"/>
  <c r="N122" i="95" s="1"/>
  <c r="T199" i="88"/>
  <c r="N84" i="95" s="1"/>
  <c r="N65" i="95"/>
  <c r="J198" i="88"/>
  <c r="M46" i="95" s="1"/>
  <c r="F198" i="88"/>
  <c r="AL145" i="95"/>
  <c r="BA145" i="95"/>
  <c r="BA126" i="95"/>
  <c r="BA50" i="95"/>
  <c r="BA107" i="95"/>
  <c r="N21" i="95"/>
  <c r="L19" i="144" s="1"/>
  <c r="BA164" i="95"/>
  <c r="BA88" i="95"/>
  <c r="BA69" i="95"/>
  <c r="N22" i="95" s="1"/>
  <c r="M151" i="95"/>
  <c r="M169" i="95"/>
  <c r="N150" i="95"/>
  <c r="N96" i="95"/>
  <c r="N152" i="95"/>
  <c r="M115" i="95"/>
  <c r="M134" i="95"/>
  <c r="M131" i="95"/>
  <c r="N114" i="95"/>
  <c r="M96" i="95"/>
  <c r="N172" i="95"/>
  <c r="N95" i="95"/>
  <c r="N171" i="95"/>
  <c r="N94" i="95"/>
  <c r="M77" i="95"/>
  <c r="M171" i="95"/>
  <c r="M93" i="95"/>
  <c r="M75" i="95"/>
  <c r="N170" i="95"/>
  <c r="N74" i="95"/>
  <c r="M95" i="95"/>
  <c r="N58" i="95"/>
  <c r="N134" i="95"/>
  <c r="N77" i="95"/>
  <c r="N57" i="95"/>
  <c r="M172" i="95"/>
  <c r="M133" i="95"/>
  <c r="N76" i="95"/>
  <c r="M58" i="95"/>
  <c r="N55" i="95"/>
  <c r="N115" i="95"/>
  <c r="M150" i="95"/>
  <c r="M114" i="95"/>
  <c r="M74" i="95"/>
  <c r="N133" i="95"/>
  <c r="N113" i="95"/>
  <c r="N132" i="95"/>
  <c r="M152" i="95"/>
  <c r="M112" i="95"/>
  <c r="M56" i="95"/>
  <c r="M55" i="95"/>
  <c r="M160" i="95" l="1"/>
  <c r="X198" i="88"/>
  <c r="M9" i="95" s="1"/>
  <c r="X199" i="88"/>
  <c r="N9" i="95" s="1"/>
  <c r="T198" i="88"/>
  <c r="M84" i="95" s="1"/>
  <c r="S198" i="88"/>
  <c r="M65" i="95" s="1"/>
  <c r="U199" i="88"/>
  <c r="N103" i="95" s="1"/>
  <c r="Y198" i="88"/>
  <c r="Z199" i="88"/>
  <c r="V199" i="88"/>
  <c r="N141" i="95" s="1"/>
  <c r="Z198" i="88" l="1"/>
  <c r="Y199" i="88"/>
  <c r="K6" i="87"/>
  <c r="K8" i="85" s="1"/>
  <c r="K9" i="85" s="1"/>
  <c r="J6" i="87"/>
  <c r="J8" i="85" s="1"/>
  <c r="J9" i="85" s="1"/>
  <c r="F6" i="87"/>
  <c r="F8" i="85" s="1"/>
  <c r="F9" i="85" s="1"/>
  <c r="H6" i="87"/>
  <c r="H8" i="85" s="1"/>
  <c r="H9" i="85" s="1"/>
  <c r="I6" i="87"/>
  <c r="I8" i="85" s="1"/>
  <c r="I9" i="85" s="1"/>
  <c r="C6" i="87"/>
  <c r="C8" i="85" s="1"/>
  <c r="C9" i="85" s="1"/>
  <c r="D6" i="87"/>
  <c r="D8" i="85" s="1"/>
  <c r="E6" i="87"/>
  <c r="E8" i="85" s="1"/>
  <c r="F177" i="87" l="1"/>
  <c r="F175" i="87"/>
  <c r="F155" i="87"/>
  <c r="F159" i="87"/>
  <c r="F154" i="87"/>
  <c r="F163" i="87"/>
  <c r="F162" i="87"/>
  <c r="F171" i="87"/>
  <c r="F161" i="87"/>
  <c r="F160" i="87"/>
  <c r="F167" i="87"/>
  <c r="F156" i="87"/>
  <c r="D4" i="87"/>
  <c r="D6" i="85" s="1"/>
  <c r="G6" i="87"/>
  <c r="G8" i="85" s="1"/>
  <c r="G9" i="85" s="1"/>
  <c r="E4" i="87"/>
  <c r="E6" i="85" s="1"/>
  <c r="J26" i="85"/>
  <c r="K56" i="85"/>
  <c r="L30" i="87"/>
  <c r="L50" i="85"/>
  <c r="AG5" i="98"/>
  <c r="K7" i="84" s="1"/>
  <c r="AH5" i="98"/>
  <c r="L7" i="84" s="1"/>
  <c r="AG7" i="98"/>
  <c r="AH7" i="98"/>
  <c r="BA3" i="140"/>
  <c r="BB3" i="140"/>
  <c r="BC3" i="140"/>
  <c r="BD3" i="140"/>
  <c r="AZ3" i="140"/>
  <c r="AV3" i="140"/>
  <c r="AW3" i="140"/>
  <c r="AX3" i="140"/>
  <c r="AY3" i="140"/>
  <c r="AU3" i="140"/>
  <c r="BL9" i="102"/>
  <c r="BE9" i="102"/>
  <c r="BF9" i="102"/>
  <c r="K8" i="84"/>
  <c r="L8" i="84"/>
  <c r="K9" i="84"/>
  <c r="L9" i="84"/>
  <c r="F170" i="87" l="1"/>
  <c r="F157" i="87"/>
  <c r="F164" i="87"/>
  <c r="H70" i="85"/>
  <c r="J70" i="85"/>
  <c r="F70" i="85"/>
  <c r="F172" i="87"/>
  <c r="F166" i="87"/>
  <c r="I70" i="85"/>
  <c r="F158" i="87"/>
  <c r="B70" i="85"/>
  <c r="F176" i="87"/>
  <c r="G70" i="85"/>
  <c r="K70" i="85"/>
  <c r="F174" i="87"/>
  <c r="F165" i="87"/>
  <c r="F173" i="87"/>
  <c r="F169" i="87"/>
  <c r="L70" i="85"/>
  <c r="C70" i="85"/>
  <c r="E70" i="85"/>
  <c r="E9" i="85"/>
  <c r="E71" i="85"/>
  <c r="D70" i="85"/>
  <c r="D9" i="85"/>
  <c r="D71" i="85"/>
  <c r="F168" i="87"/>
  <c r="F182" i="87"/>
  <c r="F153" i="87"/>
  <c r="F184" i="87"/>
  <c r="F180" i="87"/>
  <c r="F183" i="87"/>
  <c r="F179" i="87"/>
  <c r="F181" i="87"/>
  <c r="F178" i="87"/>
  <c r="L10" i="84"/>
  <c r="L11" i="84" s="1"/>
  <c r="L12" i="84" s="1"/>
  <c r="BA6" i="140" s="1"/>
  <c r="BD6" i="140" s="1"/>
  <c r="K10" i="84"/>
  <c r="K11" i="84" s="1"/>
  <c r="K12" i="84" s="1"/>
  <c r="M9" i="142" s="1"/>
  <c r="M12" i="142" s="1"/>
  <c r="BM7" i="102"/>
  <c r="BM8" i="144" s="1"/>
  <c r="AV6" i="140"/>
  <c r="AY6" i="140" s="1"/>
  <c r="AZ50" i="95"/>
  <c r="AZ164" i="95"/>
  <c r="AZ126" i="95"/>
  <c r="AZ145" i="95"/>
  <c r="AZ107" i="95"/>
  <c r="AZ69" i="95"/>
  <c r="AZ88" i="95"/>
  <c r="K26" i="87"/>
  <c r="K42" i="85" s="1"/>
  <c r="L23" i="87"/>
  <c r="L24" i="85" s="1"/>
  <c r="L27" i="85" s="1"/>
  <c r="K23" i="87"/>
  <c r="K24" i="85" s="1"/>
  <c r="L31" i="85"/>
  <c r="L25" i="85"/>
  <c r="L26" i="87"/>
  <c r="L42" i="85" s="1"/>
  <c r="K50" i="85"/>
  <c r="L25" i="87"/>
  <c r="L36" i="85" s="1"/>
  <c r="K25" i="87"/>
  <c r="K36" i="85" s="1"/>
  <c r="K39" i="85" s="1"/>
  <c r="K44" i="85"/>
  <c r="K26" i="85"/>
  <c r="L44" i="85"/>
  <c r="L38" i="85"/>
  <c r="L29" i="87"/>
  <c r="L60" i="85" s="1"/>
  <c r="L24" i="87"/>
  <c r="L30" i="85" s="1"/>
  <c r="K29" i="87"/>
  <c r="K60" i="85" s="1"/>
  <c r="K24" i="87"/>
  <c r="K30" i="85" s="1"/>
  <c r="L27" i="87"/>
  <c r="L48" i="85" s="1"/>
  <c r="K27" i="87"/>
  <c r="K48" i="85" s="1"/>
  <c r="K37" i="85"/>
  <c r="K55" i="85"/>
  <c r="K57" i="85" s="1"/>
  <c r="K43" i="85"/>
  <c r="K49" i="85"/>
  <c r="K61" i="85"/>
  <c r="K25" i="85"/>
  <c r="K31" i="85"/>
  <c r="L61" i="85"/>
  <c r="K38" i="85"/>
  <c r="L32" i="85"/>
  <c r="L55" i="85"/>
  <c r="L57" i="85" s="1"/>
  <c r="K32" i="85"/>
  <c r="L26" i="85"/>
  <c r="L49" i="85"/>
  <c r="L62" i="85"/>
  <c r="K62" i="85"/>
  <c r="L56" i="85"/>
  <c r="L37" i="85"/>
  <c r="L43" i="85"/>
  <c r="J62" i="85"/>
  <c r="J56" i="85"/>
  <c r="J50" i="85"/>
  <c r="J44" i="85"/>
  <c r="J38" i="85"/>
  <c r="J32" i="85"/>
  <c r="K51" i="85" l="1"/>
  <c r="L51" i="85"/>
  <c r="K63" i="85"/>
  <c r="K27" i="85"/>
  <c r="BJ6" i="102"/>
  <c r="BD6" i="102"/>
  <c r="K14" i="84"/>
  <c r="N9" i="142"/>
  <c r="N12" i="142" s="1"/>
  <c r="L14" i="84" s="1"/>
  <c r="L39" i="85"/>
  <c r="K33" i="85"/>
  <c r="K45" i="85"/>
  <c r="L33" i="85"/>
  <c r="L45" i="85"/>
  <c r="L63" i="85"/>
  <c r="BG7" i="102"/>
  <c r="BG8" i="144" s="1"/>
  <c r="M34" i="142"/>
  <c r="K77" i="85" s="1"/>
  <c r="K73" i="85"/>
  <c r="K74" i="85" s="1"/>
  <c r="M33" i="142"/>
  <c r="K76" i="85" s="1"/>
  <c r="BH7" i="102"/>
  <c r="N34" i="142"/>
  <c r="L77" i="85" s="1"/>
  <c r="L73" i="85"/>
  <c r="L74" i="85" s="1"/>
  <c r="BN7" i="102"/>
  <c r="BN8" i="144" s="1"/>
  <c r="N33" i="142"/>
  <c r="L76" i="85" s="1"/>
  <c r="BO6" i="102"/>
  <c r="BI6" i="102"/>
  <c r="K30" i="87"/>
  <c r="K14" i="85"/>
  <c r="AU7" i="140" s="1"/>
  <c r="L14" i="85"/>
  <c r="AZ7" i="140" s="1"/>
  <c r="K15" i="85"/>
  <c r="AV7" i="140" s="1"/>
  <c r="J30" i="87"/>
  <c r="L15" i="85"/>
  <c r="BA7" i="140" s="1"/>
  <c r="H24" i="108"/>
  <c r="L24" i="108" s="1"/>
  <c r="I26" i="108"/>
  <c r="H26" i="108" s="1"/>
  <c r="L26" i="108" s="1"/>
  <c r="I24" i="108"/>
  <c r="H25" i="108"/>
  <c r="H23" i="108"/>
  <c r="I25" i="108"/>
  <c r="I23" i="108"/>
  <c r="S26" i="108"/>
  <c r="T26" i="108"/>
  <c r="M24" i="108"/>
  <c r="S24" i="108"/>
  <c r="T24" i="108"/>
  <c r="D27" i="108"/>
  <c r="D26" i="108"/>
  <c r="D25" i="108"/>
  <c r="D24" i="108"/>
  <c r="D22" i="108"/>
  <c r="D21" i="108"/>
  <c r="D20" i="108"/>
  <c r="D19" i="108"/>
  <c r="D18" i="108"/>
  <c r="D17" i="108"/>
  <c r="D16" i="108"/>
  <c r="D14" i="108"/>
  <c r="D13" i="108"/>
  <c r="D12" i="108"/>
  <c r="D11" i="108"/>
  <c r="D9" i="108"/>
  <c r="E71" i="109"/>
  <c r="E70" i="109"/>
  <c r="E69" i="109"/>
  <c r="E68" i="109"/>
  <c r="E67" i="109"/>
  <c r="E66" i="109"/>
  <c r="G64" i="109"/>
  <c r="E42" i="109"/>
  <c r="E41" i="109"/>
  <c r="E40" i="109"/>
  <c r="E39" i="109"/>
  <c r="E38" i="109"/>
  <c r="E37" i="109"/>
  <c r="G35" i="109"/>
  <c r="E13" i="109"/>
  <c r="E12" i="109"/>
  <c r="E11" i="109"/>
  <c r="E10" i="109"/>
  <c r="E9" i="109"/>
  <c r="E8" i="109"/>
  <c r="G6" i="109"/>
  <c r="BI7" i="144" l="1"/>
  <c r="BO7" i="144"/>
  <c r="BD7" i="144"/>
  <c r="BJ7" i="144"/>
  <c r="BH9" i="102"/>
  <c r="BH10" i="144" s="1"/>
  <c r="BH8" i="144"/>
  <c r="N38" i="142"/>
  <c r="L17" i="85"/>
  <c r="BC7" i="140" s="1"/>
  <c r="M38" i="142"/>
  <c r="BI7" i="102"/>
  <c r="BI8" i="144" s="1"/>
  <c r="BO7" i="102"/>
  <c r="BO8" i="144" s="1"/>
  <c r="BK9" i="102"/>
  <c r="BN9" i="102"/>
  <c r="BN10" i="144" s="1"/>
  <c r="L16" i="85"/>
  <c r="BB7" i="140" s="1"/>
  <c r="K17" i="85"/>
  <c r="AX7" i="140" s="1"/>
  <c r="K16" i="85"/>
  <c r="AW7" i="140" s="1"/>
  <c r="M26" i="108"/>
  <c r="O26" i="108" s="1"/>
  <c r="P26" i="108" s="1"/>
  <c r="O24" i="108"/>
  <c r="P24" i="108" s="1"/>
  <c r="D5" i="108"/>
  <c r="D10" i="108"/>
  <c r="D8" i="108"/>
  <c r="K18" i="85" l="1"/>
  <c r="K20" i="85" s="1"/>
  <c r="L18" i="85"/>
  <c r="L20" i="85" s="1"/>
  <c r="Q24" i="108"/>
  <c r="Q26" i="108"/>
  <c r="D90" i="88"/>
  <c r="D91" i="88"/>
  <c r="D92" i="88"/>
  <c r="D93" i="88"/>
  <c r="D94" i="88"/>
  <c r="D95" i="88"/>
  <c r="D96" i="88"/>
  <c r="D97" i="88"/>
  <c r="D98" i="88"/>
  <c r="D99" i="88"/>
  <c r="D100" i="88"/>
  <c r="D101" i="88"/>
  <c r="D102" i="88"/>
  <c r="D103" i="88"/>
  <c r="D104" i="88"/>
  <c r="D105" i="88"/>
  <c r="D106" i="88"/>
  <c r="D107" i="88"/>
  <c r="D108" i="88"/>
  <c r="D109" i="88"/>
  <c r="D110" i="88"/>
  <c r="D111" i="88"/>
  <c r="D112" i="88"/>
  <c r="D113" i="88"/>
  <c r="D114" i="88"/>
  <c r="D115" i="88"/>
  <c r="D116" i="88"/>
  <c r="D117" i="88"/>
  <c r="D118" i="88"/>
  <c r="D89" i="88"/>
  <c r="K19" i="85" l="1"/>
  <c r="L19" i="85"/>
  <c r="AQ3" i="140"/>
  <c r="AR3" i="140"/>
  <c r="AS3" i="140"/>
  <c r="AT3" i="140"/>
  <c r="AL3" i="140"/>
  <c r="AM3" i="140"/>
  <c r="AN3" i="140"/>
  <c r="AO3" i="140"/>
  <c r="AG3" i="140"/>
  <c r="AH3" i="140"/>
  <c r="AI3" i="140"/>
  <c r="AJ3" i="140"/>
  <c r="AB3" i="140"/>
  <c r="AC3" i="140"/>
  <c r="AD3" i="140"/>
  <c r="AE3" i="140"/>
  <c r="W3" i="140"/>
  <c r="X3" i="140"/>
  <c r="Y3" i="140"/>
  <c r="Z3" i="140"/>
  <c r="R3" i="140"/>
  <c r="S3" i="140"/>
  <c r="T3" i="140"/>
  <c r="U3" i="140"/>
  <c r="M3" i="140"/>
  <c r="N3" i="140"/>
  <c r="O3" i="140"/>
  <c r="P3" i="140"/>
  <c r="H3" i="140"/>
  <c r="I3" i="140"/>
  <c r="J3" i="140"/>
  <c r="K3" i="140"/>
  <c r="AP3" i="140"/>
  <c r="AK3" i="140"/>
  <c r="AF3" i="140"/>
  <c r="AA3" i="140"/>
  <c r="V3" i="140"/>
  <c r="Q3" i="140"/>
  <c r="L3" i="140"/>
  <c r="G3" i="140"/>
  <c r="C3" i="140"/>
  <c r="D3" i="140"/>
  <c r="E3" i="140"/>
  <c r="F3" i="140"/>
  <c r="B3" i="140"/>
  <c r="E35" i="142"/>
  <c r="F35" i="142"/>
  <c r="G35" i="142"/>
  <c r="H35" i="142"/>
  <c r="I35" i="142"/>
  <c r="J35" i="142"/>
  <c r="K35" i="142"/>
  <c r="L35" i="142"/>
  <c r="E36" i="142"/>
  <c r="F36" i="142"/>
  <c r="G36" i="142"/>
  <c r="H36" i="142"/>
  <c r="I36" i="142"/>
  <c r="J36" i="142"/>
  <c r="K36" i="142"/>
  <c r="L36" i="142"/>
  <c r="E37" i="142"/>
  <c r="F37" i="142"/>
  <c r="G37" i="142"/>
  <c r="H37" i="142"/>
  <c r="I37" i="142"/>
  <c r="J37" i="142"/>
  <c r="K37" i="142"/>
  <c r="L37" i="142"/>
  <c r="D36" i="142"/>
  <c r="D37" i="142"/>
  <c r="D35" i="142"/>
  <c r="E28" i="142"/>
  <c r="F28" i="142"/>
  <c r="G28" i="142"/>
  <c r="H28" i="142"/>
  <c r="I28" i="142"/>
  <c r="J28" i="142"/>
  <c r="K28" i="142"/>
  <c r="L28" i="142"/>
  <c r="E29" i="142"/>
  <c r="F29" i="142"/>
  <c r="G29" i="142"/>
  <c r="H29" i="142"/>
  <c r="I29" i="142"/>
  <c r="J29" i="142"/>
  <c r="K29" i="142"/>
  <c r="L29" i="142"/>
  <c r="D28" i="142"/>
  <c r="D29" i="142"/>
  <c r="E10" i="142"/>
  <c r="F10" i="142"/>
  <c r="G10" i="142"/>
  <c r="H10" i="142"/>
  <c r="I10" i="142"/>
  <c r="J10" i="142"/>
  <c r="K10" i="142"/>
  <c r="L10" i="142"/>
  <c r="E11" i="142"/>
  <c r="F11" i="142"/>
  <c r="G11" i="142"/>
  <c r="H11" i="142"/>
  <c r="I11" i="142"/>
  <c r="J11" i="142"/>
  <c r="K11" i="142"/>
  <c r="L11" i="142"/>
  <c r="D11" i="142"/>
  <c r="D10" i="142"/>
  <c r="E227" i="88" l="1"/>
  <c r="M24" i="95" s="1"/>
  <c r="E219" i="88"/>
  <c r="E211" i="88"/>
  <c r="E209" i="88"/>
  <c r="E216" i="88"/>
  <c r="E218" i="88"/>
  <c r="E220" i="88"/>
  <c r="E206" i="88"/>
  <c r="E210" i="88"/>
  <c r="E222" i="88"/>
  <c r="H24" i="95" s="1"/>
  <c r="E217" i="88"/>
  <c r="E221" i="88"/>
  <c r="E224" i="88"/>
  <c r="E207" i="88"/>
  <c r="E215" i="88"/>
  <c r="E212" i="88"/>
  <c r="E208" i="88"/>
  <c r="E213" i="88"/>
  <c r="E214" i="88"/>
  <c r="E225" i="88"/>
  <c r="E223" i="88"/>
  <c r="E226" i="88"/>
  <c r="D17" i="95" l="1"/>
  <c r="D24" i="95"/>
  <c r="E17" i="95"/>
  <c r="E24" i="95"/>
  <c r="L17" i="95"/>
  <c r="L24" i="95"/>
  <c r="I17" i="95"/>
  <c r="I24" i="95"/>
  <c r="J17" i="95"/>
  <c r="J24" i="95"/>
  <c r="K17" i="95"/>
  <c r="K24" i="95"/>
  <c r="F17" i="95"/>
  <c r="F24" i="95"/>
  <c r="G17" i="95"/>
  <c r="G24" i="95"/>
  <c r="H17" i="95"/>
  <c r="H19" i="95" s="1"/>
  <c r="M17" i="95"/>
  <c r="M19" i="95" s="1"/>
  <c r="M182" i="95" s="1"/>
  <c r="D28" i="108"/>
  <c r="H182" i="95" l="1"/>
  <c r="H21" i="95"/>
  <c r="D185" i="95"/>
  <c r="D184" i="95"/>
  <c r="D186" i="95"/>
  <c r="D187" i="95"/>
  <c r="D183" i="95"/>
  <c r="M21" i="95"/>
  <c r="C217" i="88"/>
  <c r="C223" i="88"/>
  <c r="B223" i="88"/>
  <c r="B217" i="88"/>
  <c r="B215" i="88"/>
  <c r="B214" i="88" s="1"/>
  <c r="K19" i="144" l="1"/>
  <c r="M22" i="95"/>
  <c r="F19" i="144"/>
  <c r="F19" i="145"/>
  <c r="V88" i="95"/>
  <c r="V145" i="95"/>
  <c r="V69" i="95"/>
  <c r="V126" i="95"/>
  <c r="V107" i="95"/>
  <c r="V50" i="95"/>
  <c r="V164" i="95"/>
  <c r="I16" i="95"/>
  <c r="S69" i="95"/>
  <c r="S50" i="95"/>
  <c r="S107" i="95"/>
  <c r="S145" i="95"/>
  <c r="S126" i="95"/>
  <c r="S164" i="95"/>
  <c r="S88" i="95"/>
  <c r="F16" i="95"/>
  <c r="T107" i="95"/>
  <c r="T69" i="95"/>
  <c r="T50" i="95"/>
  <c r="T164" i="95"/>
  <c r="T88" i="95"/>
  <c r="T145" i="95"/>
  <c r="T126" i="95"/>
  <c r="G16" i="95"/>
  <c r="I15" i="95"/>
  <c r="I19" i="95" s="1"/>
  <c r="I50" i="95"/>
  <c r="I164" i="95"/>
  <c r="I126" i="95"/>
  <c r="I88" i="95"/>
  <c r="I145" i="95"/>
  <c r="I69" i="95"/>
  <c r="I107" i="95"/>
  <c r="G15" i="95"/>
  <c r="G19" i="95" s="1"/>
  <c r="G126" i="95"/>
  <c r="G50" i="95"/>
  <c r="G164" i="95"/>
  <c r="G88" i="95"/>
  <c r="G69" i="95"/>
  <c r="G145" i="95"/>
  <c r="G107" i="95"/>
  <c r="C218" i="88"/>
  <c r="C219" i="88" s="1"/>
  <c r="C220" i="88" s="1"/>
  <c r="C221" i="88" s="1"/>
  <c r="B213" i="88"/>
  <c r="B212" i="88" s="1"/>
  <c r="B218" i="88"/>
  <c r="B219" i="88" s="1"/>
  <c r="B220" i="88" s="1"/>
  <c r="B221" i="88" s="1"/>
  <c r="C224" i="88"/>
  <c r="B224" i="88"/>
  <c r="O206" i="88"/>
  <c r="P206" i="88"/>
  <c r="G21" i="95" l="1"/>
  <c r="G182" i="95"/>
  <c r="I182" i="95"/>
  <c r="R145" i="95"/>
  <c r="R126" i="95"/>
  <c r="R69" i="95"/>
  <c r="R50" i="95"/>
  <c r="R164" i="95"/>
  <c r="R88" i="95"/>
  <c r="R107" i="95"/>
  <c r="E16" i="95"/>
  <c r="J15" i="95"/>
  <c r="J19" i="95" s="1"/>
  <c r="J50" i="95"/>
  <c r="J126" i="95"/>
  <c r="J164" i="95"/>
  <c r="J69" i="95"/>
  <c r="J145" i="95"/>
  <c r="J88" i="95"/>
  <c r="J107" i="95"/>
  <c r="W69" i="95"/>
  <c r="W145" i="95"/>
  <c r="W88" i="95"/>
  <c r="W107" i="95"/>
  <c r="W126" i="95"/>
  <c r="W50" i="95"/>
  <c r="W164" i="95"/>
  <c r="J16" i="95"/>
  <c r="I21" i="95"/>
  <c r="B211" i="88"/>
  <c r="B210" i="88" s="1"/>
  <c r="B209" i="88" s="1"/>
  <c r="B208" i="88" s="1"/>
  <c r="B207" i="88" s="1"/>
  <c r="B206" i="88" s="1"/>
  <c r="P209" i="88"/>
  <c r="C225" i="88"/>
  <c r="B225" i="88"/>
  <c r="P212" i="88"/>
  <c r="P225" i="88"/>
  <c r="P217" i="88"/>
  <c r="O208" i="88"/>
  <c r="P222" i="88"/>
  <c r="P208" i="88"/>
  <c r="P221" i="88"/>
  <c r="O213" i="88"/>
  <c r="P215" i="88"/>
  <c r="P207" i="88"/>
  <c r="O226" i="88"/>
  <c r="P220" i="88"/>
  <c r="O214" i="88"/>
  <c r="P213" i="88"/>
  <c r="O211" i="88"/>
  <c r="P224" i="88"/>
  <c r="O212" i="88"/>
  <c r="O210" i="88"/>
  <c r="O223" i="88"/>
  <c r="O220" i="88"/>
  <c r="P219" i="88"/>
  <c r="P210" i="88"/>
  <c r="P223" i="88"/>
  <c r="P211" i="88"/>
  <c r="O207" i="88"/>
  <c r="O217" i="88"/>
  <c r="O215" i="88"/>
  <c r="O225" i="88"/>
  <c r="O224" i="88"/>
  <c r="O218" i="88"/>
  <c r="O209" i="88"/>
  <c r="P214" i="88"/>
  <c r="P227" i="88"/>
  <c r="O227" i="88"/>
  <c r="P226" i="88"/>
  <c r="O221" i="88"/>
  <c r="O219" i="88"/>
  <c r="P218" i="88"/>
  <c r="O216" i="88"/>
  <c r="O222" i="88"/>
  <c r="P216" i="88"/>
  <c r="L169" i="95"/>
  <c r="K171" i="95"/>
  <c r="L153" i="95"/>
  <c r="K150" i="95"/>
  <c r="L132" i="95"/>
  <c r="K132" i="95"/>
  <c r="L74" i="95"/>
  <c r="K74" i="95"/>
  <c r="L112" i="95"/>
  <c r="K112" i="95"/>
  <c r="L94" i="95"/>
  <c r="K94" i="95"/>
  <c r="D15" i="108"/>
  <c r="G19" i="144" l="1"/>
  <c r="G19" i="145"/>
  <c r="E19" i="145"/>
  <c r="E19" i="144"/>
  <c r="J182" i="95"/>
  <c r="X69" i="95"/>
  <c r="X145" i="95"/>
  <c r="X107" i="95"/>
  <c r="X126" i="95"/>
  <c r="X50" i="95"/>
  <c r="X164" i="95"/>
  <c r="X88" i="95"/>
  <c r="K16" i="95"/>
  <c r="K15" i="95"/>
  <c r="K19" i="95" s="1"/>
  <c r="K164" i="95"/>
  <c r="K50" i="95"/>
  <c r="K126" i="95"/>
  <c r="K107" i="95"/>
  <c r="K88" i="95"/>
  <c r="K69" i="95"/>
  <c r="K145" i="95"/>
  <c r="Q107" i="95"/>
  <c r="Q164" i="95"/>
  <c r="Q50" i="95"/>
  <c r="Q88" i="95"/>
  <c r="Q145" i="95"/>
  <c r="Q126" i="95"/>
  <c r="Q69" i="95"/>
  <c r="D16" i="95"/>
  <c r="J21" i="95"/>
  <c r="C206" i="88"/>
  <c r="D15" i="95" s="1"/>
  <c r="C226" i="88"/>
  <c r="B226" i="88"/>
  <c r="K169" i="95"/>
  <c r="K170" i="95"/>
  <c r="K77" i="95"/>
  <c r="K153" i="95"/>
  <c r="K75" i="95"/>
  <c r="L150" i="95"/>
  <c r="L113" i="95"/>
  <c r="K172" i="95"/>
  <c r="L115" i="95"/>
  <c r="L152" i="95"/>
  <c r="L114" i="95"/>
  <c r="L151" i="95"/>
  <c r="L170" i="95"/>
  <c r="K95" i="95"/>
  <c r="K93" i="95"/>
  <c r="L172" i="95"/>
  <c r="K115" i="95"/>
  <c r="K113" i="95"/>
  <c r="L133" i="95"/>
  <c r="L131" i="95"/>
  <c r="K151" i="95"/>
  <c r="L95" i="95"/>
  <c r="L93" i="95"/>
  <c r="L77" i="95"/>
  <c r="L75" i="95"/>
  <c r="K133" i="95"/>
  <c r="K131" i="95"/>
  <c r="K114" i="95"/>
  <c r="L134" i="95"/>
  <c r="K152" i="95"/>
  <c r="L96" i="95"/>
  <c r="L76" i="95"/>
  <c r="K134" i="95"/>
  <c r="K96" i="95"/>
  <c r="K76" i="95"/>
  <c r="L171" i="95"/>
  <c r="H19" i="144" l="1"/>
  <c r="H19" i="145"/>
  <c r="K182" i="95"/>
  <c r="Y164" i="95"/>
  <c r="Y88" i="95"/>
  <c r="Y107" i="95"/>
  <c r="Y145" i="95"/>
  <c r="Y69" i="95"/>
  <c r="Y126" i="95"/>
  <c r="Y50" i="95"/>
  <c r="L16" i="95"/>
  <c r="L15" i="95"/>
  <c r="L19" i="95" s="1"/>
  <c r="L50" i="95"/>
  <c r="L164" i="95"/>
  <c r="L126" i="95"/>
  <c r="L69" i="95"/>
  <c r="L107" i="95"/>
  <c r="L88" i="95"/>
  <c r="L145" i="95"/>
  <c r="K21" i="95"/>
  <c r="C207" i="88"/>
  <c r="C208" i="88" s="1"/>
  <c r="C209" i="88" s="1"/>
  <c r="C210" i="88" s="1"/>
  <c r="C211" i="88" s="1"/>
  <c r="C212" i="88" s="1"/>
  <c r="E169" i="95"/>
  <c r="E131" i="95"/>
  <c r="E112" i="95"/>
  <c r="E93" i="95"/>
  <c r="E74" i="95"/>
  <c r="E55" i="95"/>
  <c r="E151" i="95"/>
  <c r="C9" i="87"/>
  <c r="C43" i="85"/>
  <c r="D32" i="105"/>
  <c r="D33" i="105"/>
  <c r="D34" i="105"/>
  <c r="D35" i="105"/>
  <c r="D36" i="105"/>
  <c r="D37" i="105"/>
  <c r="D38" i="105"/>
  <c r="D39" i="105"/>
  <c r="D40" i="105"/>
  <c r="D41" i="105"/>
  <c r="D42" i="105"/>
  <c r="D43" i="105"/>
  <c r="D44" i="105"/>
  <c r="D45" i="105"/>
  <c r="D46" i="105"/>
  <c r="C8" i="84"/>
  <c r="C9" i="84"/>
  <c r="K57" i="95"/>
  <c r="L57" i="95"/>
  <c r="I8" i="84"/>
  <c r="J8" i="84"/>
  <c r="I9" i="84"/>
  <c r="J9" i="84"/>
  <c r="I19" i="144" l="1"/>
  <c r="I19" i="145"/>
  <c r="L182" i="95"/>
  <c r="E15" i="95"/>
  <c r="E19" i="95" s="1"/>
  <c r="E182" i="95" s="1"/>
  <c r="E126" i="95"/>
  <c r="E50" i="95"/>
  <c r="E164" i="95"/>
  <c r="E69" i="95"/>
  <c r="E88" i="95"/>
  <c r="E107" i="95"/>
  <c r="E145" i="95"/>
  <c r="L21" i="95"/>
  <c r="C37" i="85"/>
  <c r="C31" i="85"/>
  <c r="C25" i="85"/>
  <c r="C55" i="85"/>
  <c r="C57" i="85" s="1"/>
  <c r="C61" i="85"/>
  <c r="C49" i="85"/>
  <c r="C26" i="85"/>
  <c r="C44" i="85"/>
  <c r="C62" i="85"/>
  <c r="C56" i="85"/>
  <c r="C32" i="85"/>
  <c r="C38" i="85"/>
  <c r="C50" i="85"/>
  <c r="C213" i="88"/>
  <c r="C214" i="88" s="1"/>
  <c r="C27" i="87"/>
  <c r="C48" i="85" s="1"/>
  <c r="E77" i="95"/>
  <c r="E94" i="95"/>
  <c r="E96" i="95"/>
  <c r="E95" i="95"/>
  <c r="E134" i="95"/>
  <c r="E133" i="95"/>
  <c r="E132" i="95"/>
  <c r="E172" i="95"/>
  <c r="E171" i="95"/>
  <c r="E170" i="95"/>
  <c r="E115" i="95"/>
  <c r="E114" i="95"/>
  <c r="E113" i="95"/>
  <c r="E76" i="95"/>
  <c r="E75" i="95"/>
  <c r="E58" i="95"/>
  <c r="E57" i="95"/>
  <c r="E56" i="95"/>
  <c r="E150" i="95"/>
  <c r="E153" i="95"/>
  <c r="E152" i="95"/>
  <c r="L56" i="95"/>
  <c r="L58" i="95"/>
  <c r="K58" i="95"/>
  <c r="C23" i="87"/>
  <c r="C24" i="85" s="1"/>
  <c r="C27" i="85" s="1"/>
  <c r="C29" i="87"/>
  <c r="C60" i="85" s="1"/>
  <c r="C63" i="85" s="1"/>
  <c r="C26" i="87"/>
  <c r="C42" i="85" s="1"/>
  <c r="C45" i="85" s="1"/>
  <c r="C25" i="87"/>
  <c r="C36" i="85" s="1"/>
  <c r="C24" i="87"/>
  <c r="C30" i="85" s="1"/>
  <c r="C33" i="85" s="1"/>
  <c r="K56" i="95"/>
  <c r="L55" i="95"/>
  <c r="K55" i="95"/>
  <c r="J32" i="105"/>
  <c r="K32" i="105"/>
  <c r="J33" i="105"/>
  <c r="K33" i="105"/>
  <c r="J34" i="105"/>
  <c r="K34" i="105"/>
  <c r="J35" i="105"/>
  <c r="K35" i="105"/>
  <c r="J36" i="105"/>
  <c r="K36" i="105"/>
  <c r="J37" i="105"/>
  <c r="K37" i="105"/>
  <c r="J38" i="105"/>
  <c r="K38" i="105"/>
  <c r="J39" i="105"/>
  <c r="K39" i="105"/>
  <c r="J40" i="105"/>
  <c r="K40" i="105"/>
  <c r="J41" i="105"/>
  <c r="K41" i="105"/>
  <c r="J42" i="105"/>
  <c r="K42" i="105"/>
  <c r="J43" i="105"/>
  <c r="K43" i="105"/>
  <c r="J44" i="105"/>
  <c r="K44" i="105"/>
  <c r="J45" i="105"/>
  <c r="K45" i="105"/>
  <c r="J46" i="105"/>
  <c r="K46" i="105"/>
  <c r="J19" i="144" l="1"/>
  <c r="J19" i="145"/>
  <c r="C39" i="85"/>
  <c r="C51" i="85"/>
  <c r="F15" i="95"/>
  <c r="F19" i="95" s="1"/>
  <c r="F182" i="95" s="1"/>
  <c r="F164" i="95"/>
  <c r="F50" i="95"/>
  <c r="F126" i="95"/>
  <c r="F107" i="95"/>
  <c r="F145" i="95"/>
  <c r="F88" i="95"/>
  <c r="F69" i="95"/>
  <c r="C73" i="85"/>
  <c r="C74" i="85" s="1"/>
  <c r="K7" i="102"/>
  <c r="E34" i="142"/>
  <c r="C77" i="85" s="1"/>
  <c r="E33" i="142"/>
  <c r="L7" i="102"/>
  <c r="L8" i="145" s="1"/>
  <c r="E21" i="95"/>
  <c r="C15" i="85"/>
  <c r="H7" i="140" s="1"/>
  <c r="H26" i="85"/>
  <c r="H44" i="85"/>
  <c r="H38" i="85"/>
  <c r="H56" i="85"/>
  <c r="H50" i="85"/>
  <c r="H62" i="85"/>
  <c r="H32" i="85"/>
  <c r="I26" i="85"/>
  <c r="I38" i="85"/>
  <c r="I32" i="85"/>
  <c r="I50" i="85"/>
  <c r="I62" i="85"/>
  <c r="I44" i="85"/>
  <c r="I56" i="85"/>
  <c r="I49" i="85"/>
  <c r="I43" i="85"/>
  <c r="I37" i="85"/>
  <c r="I61" i="85"/>
  <c r="I25" i="85"/>
  <c r="I31" i="85"/>
  <c r="I55" i="85"/>
  <c r="I57" i="85" s="1"/>
  <c r="H55" i="85"/>
  <c r="H57" i="85" s="1"/>
  <c r="H49" i="85"/>
  <c r="H43" i="85"/>
  <c r="H25" i="85"/>
  <c r="H37" i="85"/>
  <c r="H31" i="85"/>
  <c r="H61" i="85"/>
  <c r="G26" i="85"/>
  <c r="G38" i="85"/>
  <c r="G62" i="85"/>
  <c r="G50" i="85"/>
  <c r="G32" i="85"/>
  <c r="G44" i="85"/>
  <c r="G56" i="85"/>
  <c r="J43" i="85"/>
  <c r="J55" i="85"/>
  <c r="J57" i="85" s="1"/>
  <c r="J31" i="85"/>
  <c r="J37" i="85"/>
  <c r="J61" i="85"/>
  <c r="J25" i="85"/>
  <c r="J49" i="85"/>
  <c r="G61" i="85"/>
  <c r="G25" i="85"/>
  <c r="G49" i="85"/>
  <c r="G55" i="85"/>
  <c r="G57" i="85" s="1"/>
  <c r="G43" i="85"/>
  <c r="G31" i="85"/>
  <c r="G37" i="85"/>
  <c r="E62" i="85"/>
  <c r="E26" i="85"/>
  <c r="E50" i="85"/>
  <c r="E56" i="85"/>
  <c r="E32" i="85"/>
  <c r="E44" i="85"/>
  <c r="E38" i="85"/>
  <c r="D32" i="85"/>
  <c r="D56" i="85"/>
  <c r="D62" i="85"/>
  <c r="D44" i="85"/>
  <c r="D38" i="85"/>
  <c r="D50" i="85"/>
  <c r="D26" i="85"/>
  <c r="D31" i="85"/>
  <c r="D25" i="85"/>
  <c r="D61" i="85"/>
  <c r="D37" i="85"/>
  <c r="D49" i="85"/>
  <c r="D43" i="85"/>
  <c r="D55" i="85"/>
  <c r="D57" i="85" s="1"/>
  <c r="C14" i="85"/>
  <c r="G7" i="140" s="1"/>
  <c r="F26" i="85"/>
  <c r="F56" i="85"/>
  <c r="F62" i="85"/>
  <c r="F50" i="85"/>
  <c r="F38" i="85"/>
  <c r="F44" i="85"/>
  <c r="F32" i="85"/>
  <c r="F25" i="85"/>
  <c r="F49" i="85"/>
  <c r="F55" i="85"/>
  <c r="F57" i="85" s="1"/>
  <c r="F61" i="85"/>
  <c r="F31" i="85"/>
  <c r="F37" i="85"/>
  <c r="F43" i="85"/>
  <c r="E25" i="85"/>
  <c r="E61" i="85"/>
  <c r="E43" i="85"/>
  <c r="E49" i="85"/>
  <c r="E55" i="85"/>
  <c r="E31" i="85"/>
  <c r="E37" i="85"/>
  <c r="C215" i="88"/>
  <c r="I9" i="87"/>
  <c r="J9" i="87"/>
  <c r="AE7" i="98"/>
  <c r="AF7" i="98"/>
  <c r="AE5" i="98"/>
  <c r="I7" i="84" s="1"/>
  <c r="AF5" i="98"/>
  <c r="J7" i="84" s="1"/>
  <c r="E157" i="88"/>
  <c r="F157" i="88"/>
  <c r="P197" i="88" s="1"/>
  <c r="G157" i="88"/>
  <c r="Q197" i="88" s="1"/>
  <c r="B12" i="143" l="1"/>
  <c r="C76" i="85"/>
  <c r="K8" i="144"/>
  <c r="K8" i="145"/>
  <c r="C19" i="144"/>
  <c r="C19" i="145"/>
  <c r="E57" i="85"/>
  <c r="L9" i="102"/>
  <c r="L8" i="144"/>
  <c r="E7" i="102"/>
  <c r="D34" i="142"/>
  <c r="B77" i="85" s="1"/>
  <c r="B73" i="85"/>
  <c r="F7" i="102"/>
  <c r="D33" i="142"/>
  <c r="AI7" i="102"/>
  <c r="I34" i="142"/>
  <c r="G77" i="85" s="1"/>
  <c r="Q7" i="102"/>
  <c r="F34" i="142"/>
  <c r="D77" i="85" s="1"/>
  <c r="I33" i="142"/>
  <c r="G76" i="85" s="1"/>
  <c r="AJ7" i="102"/>
  <c r="AJ8" i="145" s="1"/>
  <c r="G73" i="85"/>
  <c r="H33" i="142"/>
  <c r="F76" i="85" s="1"/>
  <c r="AD7" i="102"/>
  <c r="AD8" i="145" s="1"/>
  <c r="F73" i="85"/>
  <c r="AC7" i="102"/>
  <c r="H34" i="142"/>
  <c r="F77" i="85" s="1"/>
  <c r="AU7" i="102"/>
  <c r="K34" i="142"/>
  <c r="I77" i="85" s="1"/>
  <c r="D73" i="85"/>
  <c r="R7" i="102"/>
  <c r="R8" i="145" s="1"/>
  <c r="F33" i="142"/>
  <c r="D76" i="85" s="1"/>
  <c r="AV7" i="102"/>
  <c r="K33" i="142"/>
  <c r="I76" i="85" s="1"/>
  <c r="I73" i="85"/>
  <c r="I74" i="85" s="1"/>
  <c r="BB7" i="102"/>
  <c r="BB8" i="145" s="1"/>
  <c r="L33" i="142"/>
  <c r="J76" i="85" s="1"/>
  <c r="J73" i="85"/>
  <c r="J74" i="85" s="1"/>
  <c r="W7" i="102"/>
  <c r="G34" i="142"/>
  <c r="E77" i="85" s="1"/>
  <c r="H73" i="85"/>
  <c r="AO7" i="102"/>
  <c r="J34" i="142"/>
  <c r="H77" i="85" s="1"/>
  <c r="BA7" i="102"/>
  <c r="L34" i="142"/>
  <c r="J77" i="85" s="1"/>
  <c r="E73" i="85"/>
  <c r="G33" i="142"/>
  <c r="E76" i="85" s="1"/>
  <c r="X7" i="102"/>
  <c r="X8" i="145" s="1"/>
  <c r="AP7" i="102"/>
  <c r="AP8" i="145" s="1"/>
  <c r="J33" i="142"/>
  <c r="H76" i="85" s="1"/>
  <c r="I10" i="84"/>
  <c r="I11" i="84" s="1"/>
  <c r="I12" i="84" s="1"/>
  <c r="F21" i="95"/>
  <c r="J10" i="84"/>
  <c r="J11" i="84" s="1"/>
  <c r="J12" i="84" s="1"/>
  <c r="J24" i="87"/>
  <c r="J23" i="87"/>
  <c r="J25" i="87"/>
  <c r="J26" i="87"/>
  <c r="J29" i="87"/>
  <c r="J27" i="87"/>
  <c r="E38" i="142"/>
  <c r="I26" i="87"/>
  <c r="C16" i="85"/>
  <c r="I7" i="140" s="1"/>
  <c r="C17" i="85"/>
  <c r="J7" i="140" s="1"/>
  <c r="I27" i="87"/>
  <c r="I24" i="87"/>
  <c r="I30" i="85" s="1"/>
  <c r="I33" i="85" s="1"/>
  <c r="I25" i="87"/>
  <c r="I23" i="87"/>
  <c r="I24" i="85" s="1"/>
  <c r="I27" i="85" s="1"/>
  <c r="I29" i="87"/>
  <c r="R197" i="88"/>
  <c r="I197" i="88"/>
  <c r="H197" i="88"/>
  <c r="L197" i="88"/>
  <c r="M197" i="88"/>
  <c r="E197" i="88"/>
  <c r="D197" i="88"/>
  <c r="E8" i="144" l="1"/>
  <c r="E8" i="145"/>
  <c r="L10" i="144"/>
  <c r="L10" i="145"/>
  <c r="AO8" i="145"/>
  <c r="AO8" i="144"/>
  <c r="Q8" i="145"/>
  <c r="Q8" i="144"/>
  <c r="BA8" i="145"/>
  <c r="BA8" i="144"/>
  <c r="AU8" i="144"/>
  <c r="AU8" i="145"/>
  <c r="AI8" i="145"/>
  <c r="AI8" i="144"/>
  <c r="B14" i="143"/>
  <c r="AV8" i="145"/>
  <c r="AV8" i="144"/>
  <c r="W8" i="145"/>
  <c r="W8" i="144"/>
  <c r="B11" i="143"/>
  <c r="B76" i="85"/>
  <c r="AC8" i="144"/>
  <c r="AC8" i="145"/>
  <c r="F8" i="144"/>
  <c r="F8" i="145"/>
  <c r="D19" i="144"/>
  <c r="D19" i="145"/>
  <c r="X9" i="102"/>
  <c r="X8" i="144"/>
  <c r="R9" i="102"/>
  <c r="R8" i="144"/>
  <c r="F9" i="102"/>
  <c r="AD9" i="102"/>
  <c r="AD8" i="144"/>
  <c r="AJ9" i="102"/>
  <c r="AJ8" i="144"/>
  <c r="BB9" i="102"/>
  <c r="BB8" i="144"/>
  <c r="AP9" i="102"/>
  <c r="AP8" i="144"/>
  <c r="AV9" i="102"/>
  <c r="J197" i="88"/>
  <c r="L46" i="95" s="1"/>
  <c r="F197" i="88"/>
  <c r="K7" i="140"/>
  <c r="J42" i="85"/>
  <c r="J45" i="85" s="1"/>
  <c r="I36" i="85"/>
  <c r="I39" i="85" s="1"/>
  <c r="I48" i="85"/>
  <c r="I51" i="85" s="1"/>
  <c r="I42" i="85"/>
  <c r="I45" i="85" s="1"/>
  <c r="J48" i="85"/>
  <c r="J51" i="85" s="1"/>
  <c r="I60" i="85"/>
  <c r="J60" i="85"/>
  <c r="J36" i="85"/>
  <c r="J39" i="85" s="1"/>
  <c r="J24" i="85"/>
  <c r="J30" i="85"/>
  <c r="W197" i="88"/>
  <c r="L122" i="95" s="1"/>
  <c r="V197" i="88"/>
  <c r="L141" i="95" s="1"/>
  <c r="U197" i="88"/>
  <c r="L103" i="95" s="1"/>
  <c r="AR6" i="102"/>
  <c r="K9" i="142"/>
  <c r="K12" i="142" s="1"/>
  <c r="I14" i="84" s="1"/>
  <c r="AL6" i="140"/>
  <c r="AO6" i="140" s="1"/>
  <c r="AQ6" i="140"/>
  <c r="AT6" i="140" s="1"/>
  <c r="G26" i="109"/>
  <c r="L9" i="142"/>
  <c r="L12" i="142" s="1"/>
  <c r="J14" i="84" s="1"/>
  <c r="AX6" i="102"/>
  <c r="AW7" i="102"/>
  <c r="BC7" i="102"/>
  <c r="I14" i="85"/>
  <c r="AK7" i="140" s="1"/>
  <c r="I16" i="85"/>
  <c r="AM7" i="140" s="1"/>
  <c r="K38" i="142"/>
  <c r="L38" i="142"/>
  <c r="H30" i="87"/>
  <c r="C18" i="85"/>
  <c r="C20" i="85" s="1"/>
  <c r="I30" i="87"/>
  <c r="N197" i="88"/>
  <c r="S197" i="88" s="1"/>
  <c r="L160" i="95" l="1"/>
  <c r="X197" i="88"/>
  <c r="L9" i="95" s="1"/>
  <c r="BC8" i="144"/>
  <c r="BC8" i="145"/>
  <c r="R10" i="144"/>
  <c r="R10" i="145"/>
  <c r="AW8" i="145"/>
  <c r="AW8" i="144"/>
  <c r="AV10" i="144"/>
  <c r="AV10" i="145"/>
  <c r="X10" i="144"/>
  <c r="X10" i="145"/>
  <c r="AD10" i="144"/>
  <c r="AD10" i="145"/>
  <c r="F10" i="144"/>
  <c r="F10" i="145"/>
  <c r="AP10" i="144"/>
  <c r="AP10" i="145"/>
  <c r="BB10" i="144"/>
  <c r="BB10" i="145"/>
  <c r="AJ10" i="144"/>
  <c r="AJ10" i="145"/>
  <c r="AR7" i="144"/>
  <c r="AX7" i="144"/>
  <c r="AW6" i="102"/>
  <c r="J27" i="85"/>
  <c r="J14" i="85" s="1"/>
  <c r="AP7" i="140" s="1"/>
  <c r="J33" i="85"/>
  <c r="J16" i="85" s="1"/>
  <c r="AR7" i="140" s="1"/>
  <c r="J63" i="85"/>
  <c r="J15" i="85" s="1"/>
  <c r="AQ7" i="140" s="1"/>
  <c r="I15" i="85"/>
  <c r="AL7" i="140" s="1"/>
  <c r="I63" i="85"/>
  <c r="J17" i="85"/>
  <c r="AS7" i="140" s="1"/>
  <c r="I17" i="85"/>
  <c r="AN7" i="140" s="1"/>
  <c r="T197" i="88"/>
  <c r="L84" i="95" s="1"/>
  <c r="L65" i="95"/>
  <c r="G55" i="109"/>
  <c r="BC6" i="102"/>
  <c r="Y197" i="88"/>
  <c r="C19" i="85"/>
  <c r="AW7" i="144" l="1"/>
  <c r="BC7" i="144"/>
  <c r="J18" i="85"/>
  <c r="J20" i="85" s="1"/>
  <c r="I18" i="85"/>
  <c r="I20" i="85" s="1"/>
  <c r="AY7" i="140"/>
  <c r="BD7" i="140"/>
  <c r="Z197" i="88"/>
  <c r="J19" i="85" l="1"/>
  <c r="I19" i="85"/>
  <c r="S23" i="108"/>
  <c r="S25" i="108"/>
  <c r="R27" i="108"/>
  <c r="S27" i="108"/>
  <c r="R28" i="108"/>
  <c r="S28" i="108"/>
  <c r="L23" i="108"/>
  <c r="M23" i="108"/>
  <c r="L25" i="108"/>
  <c r="M25" i="108"/>
  <c r="L27" i="108"/>
  <c r="M27" i="108"/>
  <c r="L28" i="108"/>
  <c r="M28" i="108"/>
  <c r="D23" i="108"/>
  <c r="T25" i="108"/>
  <c r="T23" i="108"/>
  <c r="T28" i="108"/>
  <c r="T27" i="108"/>
  <c r="O28" i="108" l="1"/>
  <c r="P28" i="108" s="1"/>
  <c r="O27" i="108"/>
  <c r="Q27" i="108" s="1"/>
  <c r="O25" i="108"/>
  <c r="P25" i="108" s="1"/>
  <c r="O23" i="108"/>
  <c r="P23" i="108" s="1"/>
  <c r="Q25" i="108" l="1"/>
  <c r="Q28" i="108"/>
  <c r="Q23" i="108"/>
  <c r="P27" i="108"/>
  <c r="L18" i="108" l="1"/>
  <c r="M18" i="108"/>
  <c r="R18" i="108"/>
  <c r="S18" i="108"/>
  <c r="T18" i="108"/>
  <c r="O18" i="108" l="1"/>
  <c r="P18" i="108" s="1"/>
  <c r="Q18" i="108" l="1"/>
  <c r="J58" i="95" l="1"/>
  <c r="J132" i="95" l="1"/>
  <c r="J134" i="95"/>
  <c r="J131" i="95"/>
  <c r="J133" i="95"/>
  <c r="J74" i="95"/>
  <c r="J75" i="95"/>
  <c r="J77" i="95"/>
  <c r="J76" i="95"/>
  <c r="J95" i="95"/>
  <c r="J93" i="95"/>
  <c r="J96" i="95"/>
  <c r="J94" i="95"/>
  <c r="J112" i="95"/>
  <c r="J114" i="95"/>
  <c r="J113" i="95"/>
  <c r="J115" i="95"/>
  <c r="J150" i="95"/>
  <c r="J152" i="95"/>
  <c r="J151" i="95"/>
  <c r="J153" i="95"/>
  <c r="J170" i="95"/>
  <c r="J172" i="95"/>
  <c r="J169" i="95"/>
  <c r="J171" i="95"/>
  <c r="J55" i="95"/>
  <c r="J57" i="95"/>
  <c r="J56" i="95"/>
  <c r="H9" i="87" l="1"/>
  <c r="H23" i="87" l="1"/>
  <c r="H26" i="87"/>
  <c r="H25" i="87"/>
  <c r="H29" i="87"/>
  <c r="H24" i="87"/>
  <c r="H27" i="87"/>
  <c r="H48" i="85" l="1"/>
  <c r="H51" i="85" s="1"/>
  <c r="H30" i="85"/>
  <c r="H33" i="85" s="1"/>
  <c r="H60" i="85"/>
  <c r="H63" i="85" s="1"/>
  <c r="H36" i="85"/>
  <c r="H39" i="85" s="1"/>
  <c r="H42" i="85"/>
  <c r="H45" i="85" s="1"/>
  <c r="H24" i="85"/>
  <c r="H27" i="85" s="1"/>
  <c r="G30" i="87"/>
  <c r="E156" i="88"/>
  <c r="F156" i="88"/>
  <c r="G156" i="88"/>
  <c r="E196" i="88" l="1"/>
  <c r="M196" i="88"/>
  <c r="Q196" i="88"/>
  <c r="I196" i="88"/>
  <c r="P196" i="88"/>
  <c r="H196" i="88"/>
  <c r="L196" i="88"/>
  <c r="D196" i="88"/>
  <c r="C5" i="98"/>
  <c r="B7" i="84" s="1"/>
  <c r="D5" i="98"/>
  <c r="E5" i="98"/>
  <c r="F5" i="98"/>
  <c r="G5" i="98"/>
  <c r="H5" i="98"/>
  <c r="I5" i="98"/>
  <c r="J5" i="98"/>
  <c r="K5" i="98"/>
  <c r="L5" i="98"/>
  <c r="M5" i="98"/>
  <c r="N5" i="98"/>
  <c r="O5" i="98"/>
  <c r="P5" i="98"/>
  <c r="Q5" i="98"/>
  <c r="R5" i="98"/>
  <c r="C7" i="84" s="1"/>
  <c r="S5" i="98"/>
  <c r="T5" i="98"/>
  <c r="D7" i="84" s="1"/>
  <c r="U5" i="98"/>
  <c r="V5" i="98"/>
  <c r="W5" i="98"/>
  <c r="E7" i="84" s="1"/>
  <c r="X5" i="98"/>
  <c r="Y5" i="98"/>
  <c r="Z5" i="98"/>
  <c r="AA5" i="98"/>
  <c r="AB5" i="98"/>
  <c r="F7" i="84" s="1"/>
  <c r="S5" i="108"/>
  <c r="AD5" i="98"/>
  <c r="H7" i="84" s="1"/>
  <c r="C7" i="98"/>
  <c r="D7" i="98"/>
  <c r="E7" i="98"/>
  <c r="F7" i="98"/>
  <c r="G7" i="98"/>
  <c r="H7" i="98"/>
  <c r="I7" i="98"/>
  <c r="J7" i="98"/>
  <c r="K7" i="98"/>
  <c r="L7" i="98"/>
  <c r="M7" i="98"/>
  <c r="N7" i="98"/>
  <c r="O7" i="98"/>
  <c r="P7" i="98"/>
  <c r="Q7" i="98"/>
  <c r="R7" i="98"/>
  <c r="S7" i="98"/>
  <c r="T7" i="98"/>
  <c r="U7" i="98"/>
  <c r="V7" i="98"/>
  <c r="W7" i="98"/>
  <c r="X7" i="98"/>
  <c r="Y7" i="98"/>
  <c r="Z7" i="98"/>
  <c r="AA7" i="98"/>
  <c r="AB7" i="98"/>
  <c r="AC7" i="98"/>
  <c r="AD7" i="98"/>
  <c r="C14" i="139"/>
  <c r="C10" i="139"/>
  <c r="C9" i="139"/>
  <c r="C7" i="139"/>
  <c r="C6" i="139"/>
  <c r="C5" i="139"/>
  <c r="C3" i="139"/>
  <c r="S6" i="108"/>
  <c r="F8" i="84" s="1"/>
  <c r="S7" i="108"/>
  <c r="S8" i="108"/>
  <c r="S9" i="108"/>
  <c r="S10" i="108"/>
  <c r="S11" i="108"/>
  <c r="F154" i="88" s="1"/>
  <c r="L194" i="88" s="1"/>
  <c r="S12" i="108"/>
  <c r="G154" i="88" s="1"/>
  <c r="I194" i="88" s="1"/>
  <c r="S13" i="108"/>
  <c r="S14" i="108"/>
  <c r="S15" i="108"/>
  <c r="S16" i="108"/>
  <c r="S17" i="108"/>
  <c r="S19" i="108"/>
  <c r="S20" i="108"/>
  <c r="S21" i="108"/>
  <c r="S22" i="108"/>
  <c r="B3" i="109"/>
  <c r="R6" i="108"/>
  <c r="R7" i="108"/>
  <c r="R8" i="108"/>
  <c r="R9" i="108"/>
  <c r="R10" i="108"/>
  <c r="R11" i="108"/>
  <c r="R12" i="108"/>
  <c r="R13" i="108"/>
  <c r="R14" i="108"/>
  <c r="R16" i="108"/>
  <c r="R17" i="108"/>
  <c r="R19" i="108"/>
  <c r="R20" i="108"/>
  <c r="R21" i="108"/>
  <c r="R22" i="108"/>
  <c r="R5" i="108"/>
  <c r="M6" i="108"/>
  <c r="M7" i="108"/>
  <c r="M8" i="108"/>
  <c r="M9" i="108"/>
  <c r="M10" i="108"/>
  <c r="M11" i="108"/>
  <c r="M12" i="108"/>
  <c r="M13" i="108"/>
  <c r="M14" i="108"/>
  <c r="M16" i="108"/>
  <c r="M17" i="108"/>
  <c r="M19" i="108"/>
  <c r="M20" i="108"/>
  <c r="M21" i="108"/>
  <c r="M22" i="108"/>
  <c r="M5" i="108"/>
  <c r="L6" i="108"/>
  <c r="L7" i="108"/>
  <c r="O7" i="108" s="1"/>
  <c r="L8" i="108"/>
  <c r="L9" i="108"/>
  <c r="L10" i="108"/>
  <c r="L11" i="108"/>
  <c r="O11" i="108" s="1"/>
  <c r="L12" i="108"/>
  <c r="L13" i="108"/>
  <c r="L14" i="108"/>
  <c r="L16" i="108"/>
  <c r="O16" i="108" s="1"/>
  <c r="L17" i="108"/>
  <c r="L19" i="108"/>
  <c r="O19" i="108" s="1"/>
  <c r="Q19" i="108" s="1"/>
  <c r="L20" i="108"/>
  <c r="L21" i="108"/>
  <c r="L22" i="108"/>
  <c r="L5" i="108"/>
  <c r="B61" i="85"/>
  <c r="B62" i="85"/>
  <c r="G9" i="87"/>
  <c r="H171" i="95"/>
  <c r="G169" i="95"/>
  <c r="F169" i="95"/>
  <c r="D169" i="95"/>
  <c r="H150" i="95"/>
  <c r="G153" i="95"/>
  <c r="F153" i="95"/>
  <c r="B6" i="88"/>
  <c r="D151" i="95"/>
  <c r="H132" i="95"/>
  <c r="G133" i="95"/>
  <c r="F132" i="95"/>
  <c r="D132" i="95"/>
  <c r="H113" i="95"/>
  <c r="F115" i="95"/>
  <c r="D114" i="95"/>
  <c r="H94" i="95"/>
  <c r="G94" i="95"/>
  <c r="F94" i="95"/>
  <c r="D93" i="95"/>
  <c r="H75" i="95"/>
  <c r="G76" i="95"/>
  <c r="F76" i="95"/>
  <c r="D74" i="95"/>
  <c r="H57" i="95"/>
  <c r="G57" i="95"/>
  <c r="F56" i="95"/>
  <c r="D55" i="95"/>
  <c r="D27" i="95"/>
  <c r="F155" i="88"/>
  <c r="L195" i="88" s="1"/>
  <c r="G155" i="88"/>
  <c r="M195" i="88" s="1"/>
  <c r="C33" i="105"/>
  <c r="E33" i="105"/>
  <c r="F33" i="105"/>
  <c r="G33" i="105"/>
  <c r="H33" i="105"/>
  <c r="I33" i="105"/>
  <c r="C34" i="105"/>
  <c r="E34" i="105"/>
  <c r="F34" i="105"/>
  <c r="G34" i="105"/>
  <c r="H34" i="105"/>
  <c r="I34" i="105"/>
  <c r="C35" i="105"/>
  <c r="E35" i="105"/>
  <c r="F35" i="105"/>
  <c r="G35" i="105"/>
  <c r="H35" i="105"/>
  <c r="I35" i="105"/>
  <c r="C36" i="105"/>
  <c r="E36" i="105"/>
  <c r="G36" i="105"/>
  <c r="H36" i="105"/>
  <c r="I36" i="105"/>
  <c r="C37" i="105"/>
  <c r="E37" i="105"/>
  <c r="F37" i="105"/>
  <c r="G37" i="105"/>
  <c r="H37" i="105"/>
  <c r="I37" i="105"/>
  <c r="C38" i="105"/>
  <c r="F38" i="105"/>
  <c r="G38" i="105"/>
  <c r="H38" i="105"/>
  <c r="I38" i="105"/>
  <c r="C39" i="105"/>
  <c r="E39" i="105"/>
  <c r="F39" i="105"/>
  <c r="G39" i="105"/>
  <c r="H39" i="105"/>
  <c r="I39" i="105"/>
  <c r="C40" i="105"/>
  <c r="E40" i="105"/>
  <c r="F40" i="105"/>
  <c r="G40" i="105"/>
  <c r="H40" i="105"/>
  <c r="I40" i="105"/>
  <c r="C41" i="105"/>
  <c r="E41" i="105"/>
  <c r="F41" i="105"/>
  <c r="G41" i="105"/>
  <c r="H41" i="105"/>
  <c r="I41" i="105"/>
  <c r="C42" i="105"/>
  <c r="E42" i="105"/>
  <c r="F42" i="105"/>
  <c r="G42" i="105"/>
  <c r="H42" i="105"/>
  <c r="I42" i="105"/>
  <c r="C43" i="105"/>
  <c r="E43" i="105"/>
  <c r="F43" i="105"/>
  <c r="G43" i="105"/>
  <c r="H43" i="105"/>
  <c r="I43" i="105"/>
  <c r="C44" i="105"/>
  <c r="E44" i="105"/>
  <c r="F44" i="105"/>
  <c r="G44" i="105"/>
  <c r="H44" i="105"/>
  <c r="I44" i="105"/>
  <c r="C45" i="105"/>
  <c r="E45" i="105"/>
  <c r="F45" i="105"/>
  <c r="G45" i="105"/>
  <c r="H45" i="105"/>
  <c r="I45" i="105"/>
  <c r="C46" i="105"/>
  <c r="E46" i="105"/>
  <c r="F46" i="105"/>
  <c r="G46" i="105"/>
  <c r="H46" i="105"/>
  <c r="I46" i="105"/>
  <c r="E32" i="105"/>
  <c r="F32" i="105"/>
  <c r="G32" i="105"/>
  <c r="H32" i="105"/>
  <c r="I32" i="105"/>
  <c r="C32" i="105"/>
  <c r="H74" i="85"/>
  <c r="E153" i="88"/>
  <c r="F144" i="88"/>
  <c r="L184" i="88" s="1"/>
  <c r="G144" i="88"/>
  <c r="Q184" i="88" s="1"/>
  <c r="F128" i="88"/>
  <c r="G128" i="88"/>
  <c r="E168" i="88" s="1"/>
  <c r="E128" i="88"/>
  <c r="AH22" i="81"/>
  <c r="AH14" i="81"/>
  <c r="AH6" i="81"/>
  <c r="AJ22" i="81"/>
  <c r="AD22" i="81"/>
  <c r="X22" i="81"/>
  <c r="R22" i="81"/>
  <c r="AG22" i="81"/>
  <c r="AG14" i="81"/>
  <c r="AG6" i="81"/>
  <c r="AF22" i="81"/>
  <c r="AB22" i="81"/>
  <c r="AB14" i="81"/>
  <c r="AB6" i="81"/>
  <c r="AB30" i="81"/>
  <c r="AA22" i="81"/>
  <c r="AA14" i="81"/>
  <c r="AA6" i="81"/>
  <c r="AA30" i="81"/>
  <c r="Z22" i="81"/>
  <c r="V22" i="81"/>
  <c r="V14" i="81"/>
  <c r="V6" i="81"/>
  <c r="V30" i="81" s="1"/>
  <c r="U22" i="81"/>
  <c r="T22" i="81"/>
  <c r="P22" i="81"/>
  <c r="P14" i="81"/>
  <c r="P6" i="81"/>
  <c r="O22" i="81"/>
  <c r="N22" i="81"/>
  <c r="U14" i="81"/>
  <c r="U30" i="81" s="1"/>
  <c r="U6" i="81"/>
  <c r="I22" i="81"/>
  <c r="I14" i="81"/>
  <c r="I6" i="81"/>
  <c r="J22" i="81"/>
  <c r="J14" i="81"/>
  <c r="J6" i="81"/>
  <c r="L22" i="81"/>
  <c r="A90" i="88"/>
  <c r="AI14" i="81"/>
  <c r="AF14" i="81"/>
  <c r="AC14" i="81"/>
  <c r="Z14" i="81"/>
  <c r="W14" i="81"/>
  <c r="T14" i="81"/>
  <c r="Q14" i="81"/>
  <c r="AK12" i="81"/>
  <c r="AK11" i="81"/>
  <c r="AK10" i="81"/>
  <c r="AK9" i="81"/>
  <c r="AK8" i="81"/>
  <c r="AK7" i="81"/>
  <c r="AJ6" i="81"/>
  <c r="AI6" i="81"/>
  <c r="AE12" i="81"/>
  <c r="AE11" i="81"/>
  <c r="AE10" i="81"/>
  <c r="AE9" i="81"/>
  <c r="AE8" i="81"/>
  <c r="AE7" i="81"/>
  <c r="AD6" i="81"/>
  <c r="AC6" i="81"/>
  <c r="Y12" i="81"/>
  <c r="Y11" i="81"/>
  <c r="Y10" i="81"/>
  <c r="Y9" i="81"/>
  <c r="Y8" i="81"/>
  <c r="Y7" i="81"/>
  <c r="X6" i="81"/>
  <c r="W6" i="81"/>
  <c r="S12" i="81"/>
  <c r="S11" i="81"/>
  <c r="S10" i="81"/>
  <c r="S9" i="81"/>
  <c r="S8" i="81"/>
  <c r="S7" i="81"/>
  <c r="R6" i="81"/>
  <c r="Q6" i="81"/>
  <c r="O6" i="81"/>
  <c r="K6" i="81"/>
  <c r="E129" i="88"/>
  <c r="E130" i="88"/>
  <c r="E131" i="88"/>
  <c r="E132" i="88"/>
  <c r="E133" i="88"/>
  <c r="E134" i="88"/>
  <c r="E135" i="88"/>
  <c r="E136" i="88"/>
  <c r="E137" i="88"/>
  <c r="E138" i="88"/>
  <c r="E139" i="88"/>
  <c r="E140" i="88"/>
  <c r="E141" i="88"/>
  <c r="E142" i="88"/>
  <c r="E143" i="88"/>
  <c r="E144" i="88"/>
  <c r="E145" i="88"/>
  <c r="E146" i="88"/>
  <c r="E147" i="88"/>
  <c r="E148" i="88"/>
  <c r="E150" i="88"/>
  <c r="E151" i="88"/>
  <c r="E152" i="88"/>
  <c r="E155" i="88"/>
  <c r="G129" i="88"/>
  <c r="I169" i="88" s="1"/>
  <c r="G130" i="88"/>
  <c r="E170" i="88" s="1"/>
  <c r="G131" i="88"/>
  <c r="I171" i="88" s="1"/>
  <c r="G132" i="88"/>
  <c r="M172" i="88" s="1"/>
  <c r="G133" i="88"/>
  <c r="I173" i="88" s="1"/>
  <c r="G134" i="88"/>
  <c r="I174" i="88" s="1"/>
  <c r="F129" i="88"/>
  <c r="L169" i="88" s="1"/>
  <c r="F130" i="88"/>
  <c r="P170" i="88" s="1"/>
  <c r="F131" i="88"/>
  <c r="P171" i="88" s="1"/>
  <c r="F132" i="88"/>
  <c r="P172" i="88" s="1"/>
  <c r="F133" i="88"/>
  <c r="H173" i="88" s="1"/>
  <c r="F134" i="88"/>
  <c r="L174" i="88" s="1"/>
  <c r="G146" i="88"/>
  <c r="Q186" i="88" s="1"/>
  <c r="G147" i="88"/>
  <c r="M187" i="88" s="1"/>
  <c r="G148" i="88"/>
  <c r="M188" i="88" s="1"/>
  <c r="F148" i="88"/>
  <c r="P188" i="88" s="1"/>
  <c r="G149" i="88"/>
  <c r="M189" i="88" s="1"/>
  <c r="G150" i="88"/>
  <c r="E190" i="88" s="1"/>
  <c r="G151" i="88"/>
  <c r="E191" i="88" s="1"/>
  <c r="G152" i="88"/>
  <c r="M192" i="88" s="1"/>
  <c r="G153" i="88"/>
  <c r="Q193" i="88" s="1"/>
  <c r="F146" i="88"/>
  <c r="L186" i="88" s="1"/>
  <c r="F147" i="88"/>
  <c r="H187" i="88" s="1"/>
  <c r="F149" i="88"/>
  <c r="L189" i="88" s="1"/>
  <c r="F150" i="88"/>
  <c r="F151" i="88"/>
  <c r="D191" i="88" s="1"/>
  <c r="F152" i="88"/>
  <c r="P192" i="88" s="1"/>
  <c r="F153" i="88"/>
  <c r="D193" i="88" s="1"/>
  <c r="F135" i="88"/>
  <c r="D175" i="88" s="1"/>
  <c r="F136" i="88"/>
  <c r="P176" i="88" s="1"/>
  <c r="F137" i="88"/>
  <c r="H177" i="88" s="1"/>
  <c r="F138" i="88"/>
  <c r="L178" i="88" s="1"/>
  <c r="G138" i="88"/>
  <c r="F139" i="88"/>
  <c r="L179" i="88" s="1"/>
  <c r="G139" i="88"/>
  <c r="M179" i="88" s="1"/>
  <c r="F140" i="88"/>
  <c r="H180" i="88" s="1"/>
  <c r="F141" i="88"/>
  <c r="L181" i="88" s="1"/>
  <c r="G141" i="88"/>
  <c r="F142" i="88"/>
  <c r="P182" i="88" s="1"/>
  <c r="G142" i="88"/>
  <c r="E182" i="88" s="1"/>
  <c r="F143" i="88"/>
  <c r="H183" i="88" s="1"/>
  <c r="F145" i="88"/>
  <c r="D185" i="88" s="1"/>
  <c r="G145" i="88"/>
  <c r="M185" i="88" s="1"/>
  <c r="K14" i="81"/>
  <c r="H22" i="81"/>
  <c r="H14" i="81"/>
  <c r="L6" i="81"/>
  <c r="E14" i="81"/>
  <c r="E6" i="81"/>
  <c r="B22" i="81"/>
  <c r="B14" i="81"/>
  <c r="F22" i="81"/>
  <c r="F6" i="81"/>
  <c r="C22" i="81"/>
  <c r="C14" i="81"/>
  <c r="C6" i="81"/>
  <c r="C30" i="81" s="1"/>
  <c r="D22" i="81"/>
  <c r="D14" i="81"/>
  <c r="D6" i="81"/>
  <c r="D30" i="81" s="1"/>
  <c r="M7" i="81"/>
  <c r="M8" i="81"/>
  <c r="M9" i="81"/>
  <c r="M10" i="81"/>
  <c r="M11" i="81"/>
  <c r="M12" i="81"/>
  <c r="G8" i="81"/>
  <c r="G9" i="81"/>
  <c r="G10" i="81"/>
  <c r="G11" i="81"/>
  <c r="G12" i="81"/>
  <c r="G7" i="81"/>
  <c r="G135" i="88"/>
  <c r="E175" i="88" s="1"/>
  <c r="G136" i="88"/>
  <c r="E176" i="88" s="1"/>
  <c r="G137" i="88"/>
  <c r="I177" i="88" s="1"/>
  <c r="G140" i="88"/>
  <c r="G143" i="88"/>
  <c r="Q183" i="88" s="1"/>
  <c r="E9" i="87"/>
  <c r="D9" i="87"/>
  <c r="F9" i="87"/>
  <c r="F24" i="87" s="1"/>
  <c r="I30" i="81"/>
  <c r="O20" i="108"/>
  <c r="D9" i="84"/>
  <c r="G9" i="84"/>
  <c r="B9" i="84"/>
  <c r="F9" i="84"/>
  <c r="D7" i="108"/>
  <c r="T11" i="108"/>
  <c r="T20" i="108"/>
  <c r="T16" i="108"/>
  <c r="T12" i="108"/>
  <c r="T17" i="108"/>
  <c r="T13" i="108"/>
  <c r="T14" i="108"/>
  <c r="T5" i="108"/>
  <c r="T15" i="108"/>
  <c r="T8" i="108"/>
  <c r="T19" i="108"/>
  <c r="T10" i="108"/>
  <c r="T6" i="108"/>
  <c r="T21" i="108"/>
  <c r="T7" i="108"/>
  <c r="T22" i="108"/>
  <c r="T9" i="108"/>
  <c r="B20" i="144" l="1"/>
  <c r="B20" i="145"/>
  <c r="H168" i="88"/>
  <c r="D168" i="88"/>
  <c r="F168" i="88" s="1"/>
  <c r="P175" i="88"/>
  <c r="L175" i="88"/>
  <c r="F30" i="85"/>
  <c r="F33" i="85" s="1"/>
  <c r="C10" i="84"/>
  <c r="C11" i="84" s="1"/>
  <c r="C12" i="84" s="1"/>
  <c r="H175" i="88"/>
  <c r="Q173" i="88"/>
  <c r="I184" i="88"/>
  <c r="M184" i="88"/>
  <c r="N184" i="88" s="1"/>
  <c r="S184" i="88" s="1"/>
  <c r="E184" i="88"/>
  <c r="E173" i="88"/>
  <c r="M173" i="88"/>
  <c r="F196" i="88"/>
  <c r="I75" i="95"/>
  <c r="I77" i="95"/>
  <c r="I74" i="95"/>
  <c r="I76" i="95"/>
  <c r="I93" i="95"/>
  <c r="I95" i="95"/>
  <c r="I94" i="95"/>
  <c r="I96" i="95"/>
  <c r="I112" i="95"/>
  <c r="I114" i="95"/>
  <c r="I113" i="95"/>
  <c r="I115" i="95"/>
  <c r="I132" i="95"/>
  <c r="I131" i="95"/>
  <c r="I133" i="95"/>
  <c r="I134" i="95"/>
  <c r="I150" i="95"/>
  <c r="I152" i="95"/>
  <c r="I151" i="95"/>
  <c r="I153" i="95"/>
  <c r="I170" i="95"/>
  <c r="I172" i="95"/>
  <c r="I169" i="95"/>
  <c r="I171" i="95"/>
  <c r="D187" i="88"/>
  <c r="H182" i="88"/>
  <c r="E188" i="88"/>
  <c r="N196" i="88"/>
  <c r="S196" i="88" s="1"/>
  <c r="AJ18" i="81"/>
  <c r="AK18" i="81" s="1"/>
  <c r="E29" i="87"/>
  <c r="F27" i="87"/>
  <c r="E24" i="87"/>
  <c r="F23" i="87"/>
  <c r="D181" i="88"/>
  <c r="L187" i="88"/>
  <c r="N187" i="88" s="1"/>
  <c r="S187" i="88" s="1"/>
  <c r="M170" i="88"/>
  <c r="P185" i="88"/>
  <c r="H185" i="88"/>
  <c r="Q169" i="88"/>
  <c r="H172" i="88"/>
  <c r="Q190" i="88"/>
  <c r="E185" i="88"/>
  <c r="F185" i="88" s="1"/>
  <c r="L172" i="88"/>
  <c r="N172" i="88" s="1"/>
  <c r="S172" i="88" s="1"/>
  <c r="D186" i="88"/>
  <c r="L170" i="88"/>
  <c r="Q174" i="88"/>
  <c r="H170" i="88"/>
  <c r="M174" i="88"/>
  <c r="N174" i="88" s="1"/>
  <c r="S174" i="88" s="1"/>
  <c r="Q192" i="88"/>
  <c r="R192" i="88" s="1"/>
  <c r="D170" i="88"/>
  <c r="F170" i="88" s="1"/>
  <c r="D172" i="88"/>
  <c r="E183" i="88"/>
  <c r="E174" i="88"/>
  <c r="I170" i="88"/>
  <c r="I187" i="88"/>
  <c r="J187" i="88" s="1"/>
  <c r="Q170" i="88"/>
  <c r="R170" i="88" s="1"/>
  <c r="Q187" i="88"/>
  <c r="E172" i="88"/>
  <c r="I191" i="88"/>
  <c r="P173" i="88"/>
  <c r="E187" i="88"/>
  <c r="L173" i="88"/>
  <c r="M175" i="88"/>
  <c r="O21" i="108"/>
  <c r="Q21" i="108" s="1"/>
  <c r="M176" i="88"/>
  <c r="I182" i="88"/>
  <c r="D176" i="88"/>
  <c r="F176" i="88" s="1"/>
  <c r="J177" i="88"/>
  <c r="L180" i="88"/>
  <c r="P184" i="88"/>
  <c r="R184" i="88" s="1"/>
  <c r="E192" i="88"/>
  <c r="L182" i="88"/>
  <c r="H188" i="88"/>
  <c r="H189" i="88"/>
  <c r="I185" i="88"/>
  <c r="M177" i="88"/>
  <c r="E186" i="88"/>
  <c r="H195" i="88"/>
  <c r="D184" i="88"/>
  <c r="I192" i="88"/>
  <c r="D182" i="88"/>
  <c r="F182" i="88" s="1"/>
  <c r="P179" i="88"/>
  <c r="D195" i="88"/>
  <c r="D173" i="88"/>
  <c r="D188" i="88"/>
  <c r="I176" i="88"/>
  <c r="M191" i="88"/>
  <c r="M186" i="88"/>
  <c r="N186" i="88" s="1"/>
  <c r="S186" i="88" s="1"/>
  <c r="P195" i="88"/>
  <c r="Q191" i="88"/>
  <c r="P187" i="88"/>
  <c r="H184" i="88"/>
  <c r="G74" i="95"/>
  <c r="F170" i="95"/>
  <c r="D194" i="88"/>
  <c r="H56" i="95"/>
  <c r="D57" i="95"/>
  <c r="H112" i="95"/>
  <c r="P16" i="108"/>
  <c r="Q16" i="108"/>
  <c r="P194" i="88"/>
  <c r="G134" i="95"/>
  <c r="F29" i="87"/>
  <c r="E25" i="87"/>
  <c r="L171" i="88"/>
  <c r="Q195" i="88"/>
  <c r="D180" i="88"/>
  <c r="H178" i="88"/>
  <c r="M168" i="88"/>
  <c r="I195" i="88"/>
  <c r="Q185" i="88"/>
  <c r="F175" i="88"/>
  <c r="N179" i="88"/>
  <c r="S179" i="88" s="1"/>
  <c r="AH30" i="81"/>
  <c r="F25" i="87"/>
  <c r="F26" i="87"/>
  <c r="E195" i="88"/>
  <c r="P180" i="88"/>
  <c r="D178" i="88"/>
  <c r="I186" i="88"/>
  <c r="AG30" i="81"/>
  <c r="O22" i="108"/>
  <c r="O13" i="108"/>
  <c r="Q13" i="108" s="1"/>
  <c r="D23" i="87"/>
  <c r="J196" i="88"/>
  <c r="K46" i="95" s="1"/>
  <c r="B7" i="88"/>
  <c r="H194" i="88"/>
  <c r="J194" i="88" s="1"/>
  <c r="I46" i="95" s="1"/>
  <c r="H96" i="95"/>
  <c r="E23" i="87"/>
  <c r="M182" i="88"/>
  <c r="A91" i="88"/>
  <c r="A92" i="88" s="1"/>
  <c r="R196" i="88"/>
  <c r="I56" i="95"/>
  <c r="I57" i="95"/>
  <c r="I55" i="95"/>
  <c r="I58" i="95"/>
  <c r="D133" i="95"/>
  <c r="H58" i="95"/>
  <c r="H55" i="95"/>
  <c r="D56" i="95"/>
  <c r="G75" i="95"/>
  <c r="G77" i="95"/>
  <c r="D58" i="95"/>
  <c r="D24" i="87"/>
  <c r="D29" i="87"/>
  <c r="D27" i="87"/>
  <c r="D26" i="87"/>
  <c r="B32" i="85"/>
  <c r="H93" i="95"/>
  <c r="H76" i="95"/>
  <c r="H152" i="95"/>
  <c r="H170" i="95"/>
  <c r="F134" i="95"/>
  <c r="G95" i="95"/>
  <c r="H74" i="95"/>
  <c r="F131" i="95"/>
  <c r="D95" i="95"/>
  <c r="H95" i="95"/>
  <c r="H153" i="95"/>
  <c r="D76" i="95"/>
  <c r="D75" i="95"/>
  <c r="G93" i="95"/>
  <c r="F133" i="95"/>
  <c r="F191" i="88"/>
  <c r="I183" i="88"/>
  <c r="J183" i="88" s="1"/>
  <c r="E46" i="95" s="1"/>
  <c r="D171" i="88"/>
  <c r="E171" i="88"/>
  <c r="L191" i="88"/>
  <c r="Q175" i="88"/>
  <c r="Q177" i="88"/>
  <c r="Q171" i="88"/>
  <c r="R171" i="88" s="1"/>
  <c r="Q179" i="88"/>
  <c r="H192" i="88"/>
  <c r="H186" i="88"/>
  <c r="L176" i="88"/>
  <c r="M183" i="88"/>
  <c r="H171" i="88"/>
  <c r="J171" i="88" s="1"/>
  <c r="D179" i="88"/>
  <c r="M190" i="88"/>
  <c r="P168" i="88"/>
  <c r="P178" i="88"/>
  <c r="I175" i="88"/>
  <c r="P181" i="88"/>
  <c r="H181" i="88"/>
  <c r="Q168" i="88"/>
  <c r="M169" i="88"/>
  <c r="N169" i="88" s="1"/>
  <c r="S169" i="88" s="1"/>
  <c r="I168" i="88"/>
  <c r="J168" i="88" s="1"/>
  <c r="D46" i="95" s="1"/>
  <c r="AQ46" i="95" s="1"/>
  <c r="L188" i="88"/>
  <c r="N188" i="88" s="1"/>
  <c r="S188" i="88" s="1"/>
  <c r="Q176" i="88"/>
  <c r="R176" i="88" s="1"/>
  <c r="J173" i="88"/>
  <c r="E169" i="88"/>
  <c r="P186" i="88"/>
  <c r="R186" i="88" s="1"/>
  <c r="L185" i="88"/>
  <c r="N185" i="88" s="1"/>
  <c r="S185" i="88" s="1"/>
  <c r="P174" i="88"/>
  <c r="H179" i="88"/>
  <c r="I190" i="88"/>
  <c r="L168" i="88"/>
  <c r="H191" i="88"/>
  <c r="P191" i="88"/>
  <c r="E177" i="88"/>
  <c r="I179" i="88"/>
  <c r="H174" i="88"/>
  <c r="J174" i="88" s="1"/>
  <c r="M171" i="88"/>
  <c r="F171" i="95"/>
  <c r="H133" i="95"/>
  <c r="F172" i="95"/>
  <c r="H115" i="95"/>
  <c r="E178" i="88"/>
  <c r="I178" i="88"/>
  <c r="Q178" i="88"/>
  <c r="H190" i="88"/>
  <c r="L190" i="88"/>
  <c r="D190" i="88"/>
  <c r="F190" i="88" s="1"/>
  <c r="P190" i="88"/>
  <c r="E189" i="88"/>
  <c r="Q189" i="88"/>
  <c r="I189" i="88"/>
  <c r="P20" i="108"/>
  <c r="Q20" i="108"/>
  <c r="F95" i="95"/>
  <c r="F93" i="95"/>
  <c r="F96" i="95"/>
  <c r="P169" i="88"/>
  <c r="D169" i="88"/>
  <c r="H169" i="88"/>
  <c r="J169" i="88" s="1"/>
  <c r="M181" i="88"/>
  <c r="N181" i="88" s="1"/>
  <c r="S181" i="88" s="1"/>
  <c r="I181" i="88"/>
  <c r="Q181" i="88"/>
  <c r="L177" i="88"/>
  <c r="P177" i="88"/>
  <c r="D177" i="88"/>
  <c r="N189" i="88"/>
  <c r="S189" i="88" s="1"/>
  <c r="P7" i="108"/>
  <c r="Q7" i="108"/>
  <c r="E180" i="88"/>
  <c r="Q180" i="88"/>
  <c r="I180" i="88"/>
  <c r="J180" i="88" s="1"/>
  <c r="M180" i="88"/>
  <c r="I172" i="88"/>
  <c r="Q172" i="88"/>
  <c r="R172" i="88" s="1"/>
  <c r="F74" i="95"/>
  <c r="F75" i="95"/>
  <c r="F77" i="95"/>
  <c r="D183" i="88"/>
  <c r="L183" i="88"/>
  <c r="P183" i="88"/>
  <c r="R183" i="88" s="1"/>
  <c r="M178" i="88"/>
  <c r="N178" i="88" s="1"/>
  <c r="S178" i="88" s="1"/>
  <c r="Q188" i="88"/>
  <c r="R188" i="88" s="1"/>
  <c r="I188" i="88"/>
  <c r="G114" i="95"/>
  <c r="G115" i="95"/>
  <c r="G112" i="95"/>
  <c r="G113" i="95"/>
  <c r="E74" i="85"/>
  <c r="E181" i="88"/>
  <c r="Q11" i="108"/>
  <c r="P11" i="108"/>
  <c r="D192" i="88"/>
  <c r="L192" i="88"/>
  <c r="N192" i="88" s="1"/>
  <c r="S192" i="88" s="1"/>
  <c r="I193" i="88"/>
  <c r="M193" i="88"/>
  <c r="E193" i="88"/>
  <c r="F193" i="88" s="1"/>
  <c r="B50" i="85"/>
  <c r="B38" i="85"/>
  <c r="B26" i="85"/>
  <c r="P19" i="108"/>
  <c r="D174" i="88"/>
  <c r="Q182" i="88"/>
  <c r="R182" i="88" s="1"/>
  <c r="P189" i="88"/>
  <c r="H176" i="88"/>
  <c r="H193" i="88"/>
  <c r="H151" i="95"/>
  <c r="J30" i="81"/>
  <c r="O17" i="108"/>
  <c r="Q17" i="108" s="1"/>
  <c r="O9" i="108"/>
  <c r="O8" i="108"/>
  <c r="D189" i="88"/>
  <c r="E179" i="88"/>
  <c r="N195" i="88"/>
  <c r="S195" i="88" s="1"/>
  <c r="L193" i="88"/>
  <c r="G96" i="95"/>
  <c r="P193" i="88"/>
  <c r="R193" i="88" s="1"/>
  <c r="AJ17" i="81"/>
  <c r="AK17" i="81" s="1"/>
  <c r="O12" i="108"/>
  <c r="P30" i="81"/>
  <c r="O5" i="108"/>
  <c r="O14" i="108"/>
  <c r="O10" i="108"/>
  <c r="O6" i="108"/>
  <c r="F10" i="84"/>
  <c r="F11" i="84" s="1"/>
  <c r="F12" i="84" s="1"/>
  <c r="D25" i="87"/>
  <c r="H14" i="85"/>
  <c r="AF7" i="140" s="1"/>
  <c r="AJ19" i="81"/>
  <c r="AK19" i="81" s="1"/>
  <c r="AJ20" i="81"/>
  <c r="AK20" i="81" s="1"/>
  <c r="H134" i="95"/>
  <c r="H114" i="95"/>
  <c r="D96" i="95"/>
  <c r="D94" i="95"/>
  <c r="H77" i="95"/>
  <c r="G171" i="95"/>
  <c r="D77" i="95"/>
  <c r="F112" i="95"/>
  <c r="F114" i="95"/>
  <c r="L15" i="108"/>
  <c r="F57" i="95"/>
  <c r="H131" i="95"/>
  <c r="F113" i="95"/>
  <c r="F58" i="95"/>
  <c r="D112" i="95"/>
  <c r="G131" i="95"/>
  <c r="H169" i="95"/>
  <c r="F152" i="95"/>
  <c r="F150" i="95"/>
  <c r="D113" i="95"/>
  <c r="D115" i="95"/>
  <c r="F151" i="95"/>
  <c r="G132" i="95"/>
  <c r="H172" i="95"/>
  <c r="F55" i="95"/>
  <c r="AC5" i="98"/>
  <c r="G7" i="84" s="1"/>
  <c r="B29" i="87"/>
  <c r="B60" i="85" s="1"/>
  <c r="B63" i="85" s="1"/>
  <c r="B25" i="87"/>
  <c r="B36" i="85" s="1"/>
  <c r="B24" i="87"/>
  <c r="B30" i="85" s="1"/>
  <c r="B27" i="87"/>
  <c r="B48" i="85" s="1"/>
  <c r="B26" i="87"/>
  <c r="B42" i="85" s="1"/>
  <c r="B23" i="87"/>
  <c r="B24" i="85" s="1"/>
  <c r="B27" i="85" s="1"/>
  <c r="D8" i="84"/>
  <c r="D10" i="84" s="1"/>
  <c r="D11" i="84" s="1"/>
  <c r="D12" i="84" s="1"/>
  <c r="Q54" i="95"/>
  <c r="F74" i="85"/>
  <c r="C54" i="105"/>
  <c r="C72" i="105" s="1"/>
  <c r="C53" i="105"/>
  <c r="C71" i="105" s="1"/>
  <c r="C59" i="105"/>
  <c r="C77" i="105" s="1"/>
  <c r="C60" i="105"/>
  <c r="C78" i="105" s="1"/>
  <c r="C61" i="105"/>
  <c r="C79" i="105" s="1"/>
  <c r="C64" i="105"/>
  <c r="C82" i="105" s="1"/>
  <c r="C62" i="105"/>
  <c r="C80" i="105" s="1"/>
  <c r="C57" i="105"/>
  <c r="C75" i="105" s="1"/>
  <c r="C58" i="105"/>
  <c r="C76" i="105" s="1"/>
  <c r="C63" i="105"/>
  <c r="C81" i="105" s="1"/>
  <c r="C52" i="105"/>
  <c r="C70" i="105" s="1"/>
  <c r="C55" i="105"/>
  <c r="C73" i="105" s="1"/>
  <c r="B31" i="85"/>
  <c r="B37" i="85"/>
  <c r="B25" i="85"/>
  <c r="B49" i="85"/>
  <c r="C51" i="105"/>
  <c r="C69" i="105" s="1"/>
  <c r="C50" i="105"/>
  <c r="C68" i="105" s="1"/>
  <c r="B43" i="85"/>
  <c r="B55" i="85"/>
  <c r="B57" i="85" s="1"/>
  <c r="C56" i="105"/>
  <c r="C74" i="105" s="1"/>
  <c r="B10" i="84"/>
  <c r="B11" i="84" s="1"/>
  <c r="B12" i="84" s="1"/>
  <c r="D6" i="108"/>
  <c r="E8" i="84"/>
  <c r="H8" i="84"/>
  <c r="G8" i="84"/>
  <c r="E194" i="88"/>
  <c r="Q194" i="88"/>
  <c r="M194" i="88"/>
  <c r="N194" i="88" s="1"/>
  <c r="S194" i="88" s="1"/>
  <c r="D74" i="85"/>
  <c r="X20" i="81"/>
  <c r="Y20" i="81" s="1"/>
  <c r="B44" i="85"/>
  <c r="B56" i="85"/>
  <c r="B74" i="85"/>
  <c r="H9" i="84"/>
  <c r="E9" i="84"/>
  <c r="E154" i="88"/>
  <c r="E26" i="87"/>
  <c r="E27" i="87"/>
  <c r="D152" i="95"/>
  <c r="G170" i="95"/>
  <c r="G150" i="95"/>
  <c r="G152" i="95"/>
  <c r="D170" i="95"/>
  <c r="G56" i="95"/>
  <c r="R15" i="108"/>
  <c r="G151" i="95"/>
  <c r="D171" i="95"/>
  <c r="G172" i="95"/>
  <c r="G58" i="95"/>
  <c r="D131" i="95"/>
  <c r="D153" i="95"/>
  <c r="D150" i="95"/>
  <c r="G55" i="95"/>
  <c r="M15" i="108"/>
  <c r="D134" i="95"/>
  <c r="D172" i="95"/>
  <c r="K26" i="109"/>
  <c r="E17" i="109"/>
  <c r="I26" i="109"/>
  <c r="E75" i="109"/>
  <c r="I84" i="109"/>
  <c r="H26" i="109"/>
  <c r="E16" i="109"/>
  <c r="J26" i="109"/>
  <c r="H84" i="109"/>
  <c r="E74" i="109"/>
  <c r="D160" i="95" l="1"/>
  <c r="K160" i="95"/>
  <c r="X196" i="88"/>
  <c r="K9" i="95" s="1"/>
  <c r="B33" i="85"/>
  <c r="B39" i="85"/>
  <c r="H160" i="95"/>
  <c r="F160" i="95"/>
  <c r="W6" i="140"/>
  <c r="C6" i="140"/>
  <c r="M6" i="140"/>
  <c r="B45" i="85"/>
  <c r="B51" i="85"/>
  <c r="J184" i="88"/>
  <c r="R175" i="88"/>
  <c r="W175" i="88" s="1"/>
  <c r="N175" i="88"/>
  <c r="E48" i="85"/>
  <c r="E24" i="85"/>
  <c r="E27" i="85" s="1"/>
  <c r="F42" i="85"/>
  <c r="F60" i="85"/>
  <c r="F24" i="85"/>
  <c r="D24" i="85"/>
  <c r="E30" i="85"/>
  <c r="D36" i="85"/>
  <c r="D42" i="85"/>
  <c r="F48" i="85"/>
  <c r="J175" i="88"/>
  <c r="D48" i="85"/>
  <c r="E60" i="85"/>
  <c r="E42" i="85"/>
  <c r="E45" i="85" s="1"/>
  <c r="E36" i="85"/>
  <c r="F36" i="85"/>
  <c r="D60" i="85"/>
  <c r="D30" i="85"/>
  <c r="D33" i="85" s="1"/>
  <c r="W172" i="88"/>
  <c r="V172" i="88"/>
  <c r="U172" i="88"/>
  <c r="T169" i="88"/>
  <c r="W171" i="88"/>
  <c r="V171" i="88"/>
  <c r="U171" i="88"/>
  <c r="W170" i="88"/>
  <c r="V170" i="88"/>
  <c r="U170" i="88"/>
  <c r="W193" i="88"/>
  <c r="H122" i="95" s="1"/>
  <c r="V193" i="88"/>
  <c r="H141" i="95" s="1"/>
  <c r="U193" i="88"/>
  <c r="H103" i="95" s="1"/>
  <c r="T195" i="88"/>
  <c r="J84" i="95" s="1"/>
  <c r="J65" i="95"/>
  <c r="W182" i="88"/>
  <c r="V182" i="88"/>
  <c r="U182" i="88"/>
  <c r="W183" i="88"/>
  <c r="E122" i="95" s="1"/>
  <c r="V183" i="88"/>
  <c r="E141" i="95" s="1"/>
  <c r="U183" i="88"/>
  <c r="E103" i="95" s="1"/>
  <c r="T181" i="88"/>
  <c r="T185" i="88"/>
  <c r="F84" i="95" s="1"/>
  <c r="F65" i="95"/>
  <c r="W186" i="88"/>
  <c r="V186" i="88"/>
  <c r="U186" i="88"/>
  <c r="W176" i="88"/>
  <c r="V176" i="88"/>
  <c r="U176" i="88"/>
  <c r="W196" i="88"/>
  <c r="K122" i="95" s="1"/>
  <c r="V196" i="88"/>
  <c r="K141" i="95" s="1"/>
  <c r="U196" i="88"/>
  <c r="K103" i="95" s="1"/>
  <c r="T179" i="88"/>
  <c r="T186" i="88"/>
  <c r="W184" i="88"/>
  <c r="V184" i="88"/>
  <c r="U184" i="88"/>
  <c r="T174" i="88"/>
  <c r="T196" i="88"/>
  <c r="K84" i="95" s="1"/>
  <c r="K65" i="95"/>
  <c r="T184" i="88"/>
  <c r="T187" i="88"/>
  <c r="T189" i="88"/>
  <c r="T194" i="88"/>
  <c r="I84" i="95" s="1"/>
  <c r="I65" i="95"/>
  <c r="T192" i="88"/>
  <c r="W192" i="88"/>
  <c r="V192" i="88"/>
  <c r="U192" i="88"/>
  <c r="W188" i="88"/>
  <c r="G122" i="95" s="1"/>
  <c r="V188" i="88"/>
  <c r="G141" i="95" s="1"/>
  <c r="U188" i="88"/>
  <c r="G103" i="95" s="1"/>
  <c r="T188" i="88"/>
  <c r="G84" i="95" s="1"/>
  <c r="G65" i="95"/>
  <c r="T178" i="88"/>
  <c r="T172" i="88"/>
  <c r="B8" i="88"/>
  <c r="H6" i="140"/>
  <c r="K6" i="140" s="1"/>
  <c r="E9" i="142"/>
  <c r="E12" i="142" s="1"/>
  <c r="C14" i="84" s="1"/>
  <c r="H6" i="102"/>
  <c r="R173" i="88"/>
  <c r="AQ7" i="102"/>
  <c r="N170" i="88"/>
  <c r="S170" i="88" s="1"/>
  <c r="N180" i="88"/>
  <c r="S180" i="88" s="1"/>
  <c r="F174" i="88"/>
  <c r="F184" i="88"/>
  <c r="X184" i="88" s="1"/>
  <c r="F173" i="88"/>
  <c r="N173" i="88"/>
  <c r="S173" i="88" s="1"/>
  <c r="B14" i="85"/>
  <c r="B7" i="140" s="1"/>
  <c r="P21" i="108"/>
  <c r="Z6" i="140"/>
  <c r="H9" i="142"/>
  <c r="H12" i="142" s="1"/>
  <c r="F14" i="84" s="1"/>
  <c r="D9" i="142"/>
  <c r="D12" i="142" s="1"/>
  <c r="B14" i="84" s="1"/>
  <c r="F9" i="142"/>
  <c r="F12" i="142" s="1"/>
  <c r="D14" i="84" s="1"/>
  <c r="J38" i="142"/>
  <c r="R169" i="88"/>
  <c r="J182" i="88"/>
  <c r="J192" i="88"/>
  <c r="F187" i="88"/>
  <c r="F188" i="88"/>
  <c r="J189" i="88"/>
  <c r="F181" i="88"/>
  <c r="AQ160" i="95"/>
  <c r="F180" i="88"/>
  <c r="M7" i="102"/>
  <c r="J185" i="88"/>
  <c r="F46" i="95" s="1"/>
  <c r="F183" i="88"/>
  <c r="F186" i="88"/>
  <c r="R185" i="88"/>
  <c r="X185" i="88" s="1"/>
  <c r="F9" i="95" s="1"/>
  <c r="F194" i="88"/>
  <c r="J172" i="88"/>
  <c r="J186" i="88"/>
  <c r="R174" i="88"/>
  <c r="R190" i="88"/>
  <c r="R187" i="88"/>
  <c r="J170" i="88"/>
  <c r="X170" i="88" s="1"/>
  <c r="R191" i="88"/>
  <c r="J190" i="88"/>
  <c r="J178" i="88"/>
  <c r="R189" i="88"/>
  <c r="F172" i="88"/>
  <c r="F192" i="88"/>
  <c r="F195" i="88"/>
  <c r="J191" i="88"/>
  <c r="N182" i="88"/>
  <c r="S182" i="88" s="1"/>
  <c r="N191" i="88"/>
  <c r="S191" i="88" s="1"/>
  <c r="J176" i="88"/>
  <c r="F169" i="88"/>
  <c r="F177" i="88"/>
  <c r="N171" i="88"/>
  <c r="S171" i="88" s="1"/>
  <c r="R177" i="88"/>
  <c r="R195" i="88"/>
  <c r="R178" i="88"/>
  <c r="N176" i="88"/>
  <c r="S176" i="88" s="1"/>
  <c r="J195" i="88"/>
  <c r="J46" i="95" s="1"/>
  <c r="J181" i="88"/>
  <c r="P17" i="108"/>
  <c r="P13" i="108"/>
  <c r="R180" i="88"/>
  <c r="F179" i="88"/>
  <c r="J188" i="88"/>
  <c r="G46" i="95" s="1"/>
  <c r="F178" i="88"/>
  <c r="N168" i="88"/>
  <c r="S168" i="88" s="1"/>
  <c r="R179" i="88"/>
  <c r="N177" i="88"/>
  <c r="S177" i="88" s="1"/>
  <c r="E30" i="87"/>
  <c r="H17" i="85"/>
  <c r="AI7" i="140" s="1"/>
  <c r="AJ21" i="81"/>
  <c r="AK21" i="81" s="1"/>
  <c r="H15" i="85"/>
  <c r="AG7" i="140" s="1"/>
  <c r="AJ16" i="81"/>
  <c r="AK16" i="81" s="1"/>
  <c r="H16" i="85"/>
  <c r="AH7" i="140" s="1"/>
  <c r="R194" i="88"/>
  <c r="P22" i="108"/>
  <c r="Q22" i="108"/>
  <c r="T13" i="81"/>
  <c r="T6" i="81" s="1"/>
  <c r="X16" i="81"/>
  <c r="Y16" i="81" s="1"/>
  <c r="J179" i="88"/>
  <c r="F189" i="88"/>
  <c r="N183" i="88"/>
  <c r="S183" i="88" s="1"/>
  <c r="R181" i="88"/>
  <c r="N190" i="88"/>
  <c r="S190" i="88" s="1"/>
  <c r="R168" i="88"/>
  <c r="F171" i="88"/>
  <c r="L20" i="81"/>
  <c r="M20" i="81" s="1"/>
  <c r="C30" i="87"/>
  <c r="Q12" i="108"/>
  <c r="P12" i="108"/>
  <c r="O15" i="108"/>
  <c r="P15" i="108" s="1"/>
  <c r="Z6" i="102"/>
  <c r="J193" i="88"/>
  <c r="H46" i="95" s="1"/>
  <c r="Q8" i="108"/>
  <c r="P8" i="108"/>
  <c r="B9" i="88"/>
  <c r="P9" i="108"/>
  <c r="Q9" i="108"/>
  <c r="A93" i="88"/>
  <c r="N193" i="88"/>
  <c r="S193" i="88" s="1"/>
  <c r="D30" i="87"/>
  <c r="R20" i="81"/>
  <c r="S20" i="81" s="1"/>
  <c r="F20" i="81"/>
  <c r="G20" i="81" s="1"/>
  <c r="F19" i="81"/>
  <c r="G19" i="81" s="1"/>
  <c r="AJ15" i="81"/>
  <c r="P6" i="108"/>
  <c r="Q6" i="108"/>
  <c r="Q10" i="108"/>
  <c r="P10" i="108"/>
  <c r="P14" i="108"/>
  <c r="Q14" i="108"/>
  <c r="P5" i="108"/>
  <c r="Q5" i="108"/>
  <c r="C83" i="105"/>
  <c r="B5" i="106" s="1"/>
  <c r="G74" i="85"/>
  <c r="N6" i="102"/>
  <c r="H13" i="81"/>
  <c r="B6" i="102"/>
  <c r="B13" i="81"/>
  <c r="B30" i="87"/>
  <c r="G10" i="84"/>
  <c r="G11" i="84" s="1"/>
  <c r="G12" i="84" s="1"/>
  <c r="C65" i="105"/>
  <c r="H10" i="84"/>
  <c r="H11" i="84" s="1"/>
  <c r="H12" i="84" s="1"/>
  <c r="Q73" i="95"/>
  <c r="Q57" i="95"/>
  <c r="AQ54" i="95"/>
  <c r="Q55" i="95"/>
  <c r="Q56" i="95"/>
  <c r="Q58" i="95"/>
  <c r="E10" i="84"/>
  <c r="E11" i="84" s="1"/>
  <c r="E12" i="84" s="1"/>
  <c r="F17" i="81"/>
  <c r="G17" i="81" s="1"/>
  <c r="G29" i="87"/>
  <c r="G27" i="87"/>
  <c r="G26" i="87"/>
  <c r="G24" i="87"/>
  <c r="G25" i="87"/>
  <c r="G23" i="87"/>
  <c r="X172" i="88" l="1"/>
  <c r="X191" i="88"/>
  <c r="X168" i="88"/>
  <c r="D9" i="95" s="1"/>
  <c r="X169" i="88"/>
  <c r="X171" i="88"/>
  <c r="X176" i="88"/>
  <c r="X187" i="88"/>
  <c r="X190" i="88"/>
  <c r="X182" i="88"/>
  <c r="X174" i="88"/>
  <c r="X186" i="88"/>
  <c r="X175" i="88"/>
  <c r="X189" i="88"/>
  <c r="X193" i="88"/>
  <c r="H9" i="95" s="1"/>
  <c r="M8" i="144"/>
  <c r="M8" i="145"/>
  <c r="X179" i="88"/>
  <c r="X180" i="88"/>
  <c r="X181" i="88"/>
  <c r="I160" i="95"/>
  <c r="X194" i="88"/>
  <c r="I9" i="95" s="1"/>
  <c r="X177" i="88"/>
  <c r="X192" i="88"/>
  <c r="E160" i="95"/>
  <c r="X183" i="88"/>
  <c r="E9" i="95" s="1"/>
  <c r="X178" i="88"/>
  <c r="AQ8" i="145"/>
  <c r="AQ8" i="144"/>
  <c r="G160" i="95"/>
  <c r="X188" i="88"/>
  <c r="G9" i="95" s="1"/>
  <c r="J160" i="95"/>
  <c r="X195" i="88"/>
  <c r="J9" i="95" s="1"/>
  <c r="X173" i="88"/>
  <c r="H7" i="144"/>
  <c r="B7" i="144"/>
  <c r="N7" i="144"/>
  <c r="Z7" i="144"/>
  <c r="AG6" i="140"/>
  <c r="AB6" i="140"/>
  <c r="M6" i="102"/>
  <c r="R6" i="140"/>
  <c r="E14" i="84"/>
  <c r="F45" i="85"/>
  <c r="X18" i="81" s="1"/>
  <c r="Y18" i="81" s="1"/>
  <c r="D63" i="85"/>
  <c r="L21" i="81" s="1"/>
  <c r="M21" i="81" s="1"/>
  <c r="D45" i="85"/>
  <c r="L18" i="81" s="1"/>
  <c r="M18" i="81" s="1"/>
  <c r="E51" i="85"/>
  <c r="E17" i="85" s="1"/>
  <c r="T7" i="140" s="1"/>
  <c r="F39" i="85"/>
  <c r="X17" i="81" s="1"/>
  <c r="Y17" i="81" s="1"/>
  <c r="D39" i="85"/>
  <c r="L17" i="81" s="1"/>
  <c r="M17" i="81" s="1"/>
  <c r="R17" i="81"/>
  <c r="S17" i="81" s="1"/>
  <c r="E39" i="85"/>
  <c r="E33" i="85"/>
  <c r="E16" i="85" s="1"/>
  <c r="S7" i="140" s="1"/>
  <c r="F51" i="85"/>
  <c r="X19" i="81" s="1"/>
  <c r="Y19" i="81" s="1"/>
  <c r="D27" i="85"/>
  <c r="L15" i="81" s="1"/>
  <c r="M15" i="81" s="1"/>
  <c r="E63" i="85"/>
  <c r="R21" i="81" s="1"/>
  <c r="S21" i="81" s="1"/>
  <c r="F27" i="85"/>
  <c r="F14" i="85" s="1"/>
  <c r="V7" i="140" s="1"/>
  <c r="D51" i="85"/>
  <c r="L19" i="81" s="1"/>
  <c r="M19" i="81" s="1"/>
  <c r="F63" i="85"/>
  <c r="F15" i="85" s="1"/>
  <c r="W7" i="140" s="1"/>
  <c r="T175" i="88"/>
  <c r="S175" i="88"/>
  <c r="U175" i="88"/>
  <c r="V175" i="88"/>
  <c r="G24" i="85"/>
  <c r="G36" i="85"/>
  <c r="G30" i="85"/>
  <c r="G33" i="85" s="1"/>
  <c r="G42" i="85"/>
  <c r="G45" i="85" s="1"/>
  <c r="G48" i="85"/>
  <c r="G60" i="85"/>
  <c r="W168" i="88"/>
  <c r="D122" i="95" s="1"/>
  <c r="V168" i="88"/>
  <c r="D141" i="95" s="1"/>
  <c r="U168" i="88"/>
  <c r="D103" i="95" s="1"/>
  <c r="T168" i="88"/>
  <c r="D84" i="95" s="1"/>
  <c r="D65" i="95"/>
  <c r="T171" i="88"/>
  <c r="W169" i="88"/>
  <c r="V169" i="88"/>
  <c r="U169" i="88"/>
  <c r="T170" i="88"/>
  <c r="T193" i="88"/>
  <c r="H84" i="95" s="1"/>
  <c r="H65" i="95"/>
  <c r="W181" i="88"/>
  <c r="V181" i="88"/>
  <c r="U181" i="88"/>
  <c r="T183" i="88"/>
  <c r="E84" i="95" s="1"/>
  <c r="E65" i="95"/>
  <c r="T177" i="88"/>
  <c r="W179" i="88"/>
  <c r="V179" i="88"/>
  <c r="U179" i="88"/>
  <c r="W180" i="88"/>
  <c r="V180" i="88"/>
  <c r="U180" i="88"/>
  <c r="T176" i="88"/>
  <c r="W178" i="88"/>
  <c r="V178" i="88"/>
  <c r="U178" i="88"/>
  <c r="W195" i="88"/>
  <c r="J122" i="95" s="1"/>
  <c r="V195" i="88"/>
  <c r="J141" i="95" s="1"/>
  <c r="U195" i="88"/>
  <c r="J103" i="95" s="1"/>
  <c r="W177" i="88"/>
  <c r="V177" i="88"/>
  <c r="U177" i="88"/>
  <c r="T182" i="88"/>
  <c r="W174" i="88"/>
  <c r="V174" i="88"/>
  <c r="U174" i="88"/>
  <c r="W185" i="88"/>
  <c r="F122" i="95" s="1"/>
  <c r="V185" i="88"/>
  <c r="F141" i="95" s="1"/>
  <c r="U185" i="88"/>
  <c r="F103" i="95" s="1"/>
  <c r="T173" i="88"/>
  <c r="T180" i="88"/>
  <c r="W173" i="88"/>
  <c r="V173" i="88"/>
  <c r="U173" i="88"/>
  <c r="W187" i="88"/>
  <c r="V187" i="88"/>
  <c r="U187" i="88"/>
  <c r="W189" i="88"/>
  <c r="V189" i="88"/>
  <c r="U189" i="88"/>
  <c r="W194" i="88"/>
  <c r="I122" i="95" s="1"/>
  <c r="V194" i="88"/>
  <c r="I141" i="95" s="1"/>
  <c r="U194" i="88"/>
  <c r="I103" i="95" s="1"/>
  <c r="T191" i="88"/>
  <c r="W191" i="88"/>
  <c r="V191" i="88"/>
  <c r="U191" i="88"/>
  <c r="T190" i="88"/>
  <c r="W190" i="88"/>
  <c r="V190" i="88"/>
  <c r="U190" i="88"/>
  <c r="Z186" i="88"/>
  <c r="Z184" i="88"/>
  <c r="Z174" i="88"/>
  <c r="Z172" i="88"/>
  <c r="Z179" i="88"/>
  <c r="Y13" i="81"/>
  <c r="Y7" i="102"/>
  <c r="I9" i="142"/>
  <c r="I12" i="142" s="1"/>
  <c r="G14" i="84" s="1"/>
  <c r="G9" i="142"/>
  <c r="G12" i="142" s="1"/>
  <c r="J9" i="142"/>
  <c r="J12" i="142" s="1"/>
  <c r="H14" i="84" s="1"/>
  <c r="H38" i="142"/>
  <c r="G38" i="142"/>
  <c r="F38" i="142"/>
  <c r="D38" i="142"/>
  <c r="B15" i="85"/>
  <c r="C7" i="140" s="1"/>
  <c r="F21" i="81"/>
  <c r="G21" i="81" s="1"/>
  <c r="Z196" i="88"/>
  <c r="Y196" i="88"/>
  <c r="Y170" i="88"/>
  <c r="Z185" i="88"/>
  <c r="F6" i="140"/>
  <c r="P6" i="140"/>
  <c r="Z188" i="88"/>
  <c r="AE6" i="102"/>
  <c r="D15" i="85"/>
  <c r="M7" i="140" s="1"/>
  <c r="E15" i="85"/>
  <c r="R7" i="140" s="1"/>
  <c r="Y184" i="88"/>
  <c r="AD20" i="81"/>
  <c r="AE20" i="81" s="1"/>
  <c r="H18" i="85"/>
  <c r="AJ6" i="140"/>
  <c r="Z195" i="88"/>
  <c r="Y186" i="88"/>
  <c r="F16" i="85"/>
  <c r="X7" i="140" s="1"/>
  <c r="D14" i="85"/>
  <c r="L7" i="140" s="1"/>
  <c r="R18" i="81"/>
  <c r="S18" i="81" s="1"/>
  <c r="F17" i="85"/>
  <c r="Y7" i="140" s="1"/>
  <c r="D17" i="85"/>
  <c r="O7" i="140" s="1"/>
  <c r="Z194" i="88"/>
  <c r="Z192" i="88"/>
  <c r="Y171" i="88"/>
  <c r="Y182" i="88"/>
  <c r="Z187" i="88"/>
  <c r="Z169" i="88"/>
  <c r="Y172" i="88"/>
  <c r="Y176" i="88"/>
  <c r="Z178" i="88"/>
  <c r="Q15" i="108"/>
  <c r="Z189" i="88"/>
  <c r="Y193" i="88"/>
  <c r="Y192" i="88"/>
  <c r="B10" i="88"/>
  <c r="Z181" i="88"/>
  <c r="A94" i="88"/>
  <c r="Y183" i="88"/>
  <c r="Y188" i="88"/>
  <c r="AK15" i="81"/>
  <c r="AJ14" i="81"/>
  <c r="F15" i="81"/>
  <c r="S7" i="102"/>
  <c r="S8" i="145" s="1"/>
  <c r="B16" i="85"/>
  <c r="D7" i="140" s="1"/>
  <c r="F16" i="81"/>
  <c r="G16" i="81" s="1"/>
  <c r="Q74" i="95"/>
  <c r="AQ55" i="95"/>
  <c r="AF13" i="81"/>
  <c r="AL6" i="102"/>
  <c r="AE7" i="102"/>
  <c r="G7" i="102"/>
  <c r="G8" i="145" s="1"/>
  <c r="H6" i="81"/>
  <c r="M13" i="81"/>
  <c r="T6" i="102"/>
  <c r="N13" i="81"/>
  <c r="Q77" i="95"/>
  <c r="AQ58" i="95"/>
  <c r="Q76" i="95"/>
  <c r="AQ57" i="95"/>
  <c r="Y6" i="81"/>
  <c r="T30" i="81"/>
  <c r="B6" i="81"/>
  <c r="G13" i="81"/>
  <c r="S6" i="102"/>
  <c r="F30" i="87"/>
  <c r="B17" i="85"/>
  <c r="E7" i="140" s="1"/>
  <c r="F18" i="81"/>
  <c r="G18" i="81" s="1"/>
  <c r="D16" i="85"/>
  <c r="N7" i="140" s="1"/>
  <c r="L16" i="81"/>
  <c r="Q75" i="95"/>
  <c r="AQ56" i="95"/>
  <c r="AQ73" i="95"/>
  <c r="Q92" i="95"/>
  <c r="Z13" i="81"/>
  <c r="AF6" i="102"/>
  <c r="G6" i="102"/>
  <c r="E14" i="85"/>
  <c r="Q7" i="140" s="1"/>
  <c r="R15" i="81"/>
  <c r="D181" i="95" l="1"/>
  <c r="D12" i="95"/>
  <c r="B13" i="143"/>
  <c r="Z175" i="88"/>
  <c r="X21" i="81"/>
  <c r="Y21" i="81" s="1"/>
  <c r="AE8" i="144"/>
  <c r="AE8" i="145"/>
  <c r="Y8" i="144"/>
  <c r="Y8" i="145"/>
  <c r="G7" i="144"/>
  <c r="AF7" i="144"/>
  <c r="S7" i="144"/>
  <c r="AE7" i="144"/>
  <c r="AL7" i="144"/>
  <c r="M7" i="144"/>
  <c r="T7" i="144"/>
  <c r="X15" i="81"/>
  <c r="Y15" i="81" s="1"/>
  <c r="R16" i="81"/>
  <c r="S16" i="81" s="1"/>
  <c r="G27" i="85"/>
  <c r="G14" i="85" s="1"/>
  <c r="AA7" i="140" s="1"/>
  <c r="G39" i="85"/>
  <c r="AD17" i="81" s="1"/>
  <c r="AE17" i="81" s="1"/>
  <c r="R19" i="81"/>
  <c r="S19" i="81" s="1"/>
  <c r="G63" i="85"/>
  <c r="G15" i="85" s="1"/>
  <c r="AB7" i="140" s="1"/>
  <c r="G51" i="85"/>
  <c r="AD19" i="81" s="1"/>
  <c r="AE19" i="81" s="1"/>
  <c r="G8" i="144"/>
  <c r="S8" i="144"/>
  <c r="Y175" i="88"/>
  <c r="F7" i="140"/>
  <c r="P7" i="140"/>
  <c r="U7" i="140"/>
  <c r="Y173" i="88"/>
  <c r="AQ65" i="95"/>
  <c r="Z180" i="88"/>
  <c r="Z170" i="88"/>
  <c r="Y168" i="88"/>
  <c r="Z190" i="88"/>
  <c r="Z191" i="88"/>
  <c r="Z176" i="88"/>
  <c r="Z177" i="88"/>
  <c r="Y169" i="88"/>
  <c r="Z171" i="88"/>
  <c r="Z182" i="88"/>
  <c r="Z173" i="88"/>
  <c r="I38" i="142"/>
  <c r="Y187" i="88"/>
  <c r="Y190" i="88"/>
  <c r="Y178" i="88"/>
  <c r="Y185" i="88"/>
  <c r="AQ84" i="95"/>
  <c r="AQ141" i="95"/>
  <c r="AQ122" i="95"/>
  <c r="X14" i="81"/>
  <c r="Y14" i="81" s="1"/>
  <c r="Y195" i="88"/>
  <c r="Z183" i="88"/>
  <c r="AT7" i="140"/>
  <c r="AO7" i="140"/>
  <c r="Y189" i="88"/>
  <c r="Y177" i="88"/>
  <c r="Y181" i="88"/>
  <c r="Y191" i="88"/>
  <c r="Y174" i="88"/>
  <c r="Y180" i="88"/>
  <c r="AE6" i="140"/>
  <c r="U6" i="140"/>
  <c r="Y179" i="88"/>
  <c r="G16" i="85"/>
  <c r="AC7" i="140" s="1"/>
  <c r="AJ7" i="140"/>
  <c r="Z168" i="88"/>
  <c r="H19" i="85"/>
  <c r="H20" i="85"/>
  <c r="Y194" i="88"/>
  <c r="AD21" i="81"/>
  <c r="AE21" i="81" s="1"/>
  <c r="AD15" i="81"/>
  <c r="AE15" i="81" s="1"/>
  <c r="F18" i="85"/>
  <c r="F20" i="85" s="1"/>
  <c r="AQ103" i="95"/>
  <c r="A95" i="88"/>
  <c r="AD16" i="81"/>
  <c r="AE16" i="81" s="1"/>
  <c r="Z193" i="88"/>
  <c r="B11" i="88"/>
  <c r="M16" i="81"/>
  <c r="L14" i="81"/>
  <c r="L30" i="81" s="1"/>
  <c r="D18" i="85"/>
  <c r="D20" i="85" s="1"/>
  <c r="AK14" i="81"/>
  <c r="AJ30" i="81"/>
  <c r="Z6" i="81"/>
  <c r="AE13" i="81"/>
  <c r="Q111" i="95"/>
  <c r="AQ92" i="95"/>
  <c r="Q96" i="95"/>
  <c r="AQ77" i="95"/>
  <c r="S15" i="81"/>
  <c r="AD18" i="81"/>
  <c r="AE18" i="81" s="1"/>
  <c r="AK7" i="102"/>
  <c r="B30" i="81"/>
  <c r="G6" i="81"/>
  <c r="AQ76" i="95"/>
  <c r="Q95" i="95"/>
  <c r="AQ6" i="102"/>
  <c r="B18" i="85"/>
  <c r="S13" i="81"/>
  <c r="N6" i="81"/>
  <c r="S6" i="81" s="1"/>
  <c r="H30" i="81"/>
  <c r="M6" i="81"/>
  <c r="E18" i="85"/>
  <c r="AK6" i="102"/>
  <c r="Q94" i="95"/>
  <c r="AQ75" i="95"/>
  <c r="Y6" i="102"/>
  <c r="AK13" i="81"/>
  <c r="AF6" i="81"/>
  <c r="Q93" i="95"/>
  <c r="AQ74" i="95"/>
  <c r="F14" i="81"/>
  <c r="G15" i="81"/>
  <c r="B18" i="144" l="1"/>
  <c r="B18" i="145"/>
  <c r="AK8" i="145"/>
  <c r="AK8" i="144"/>
  <c r="R14" i="81"/>
  <c r="D13" i="95"/>
  <c r="Y7" i="144"/>
  <c r="AK7" i="144"/>
  <c r="AQ7" i="144"/>
  <c r="G17" i="85"/>
  <c r="AD7" i="140" s="1"/>
  <c r="E46" i="109"/>
  <c r="I55" i="109"/>
  <c r="K55" i="109"/>
  <c r="J55" i="109"/>
  <c r="E45" i="109"/>
  <c r="H55" i="109"/>
  <c r="X30" i="81"/>
  <c r="Z7" i="140"/>
  <c r="F19" i="85"/>
  <c r="D19" i="85"/>
  <c r="M14" i="81"/>
  <c r="B12" i="88"/>
  <c r="A96" i="88"/>
  <c r="Q113" i="95"/>
  <c r="AQ94" i="95"/>
  <c r="N30" i="81"/>
  <c r="G14" i="81"/>
  <c r="F30" i="81"/>
  <c r="Q112" i="95"/>
  <c r="AQ93" i="95"/>
  <c r="R30" i="81"/>
  <c r="S14" i="81"/>
  <c r="AQ111" i="95"/>
  <c r="Q130" i="95"/>
  <c r="AK6" i="81"/>
  <c r="AF30" i="81"/>
  <c r="B20" i="85"/>
  <c r="B19" i="85"/>
  <c r="AD14" i="81"/>
  <c r="E20" i="85"/>
  <c r="E19" i="85"/>
  <c r="G18" i="85"/>
  <c r="Q114" i="95"/>
  <c r="AQ95" i="95"/>
  <c r="Q115" i="95"/>
  <c r="AQ96" i="95"/>
  <c r="Z30" i="81"/>
  <c r="AE6" i="81"/>
  <c r="AE7" i="140" l="1"/>
  <c r="A97" i="88"/>
  <c r="B13" i="88"/>
  <c r="Q134" i="95"/>
  <c r="AQ115" i="95"/>
  <c r="Q133" i="95"/>
  <c r="AQ114" i="95"/>
  <c r="AD30" i="81"/>
  <c r="AE14" i="81"/>
  <c r="O30" i="81"/>
  <c r="G20" i="85"/>
  <c r="G19" i="85"/>
  <c r="Q131" i="95"/>
  <c r="AQ112" i="95"/>
  <c r="Q149" i="95"/>
  <c r="AQ130" i="95"/>
  <c r="AQ113" i="95"/>
  <c r="Q132" i="95"/>
  <c r="B14" i="88" l="1"/>
  <c r="A98" i="88"/>
  <c r="AQ149" i="95"/>
  <c r="Q168" i="95"/>
  <c r="AQ168" i="95" s="1"/>
  <c r="Q151" i="95"/>
  <c r="AQ132" i="95"/>
  <c r="Q153" i="95"/>
  <c r="AQ134" i="95"/>
  <c r="Q150" i="95"/>
  <c r="AQ131" i="95"/>
  <c r="Q152" i="95"/>
  <c r="AQ133" i="95"/>
  <c r="A99" i="88" l="1"/>
  <c r="B15" i="88"/>
  <c r="Q169" i="95"/>
  <c r="AQ169" i="95" s="1"/>
  <c r="AQ150" i="95"/>
  <c r="Q172" i="95"/>
  <c r="AQ172" i="95" s="1"/>
  <c r="AQ153" i="95"/>
  <c r="Q170" i="95"/>
  <c r="AQ170" i="95" s="1"/>
  <c r="AQ151" i="95"/>
  <c r="Q171" i="95"/>
  <c r="AQ171" i="95" s="1"/>
  <c r="AQ152" i="95"/>
  <c r="D28" i="95" l="1"/>
  <c r="B16" i="88"/>
  <c r="A100" i="88"/>
  <c r="A101" i="88" l="1"/>
  <c r="A102" i="88" s="1"/>
  <c r="A103" i="88" s="1"/>
  <c r="A104" i="88" s="1"/>
  <c r="A105" i="88" s="1"/>
  <c r="A106" i="88" s="1"/>
  <c r="A107" i="88" s="1"/>
  <c r="A108" i="88" s="1"/>
  <c r="A109" i="88" s="1"/>
  <c r="A110" i="88" s="1"/>
  <c r="A111" i="88" s="1"/>
  <c r="A112" i="88" s="1"/>
  <c r="A113" i="88" s="1"/>
  <c r="A114" i="88" s="1"/>
  <c r="A115" i="88" s="1"/>
  <c r="A116" i="88" s="1"/>
  <c r="A117" i="88" s="1"/>
  <c r="A118" i="88" s="1"/>
  <c r="A119" i="88" s="1"/>
  <c r="A120" i="88" s="1"/>
  <c r="A121" i="88" s="1"/>
  <c r="B17" i="88"/>
  <c r="Y141" i="95" l="1"/>
  <c r="AY141" i="95" s="1"/>
  <c r="F10" i="95"/>
  <c r="F181" i="95" s="1"/>
  <c r="V141" i="95"/>
  <c r="AV141" i="95" s="1"/>
  <c r="R141" i="95"/>
  <c r="AR141" i="95" s="1"/>
  <c r="W141" i="95"/>
  <c r="Z84" i="95"/>
  <c r="AZ84" i="95" s="1"/>
  <c r="W122" i="95"/>
  <c r="AW122" i="95" s="1"/>
  <c r="X141" i="95"/>
  <c r="AX141" i="95" s="1"/>
  <c r="W84" i="95"/>
  <c r="AW84" i="95" s="1"/>
  <c r="X65" i="95"/>
  <c r="AX65" i="95" s="1"/>
  <c r="AB46" i="95"/>
  <c r="BB46" i="95" s="1"/>
  <c r="X122" i="95"/>
  <c r="AX122" i="95" s="1"/>
  <c r="W103" i="95"/>
  <c r="AW103" i="95" s="1"/>
  <c r="T46" i="95"/>
  <c r="AT46" i="95" s="1"/>
  <c r="U46" i="95"/>
  <c r="AU46" i="95" s="1"/>
  <c r="G10" i="95"/>
  <c r="U141" i="95"/>
  <c r="H10" i="95"/>
  <c r="H181" i="95" s="1"/>
  <c r="AA160" i="95"/>
  <c r="BA160" i="95" s="1"/>
  <c r="Z122" i="95"/>
  <c r="AZ122" i="95" s="1"/>
  <c r="AA46" i="95"/>
  <c r="BA46" i="95" s="1"/>
  <c r="S84" i="95"/>
  <c r="AS84" i="95" s="1"/>
  <c r="V84" i="95"/>
  <c r="AV84" i="95" s="1"/>
  <c r="Z65" i="95"/>
  <c r="AZ65" i="95" s="1"/>
  <c r="AA141" i="95"/>
  <c r="BA141" i="95" s="1"/>
  <c r="U103" i="95"/>
  <c r="AU103" i="95" s="1"/>
  <c r="V122" i="95"/>
  <c r="AV122" i="95" s="1"/>
  <c r="Z160" i="95"/>
  <c r="AZ160" i="95" s="1"/>
  <c r="O10" i="95"/>
  <c r="U122" i="95"/>
  <c r="AU122" i="95" s="1"/>
  <c r="S122" i="95"/>
  <c r="AS122" i="95" s="1"/>
  <c r="V160" i="95"/>
  <c r="AV160" i="95" s="1"/>
  <c r="Y46" i="95"/>
  <c r="AY46" i="95" s="1"/>
  <c r="Y160" i="95"/>
  <c r="AY160" i="95" s="1"/>
  <c r="Z141" i="95"/>
  <c r="AZ141" i="95" s="1"/>
  <c r="R122" i="95"/>
  <c r="AR122" i="95" s="1"/>
  <c r="I10" i="95"/>
  <c r="I181" i="95" s="1"/>
  <c r="AB65" i="95"/>
  <c r="BB65" i="95" s="1"/>
  <c r="Y103" i="95"/>
  <c r="AY103" i="95" s="1"/>
  <c r="W65" i="95"/>
  <c r="AW65" i="95" s="1"/>
  <c r="T160" i="95"/>
  <c r="AB122" i="95"/>
  <c r="BB122" i="95" s="1"/>
  <c r="AA103" i="95"/>
  <c r="BA103" i="95" s="1"/>
  <c r="AB160" i="95"/>
  <c r="BB160" i="95" s="1"/>
  <c r="S103" i="95"/>
  <c r="AS103" i="95" s="1"/>
  <c r="AA65" i="95"/>
  <c r="BA65" i="95" s="1"/>
  <c r="S65" i="95"/>
  <c r="AS65" i="95" s="1"/>
  <c r="X46" i="95"/>
  <c r="AX46" i="95" s="1"/>
  <c r="S141" i="95"/>
  <c r="AS141" i="95" s="1"/>
  <c r="T141" i="95"/>
  <c r="AT141" i="95" s="1"/>
  <c r="R84" i="95"/>
  <c r="AR84" i="95" s="1"/>
  <c r="E10" i="95"/>
  <c r="E181" i="95" s="1"/>
  <c r="L10" i="95"/>
  <c r="L181" i="95" s="1"/>
  <c r="U65" i="95"/>
  <c r="AU65" i="95" s="1"/>
  <c r="T84" i="95"/>
  <c r="AT84" i="95" s="1"/>
  <c r="Z103" i="95"/>
  <c r="AZ103" i="95" s="1"/>
  <c r="X103" i="95"/>
  <c r="AX103" i="95" s="1"/>
  <c r="AB103" i="95"/>
  <c r="BB103" i="95" s="1"/>
  <c r="Y84" i="95"/>
  <c r="AY84" i="95" s="1"/>
  <c r="Z46" i="95"/>
  <c r="AZ46" i="95" s="1"/>
  <c r="U84" i="95"/>
  <c r="AU84" i="95" s="1"/>
  <c r="V103" i="95"/>
  <c r="AV103" i="95" s="1"/>
  <c r="U160" i="95"/>
  <c r="AU160" i="95" s="1"/>
  <c r="J10" i="95"/>
  <c r="J181" i="95" s="1"/>
  <c r="R160" i="95"/>
  <c r="AR160" i="95" s="1"/>
  <c r="AB141" i="95"/>
  <c r="BB141" i="95" s="1"/>
  <c r="V65" i="95"/>
  <c r="AV65" i="95" s="1"/>
  <c r="W46" i="95"/>
  <c r="AW46" i="95" s="1"/>
  <c r="S160" i="95"/>
  <c r="AS160" i="95" s="1"/>
  <c r="X84" i="95"/>
  <c r="AX84" i="95" s="1"/>
  <c r="R65" i="95"/>
  <c r="AR65" i="95" s="1"/>
  <c r="N10" i="95"/>
  <c r="N181" i="95" s="1"/>
  <c r="M10" i="95"/>
  <c r="M181" i="95" s="1"/>
  <c r="AA122" i="95"/>
  <c r="BA122" i="95" s="1"/>
  <c r="T65" i="95"/>
  <c r="AT65" i="95" s="1"/>
  <c r="X160" i="95"/>
  <c r="AX160" i="95" s="1"/>
  <c r="R46" i="95"/>
  <c r="AR46" i="95" s="1"/>
  <c r="K10" i="95"/>
  <c r="K181" i="95" s="1"/>
  <c r="T103" i="95"/>
  <c r="AT103" i="95" s="1"/>
  <c r="S46" i="95"/>
  <c r="AS46" i="95" s="1"/>
  <c r="Y122" i="95"/>
  <c r="AY122" i="95" s="1"/>
  <c r="R103" i="95"/>
  <c r="AR103" i="95" s="1"/>
  <c r="V46" i="95"/>
  <c r="AV46" i="95" s="1"/>
  <c r="AB84" i="95"/>
  <c r="BB84" i="95" s="1"/>
  <c r="T122" i="95"/>
  <c r="AT122" i="95" s="1"/>
  <c r="W160" i="95"/>
  <c r="AW160" i="95" s="1"/>
  <c r="Y65" i="95"/>
  <c r="AY65" i="95" s="1"/>
  <c r="AA84" i="95"/>
  <c r="BA84" i="95" s="1"/>
  <c r="B18" i="88"/>
  <c r="AU141" i="95"/>
  <c r="AW141" i="95"/>
  <c r="AT160" i="95"/>
  <c r="G181" i="95" l="1"/>
  <c r="G12" i="95"/>
  <c r="G13" i="95"/>
  <c r="O181" i="95"/>
  <c r="T183" i="95" s="1"/>
  <c r="O12" i="95"/>
  <c r="O13" i="95" s="1"/>
  <c r="F12" i="95"/>
  <c r="F13" i="95" s="1"/>
  <c r="B19" i="88"/>
  <c r="I12" i="95"/>
  <c r="I13" i="95" s="1"/>
  <c r="H12" i="95"/>
  <c r="H13" i="95" s="1"/>
  <c r="K12" i="95"/>
  <c r="K13" i="95" s="1"/>
  <c r="L12" i="95"/>
  <c r="J12" i="95"/>
  <c r="J13" i="95" s="1"/>
  <c r="N12" i="95"/>
  <c r="M12" i="95"/>
  <c r="M13" i="95" s="1"/>
  <c r="E12" i="95"/>
  <c r="E13" i="95" s="1"/>
  <c r="J18" i="145" l="1"/>
  <c r="L13" i="95"/>
  <c r="E18" i="144"/>
  <c r="E18" i="145"/>
  <c r="I18" i="144"/>
  <c r="I18" i="145"/>
  <c r="F18" i="144"/>
  <c r="F18" i="145"/>
  <c r="C18" i="144"/>
  <c r="C18" i="145"/>
  <c r="G18" i="144"/>
  <c r="G18" i="145"/>
  <c r="D18" i="144"/>
  <c r="D18" i="145"/>
  <c r="H18" i="144"/>
  <c r="H18" i="145"/>
  <c r="J18" i="144"/>
  <c r="K18" i="144"/>
  <c r="L18" i="144"/>
  <c r="N13" i="95"/>
  <c r="B20" i="88"/>
  <c r="B21" i="88" l="1"/>
  <c r="D50" i="105" l="1"/>
  <c r="D54" i="105"/>
  <c r="D72" i="105" s="1"/>
  <c r="D63" i="105"/>
  <c r="D81" i="105" s="1"/>
  <c r="D51" i="105"/>
  <c r="D69" i="105" s="1"/>
  <c r="D53" i="105"/>
  <c r="D71" i="105" s="1"/>
  <c r="D62" i="105"/>
  <c r="D80" i="105" s="1"/>
  <c r="D61" i="105"/>
  <c r="D79" i="105" s="1"/>
  <c r="D59" i="105"/>
  <c r="D77" i="105" s="1"/>
  <c r="D52" i="105"/>
  <c r="D70" i="105" s="1"/>
  <c r="D58" i="105"/>
  <c r="D76" i="105" s="1"/>
  <c r="D64" i="105"/>
  <c r="D82" i="105" s="1"/>
  <c r="D60" i="105"/>
  <c r="D78" i="105" s="1"/>
  <c r="D57" i="105"/>
  <c r="D75" i="105" s="1"/>
  <c r="D56" i="105"/>
  <c r="D74" i="105" s="1"/>
  <c r="D55" i="105"/>
  <c r="D73" i="105" s="1"/>
  <c r="B22" i="88"/>
  <c r="B23" i="88" l="1"/>
  <c r="D68" i="105"/>
  <c r="D83" i="105" s="1"/>
  <c r="C5" i="106" s="1"/>
  <c r="D65" i="105"/>
  <c r="E60" i="105" l="1"/>
  <c r="E78" i="105" s="1"/>
  <c r="E58" i="105"/>
  <c r="E76" i="105" s="1"/>
  <c r="E62" i="105"/>
  <c r="E80" i="105" s="1"/>
  <c r="E54" i="105"/>
  <c r="E72" i="105" s="1"/>
  <c r="E64" i="105"/>
  <c r="E82" i="105" s="1"/>
  <c r="E52" i="105"/>
  <c r="E70" i="105" s="1"/>
  <c r="E50" i="105"/>
  <c r="E59" i="105"/>
  <c r="E77" i="105" s="1"/>
  <c r="E57" i="105"/>
  <c r="E75" i="105" s="1"/>
  <c r="E53" i="105"/>
  <c r="E71" i="105" s="1"/>
  <c r="E63" i="105"/>
  <c r="E81" i="105" s="1"/>
  <c r="E51" i="105"/>
  <c r="E69" i="105" s="1"/>
  <c r="E55" i="105"/>
  <c r="E73" i="105" s="1"/>
  <c r="E56" i="105"/>
  <c r="E74" i="105" s="1"/>
  <c r="E61" i="105"/>
  <c r="E79" i="105" s="1"/>
  <c r="B24" i="88"/>
  <c r="B25" i="88" l="1"/>
  <c r="E68" i="105"/>
  <c r="E83" i="105" s="1"/>
  <c r="D5" i="106" s="1"/>
  <c r="E65" i="105"/>
  <c r="F64" i="105" l="1"/>
  <c r="F82" i="105" s="1"/>
  <c r="F58" i="105"/>
  <c r="F76" i="105" s="1"/>
  <c r="F55" i="105"/>
  <c r="F73" i="105" s="1"/>
  <c r="F62" i="105"/>
  <c r="F80" i="105" s="1"/>
  <c r="F51" i="105"/>
  <c r="F69" i="105" s="1"/>
  <c r="F57" i="105"/>
  <c r="F75" i="105" s="1"/>
  <c r="F60" i="105"/>
  <c r="F78" i="105" s="1"/>
  <c r="F54" i="105"/>
  <c r="F72" i="105" s="1"/>
  <c r="F63" i="105"/>
  <c r="F81" i="105" s="1"/>
  <c r="F50" i="105"/>
  <c r="F53" i="105"/>
  <c r="F71" i="105" s="1"/>
  <c r="F59" i="105"/>
  <c r="F77" i="105" s="1"/>
  <c r="F61" i="105"/>
  <c r="F79" i="105" s="1"/>
  <c r="F52" i="105"/>
  <c r="F70" i="105" s="1"/>
  <c r="F56" i="105"/>
  <c r="F74" i="105" s="1"/>
  <c r="B26" i="88"/>
  <c r="B27" i="88" l="1"/>
  <c r="F68" i="105"/>
  <c r="F83" i="105" s="1"/>
  <c r="E5" i="106" s="1"/>
  <c r="F65" i="105"/>
  <c r="B28" i="88" l="1"/>
  <c r="AW145" i="95"/>
  <c r="AW69" i="95"/>
  <c r="AW107" i="95"/>
  <c r="AW88" i="95"/>
  <c r="AW164" i="95"/>
  <c r="AW50" i="95"/>
  <c r="AW126" i="95"/>
  <c r="D206" i="88"/>
  <c r="AS50" i="95"/>
  <c r="AS164" i="95"/>
  <c r="AS145" i="95"/>
  <c r="AS69" i="95"/>
  <c r="AS107" i="95"/>
  <c r="AS126" i="95"/>
  <c r="AS88" i="95"/>
  <c r="AU164" i="95"/>
  <c r="AU50" i="95"/>
  <c r="AU126" i="95"/>
  <c r="AU69" i="95"/>
  <c r="AU145" i="95"/>
  <c r="AU88" i="95"/>
  <c r="AU107" i="95"/>
  <c r="AY50" i="95"/>
  <c r="AY164" i="95"/>
  <c r="AY69" i="95"/>
  <c r="AY145" i="95"/>
  <c r="AY107" i="95"/>
  <c r="AY88" i="95"/>
  <c r="AY126" i="95"/>
  <c r="AV50" i="95"/>
  <c r="AV164" i="95"/>
  <c r="AV69" i="95"/>
  <c r="AV126" i="95"/>
  <c r="AV145" i="95"/>
  <c r="AV88" i="95"/>
  <c r="AV107" i="95"/>
  <c r="AT50" i="95"/>
  <c r="AT164" i="95"/>
  <c r="AT145" i="95"/>
  <c r="AT69" i="95"/>
  <c r="AT107" i="95"/>
  <c r="AT88" i="95"/>
  <c r="AT126" i="95"/>
  <c r="AX88" i="95"/>
  <c r="AX69" i="95"/>
  <c r="AX145" i="95"/>
  <c r="AX126" i="95"/>
  <c r="AX107" i="95"/>
  <c r="AX164" i="95"/>
  <c r="AX50" i="95"/>
  <c r="AR50" i="95"/>
  <c r="AR164" i="95"/>
  <c r="AR126" i="95"/>
  <c r="AR145" i="95"/>
  <c r="AR107" i="95"/>
  <c r="AR88" i="95"/>
  <c r="AR69" i="95"/>
  <c r="E22" i="95" l="1"/>
  <c r="K22" i="95"/>
  <c r="I22" i="95"/>
  <c r="L22" i="95"/>
  <c r="H22" i="95"/>
  <c r="F22" i="95"/>
  <c r="J22" i="95"/>
  <c r="G22" i="95"/>
  <c r="D18" i="95"/>
  <c r="D19" i="95" s="1"/>
  <c r="D182" i="95" s="1"/>
  <c r="D50" i="95"/>
  <c r="AQ50" i="95" s="1"/>
  <c r="AQ60" i="95" s="1"/>
  <c r="D34" i="95" s="1"/>
  <c r="D164" i="95"/>
  <c r="AQ164" i="95" s="1"/>
  <c r="AQ174" i="95" s="1"/>
  <c r="D35" i="95" s="1"/>
  <c r="D126" i="95"/>
  <c r="AQ126" i="95" s="1"/>
  <c r="AQ136" i="95" s="1"/>
  <c r="E27" i="81" s="1"/>
  <c r="G27" i="81" s="1"/>
  <c r="D69" i="95"/>
  <c r="AQ69" i="95" s="1"/>
  <c r="D107" i="95"/>
  <c r="AQ107" i="95" s="1"/>
  <c r="AQ117" i="95" s="1"/>
  <c r="D88" i="95"/>
  <c r="AQ88" i="95" s="1"/>
  <c r="AQ98" i="95" s="1"/>
  <c r="D145" i="95"/>
  <c r="AQ145" i="95" s="1"/>
  <c r="AQ155" i="95" s="1"/>
  <c r="B29" i="88"/>
  <c r="AQ79" i="95" l="1"/>
  <c r="E24" i="81" s="1"/>
  <c r="G24" i="81" s="1"/>
  <c r="C8" i="140"/>
  <c r="B8" i="140"/>
  <c r="D37" i="95"/>
  <c r="D36" i="95"/>
  <c r="B30" i="88"/>
  <c r="D189" i="95"/>
  <c r="D21" i="95"/>
  <c r="D22" i="95" s="1"/>
  <c r="E26" i="81"/>
  <c r="G26" i="81" s="1"/>
  <c r="E25" i="81"/>
  <c r="G25" i="81" s="1"/>
  <c r="E23" i="81"/>
  <c r="E28" i="81"/>
  <c r="G28" i="81" s="1"/>
  <c r="E29" i="81"/>
  <c r="G29" i="81" s="1"/>
  <c r="D8" i="140" l="1"/>
  <c r="D9" i="140" s="1"/>
  <c r="E8" i="140"/>
  <c r="E9" i="140" s="1"/>
  <c r="B19" i="144"/>
  <c r="B19" i="145"/>
  <c r="D203" i="95" a="1"/>
  <c r="D203" i="95" s="1"/>
  <c r="D18" i="142" s="1"/>
  <c r="D206" i="95" a="1"/>
  <c r="D206" i="95" s="1"/>
  <c r="D200" i="95" a="1"/>
  <c r="D200" i="95" s="1"/>
  <c r="D208" i="95" a="1"/>
  <c r="D208" i="95" s="1"/>
  <c r="D23" i="142" s="1"/>
  <c r="D201" i="95" a="1"/>
  <c r="D201" i="95" s="1"/>
  <c r="D16" i="142" s="1"/>
  <c r="D204" i="95" a="1"/>
  <c r="D204" i="95" s="1"/>
  <c r="D207" i="95" a="1"/>
  <c r="D207" i="95" s="1"/>
  <c r="D202" i="95" a="1"/>
  <c r="D202" i="95" s="1"/>
  <c r="D205" i="95" a="1"/>
  <c r="D205" i="95" s="1"/>
  <c r="B9" i="140"/>
  <c r="B31" i="88"/>
  <c r="D29" i="95"/>
  <c r="C9" i="140"/>
  <c r="D38" i="95"/>
  <c r="G23" i="81"/>
  <c r="E22" i="81"/>
  <c r="F8" i="140" l="1"/>
  <c r="D20" i="142"/>
  <c r="D17" i="142"/>
  <c r="D22" i="142"/>
  <c r="D214" i="95"/>
  <c r="D19" i="142"/>
  <c r="D221" i="95"/>
  <c r="D216" i="95"/>
  <c r="B6" i="106"/>
  <c r="B4" i="106" s="1"/>
  <c r="B8" i="102"/>
  <c r="B9" i="145" s="1"/>
  <c r="H58" i="105"/>
  <c r="H76" i="105" s="1"/>
  <c r="H62" i="105"/>
  <c r="H80" i="105" s="1"/>
  <c r="H59" i="105"/>
  <c r="H77" i="105" s="1"/>
  <c r="H61" i="105"/>
  <c r="H79" i="105" s="1"/>
  <c r="H51" i="105"/>
  <c r="H69" i="105" s="1"/>
  <c r="H57" i="105"/>
  <c r="H75" i="105" s="1"/>
  <c r="H56" i="105"/>
  <c r="H74" i="105" s="1"/>
  <c r="H55" i="105"/>
  <c r="H73" i="105" s="1"/>
  <c r="H64" i="105"/>
  <c r="H82" i="105" s="1"/>
  <c r="H54" i="105"/>
  <c r="H72" i="105" s="1"/>
  <c r="H53" i="105"/>
  <c r="H71" i="105" s="1"/>
  <c r="H50" i="105"/>
  <c r="H63" i="105"/>
  <c r="H81" i="105" s="1"/>
  <c r="H60" i="105"/>
  <c r="H78" i="105" s="1"/>
  <c r="H52" i="105"/>
  <c r="H70" i="105" s="1"/>
  <c r="G52" i="105"/>
  <c r="G70" i="105" s="1"/>
  <c r="G54" i="105"/>
  <c r="G72" i="105" s="1"/>
  <c r="G60" i="105"/>
  <c r="G78" i="105" s="1"/>
  <c r="G56" i="105"/>
  <c r="G74" i="105" s="1"/>
  <c r="G62" i="105"/>
  <c r="G80" i="105" s="1"/>
  <c r="G53" i="105"/>
  <c r="G71" i="105" s="1"/>
  <c r="G50" i="105"/>
  <c r="G61" i="105"/>
  <c r="G79" i="105" s="1"/>
  <c r="G64" i="105"/>
  <c r="G82" i="105" s="1"/>
  <c r="G57" i="105"/>
  <c r="G75" i="105" s="1"/>
  <c r="G58" i="105"/>
  <c r="G76" i="105" s="1"/>
  <c r="G55" i="105"/>
  <c r="G73" i="105" s="1"/>
  <c r="G63" i="105"/>
  <c r="G81" i="105" s="1"/>
  <c r="G59" i="105"/>
  <c r="G77" i="105" s="1"/>
  <c r="G51" i="105"/>
  <c r="G69" i="105" s="1"/>
  <c r="B32" i="88"/>
  <c r="D190" i="95"/>
  <c r="D39" i="95"/>
  <c r="E8" i="102"/>
  <c r="D21" i="142"/>
  <c r="D210" i="95"/>
  <c r="D211" i="95" s="1"/>
  <c r="D15" i="142"/>
  <c r="F9" i="140"/>
  <c r="G22" i="81"/>
  <c r="E30" i="81"/>
  <c r="G30" i="81" s="1"/>
  <c r="D40" i="95"/>
  <c r="D217" i="95" l="1"/>
  <c r="D213" i="95"/>
  <c r="D26" i="142"/>
  <c r="D27" i="142"/>
  <c r="D215" i="95"/>
  <c r="D218" i="95"/>
  <c r="D220" i="95"/>
  <c r="D219" i="95"/>
  <c r="E9" i="144"/>
  <c r="E9" i="145"/>
  <c r="B9" i="102"/>
  <c r="B10" i="145" s="1"/>
  <c r="B9" i="144"/>
  <c r="B33" i="88"/>
  <c r="G68" i="105"/>
  <c r="G83" i="105" s="1"/>
  <c r="F5" i="106" s="1"/>
  <c r="G65" i="105"/>
  <c r="H68" i="105"/>
  <c r="H83" i="105" s="1"/>
  <c r="G5" i="106" s="1"/>
  <c r="H65" i="105"/>
  <c r="G8" i="102"/>
  <c r="E9" i="102"/>
  <c r="D25" i="142"/>
  <c r="E10" i="144" l="1"/>
  <c r="E10" i="145"/>
  <c r="G9" i="144"/>
  <c r="G9" i="145"/>
  <c r="B10" i="144"/>
  <c r="J57" i="105"/>
  <c r="J75" i="105" s="1"/>
  <c r="J62" i="105"/>
  <c r="J80" i="105" s="1"/>
  <c r="J52" i="105"/>
  <c r="J70" i="105" s="1"/>
  <c r="J63" i="105"/>
  <c r="J81" i="105" s="1"/>
  <c r="J61" i="105"/>
  <c r="J79" i="105" s="1"/>
  <c r="J58" i="105"/>
  <c r="J76" i="105" s="1"/>
  <c r="J51" i="105"/>
  <c r="J69" i="105" s="1"/>
  <c r="J56" i="105"/>
  <c r="J74" i="105" s="1"/>
  <c r="J64" i="105"/>
  <c r="J82" i="105" s="1"/>
  <c r="J50" i="105"/>
  <c r="J55" i="105"/>
  <c r="J73" i="105" s="1"/>
  <c r="J60" i="105"/>
  <c r="J78" i="105" s="1"/>
  <c r="J59" i="105"/>
  <c r="J77" i="105" s="1"/>
  <c r="J54" i="105"/>
  <c r="J72" i="105" s="1"/>
  <c r="J53" i="105"/>
  <c r="J71" i="105" s="1"/>
  <c r="I55" i="105"/>
  <c r="I73" i="105" s="1"/>
  <c r="I50" i="105"/>
  <c r="I57" i="105"/>
  <c r="I75" i="105" s="1"/>
  <c r="I61" i="105"/>
  <c r="I79" i="105" s="1"/>
  <c r="I63" i="105"/>
  <c r="I81" i="105" s="1"/>
  <c r="I64" i="105"/>
  <c r="I82" i="105" s="1"/>
  <c r="I59" i="105"/>
  <c r="I77" i="105" s="1"/>
  <c r="I52" i="105"/>
  <c r="I70" i="105" s="1"/>
  <c r="I51" i="105"/>
  <c r="I69" i="105" s="1"/>
  <c r="I56" i="105"/>
  <c r="I74" i="105" s="1"/>
  <c r="I54" i="105"/>
  <c r="I72" i="105" s="1"/>
  <c r="I62" i="105"/>
  <c r="I80" i="105" s="1"/>
  <c r="I58" i="105"/>
  <c r="I76" i="105" s="1"/>
  <c r="I60" i="105"/>
  <c r="I78" i="105" s="1"/>
  <c r="I53" i="105"/>
  <c r="I71" i="105" s="1"/>
  <c r="B34" i="88"/>
  <c r="G9" i="102"/>
  <c r="G10" i="145" s="1"/>
  <c r="D30" i="142"/>
  <c r="B28" i="143" s="1"/>
  <c r="D41" i="142" l="1"/>
  <c r="B18" i="143" s="1"/>
  <c r="B29" i="143"/>
  <c r="G10" i="144"/>
  <c r="N25" i="95"/>
  <c r="H25" i="95"/>
  <c r="F25" i="95"/>
  <c r="L25" i="95"/>
  <c r="E25" i="95"/>
  <c r="M25" i="95"/>
  <c r="K25" i="95"/>
  <c r="G25" i="95"/>
  <c r="J25" i="95"/>
  <c r="N6" i="105"/>
  <c r="N53" i="105" s="1"/>
  <c r="N71" i="105" s="1"/>
  <c r="I25" i="95"/>
  <c r="O25" i="95"/>
  <c r="I68" i="105"/>
  <c r="I83" i="105" s="1"/>
  <c r="H5" i="106" s="1"/>
  <c r="I65" i="105"/>
  <c r="J65" i="105"/>
  <c r="J68" i="105"/>
  <c r="J83" i="105" s="1"/>
  <c r="I5" i="106" s="1"/>
  <c r="F10" i="140" l="1"/>
  <c r="N64" i="105"/>
  <c r="N82" i="105" s="1"/>
  <c r="N63" i="105"/>
  <c r="N81" i="105" s="1"/>
  <c r="N52" i="105"/>
  <c r="N70" i="105" s="1"/>
  <c r="N51" i="105"/>
  <c r="N69" i="105" s="1"/>
  <c r="N62" i="105"/>
  <c r="N80" i="105" s="1"/>
  <c r="G187" i="95"/>
  <c r="G186" i="95"/>
  <c r="G184" i="95"/>
  <c r="G185" i="95"/>
  <c r="G183" i="95"/>
  <c r="G27" i="95"/>
  <c r="G29" i="95" s="1"/>
  <c r="T54" i="95"/>
  <c r="N58" i="105"/>
  <c r="N76" i="105" s="1"/>
  <c r="E187" i="95"/>
  <c r="E184" i="95"/>
  <c r="E186" i="95"/>
  <c r="E185" i="95"/>
  <c r="E183" i="95"/>
  <c r="R54" i="95"/>
  <c r="E27" i="95"/>
  <c r="N57" i="105"/>
  <c r="N75" i="105" s="1"/>
  <c r="L187" i="95"/>
  <c r="L184" i="95"/>
  <c r="L185" i="95"/>
  <c r="L186" i="95"/>
  <c r="L183" i="95"/>
  <c r="I184" i="95"/>
  <c r="I185" i="95"/>
  <c r="I187" i="95"/>
  <c r="I186" i="95"/>
  <c r="I183" i="95"/>
  <c r="I27" i="95"/>
  <c r="V54" i="95"/>
  <c r="J184" i="95"/>
  <c r="J185" i="95"/>
  <c r="J187" i="95"/>
  <c r="J186" i="95"/>
  <c r="J183" i="95"/>
  <c r="J27" i="95"/>
  <c r="W54" i="95"/>
  <c r="K187" i="95"/>
  <c r="K186" i="95"/>
  <c r="K185" i="95"/>
  <c r="K184" i="95"/>
  <c r="K183" i="95"/>
  <c r="X54" i="95"/>
  <c r="K27" i="95"/>
  <c r="F185" i="95"/>
  <c r="F184" i="95"/>
  <c r="F187" i="95"/>
  <c r="F186" i="95"/>
  <c r="F183" i="95"/>
  <c r="F27" i="95"/>
  <c r="S54" i="95"/>
  <c r="N55" i="105"/>
  <c r="N73" i="105" s="1"/>
  <c r="H186" i="95"/>
  <c r="H185" i="95"/>
  <c r="H187" i="95"/>
  <c r="H184" i="95"/>
  <c r="H183" i="95"/>
  <c r="U54" i="95"/>
  <c r="H27" i="95"/>
  <c r="N60" i="105"/>
  <c r="N78" i="105" s="1"/>
  <c r="M185" i="95"/>
  <c r="M186" i="95"/>
  <c r="M184" i="95"/>
  <c r="M187" i="95"/>
  <c r="M183" i="95"/>
  <c r="N54" i="105"/>
  <c r="N72" i="105" s="1"/>
  <c r="N187" i="95"/>
  <c r="N186" i="95"/>
  <c r="N185" i="95"/>
  <c r="N184" i="95"/>
  <c r="N183" i="95"/>
  <c r="N61" i="105"/>
  <c r="N79" i="105" s="1"/>
  <c r="N59" i="105"/>
  <c r="N77" i="105" s="1"/>
  <c r="N56" i="105"/>
  <c r="N74" i="105" s="1"/>
  <c r="N50" i="105"/>
  <c r="N68" i="105" s="1"/>
  <c r="AB54" i="95"/>
  <c r="O186" i="95"/>
  <c r="T186" i="95" s="1"/>
  <c r="O187" i="95"/>
  <c r="T187" i="95" s="1"/>
  <c r="O183" i="95"/>
  <c r="T182" i="95" s="1"/>
  <c r="O184" i="95"/>
  <c r="T184" i="95" s="1"/>
  <c r="O185" i="95"/>
  <c r="T185" i="95" s="1"/>
  <c r="O27" i="95"/>
  <c r="K50" i="105"/>
  <c r="K51" i="105"/>
  <c r="K69" i="105" s="1"/>
  <c r="K54" i="105"/>
  <c r="K72" i="105" s="1"/>
  <c r="K55" i="105"/>
  <c r="K73" i="105" s="1"/>
  <c r="K58" i="105"/>
  <c r="K76" i="105" s="1"/>
  <c r="K59" i="105"/>
  <c r="K77" i="105" s="1"/>
  <c r="K60" i="105"/>
  <c r="K78" i="105" s="1"/>
  <c r="K57" i="105"/>
  <c r="K75" i="105" s="1"/>
  <c r="K62" i="105"/>
  <c r="K80" i="105" s="1"/>
  <c r="K63" i="105"/>
  <c r="K81" i="105" s="1"/>
  <c r="K52" i="105"/>
  <c r="K70" i="105" s="1"/>
  <c r="K64" i="105"/>
  <c r="K82" i="105" s="1"/>
  <c r="K56" i="105"/>
  <c r="K74" i="105" s="1"/>
  <c r="K61" i="105"/>
  <c r="K79" i="105" s="1"/>
  <c r="K53" i="105"/>
  <c r="K71" i="105" s="1"/>
  <c r="M54" i="105"/>
  <c r="M72" i="105" s="1"/>
  <c r="M61" i="105"/>
  <c r="M79" i="105" s="1"/>
  <c r="M63" i="105"/>
  <c r="M81" i="105" s="1"/>
  <c r="M57" i="105"/>
  <c r="M75" i="105" s="1"/>
  <c r="M52" i="105"/>
  <c r="M70" i="105" s="1"/>
  <c r="M62" i="105"/>
  <c r="M80" i="105" s="1"/>
  <c r="M53" i="105"/>
  <c r="M71" i="105" s="1"/>
  <c r="M55" i="105"/>
  <c r="M73" i="105" s="1"/>
  <c r="M59" i="105"/>
  <c r="M77" i="105" s="1"/>
  <c r="M58" i="105"/>
  <c r="M76" i="105" s="1"/>
  <c r="M51" i="105"/>
  <c r="M69" i="105" s="1"/>
  <c r="M64" i="105"/>
  <c r="M82" i="105" s="1"/>
  <c r="M56" i="105"/>
  <c r="M74" i="105" s="1"/>
  <c r="M50" i="105"/>
  <c r="M60" i="105"/>
  <c r="M78" i="105" s="1"/>
  <c r="Y54" i="95"/>
  <c r="L27" i="95"/>
  <c r="Z54" i="95"/>
  <c r="M27" i="95"/>
  <c r="L52" i="105"/>
  <c r="L70" i="105" s="1"/>
  <c r="L64" i="105"/>
  <c r="L82" i="105" s="1"/>
  <c r="L57" i="105"/>
  <c r="L75" i="105" s="1"/>
  <c r="L51" i="105"/>
  <c r="L69" i="105" s="1"/>
  <c r="L63" i="105"/>
  <c r="L81" i="105" s="1"/>
  <c r="L53" i="105"/>
  <c r="L71" i="105" s="1"/>
  <c r="L54" i="105"/>
  <c r="L72" i="105" s="1"/>
  <c r="L56" i="105"/>
  <c r="L74" i="105" s="1"/>
  <c r="L59" i="105"/>
  <c r="L77" i="105" s="1"/>
  <c r="L60" i="105"/>
  <c r="L78" i="105" s="1"/>
  <c r="L58" i="105"/>
  <c r="L76" i="105" s="1"/>
  <c r="L55" i="105"/>
  <c r="L73" i="105" s="1"/>
  <c r="L61" i="105"/>
  <c r="L79" i="105" s="1"/>
  <c r="L50" i="105"/>
  <c r="L62" i="105"/>
  <c r="L80" i="105" s="1"/>
  <c r="AA54" i="95"/>
  <c r="N27" i="95"/>
  <c r="C24" i="143"/>
  <c r="E20" i="144" l="1"/>
  <c r="E20" i="145"/>
  <c r="D20" i="144"/>
  <c r="D20" i="145"/>
  <c r="C20" i="144"/>
  <c r="C20" i="145"/>
  <c r="G20" i="144"/>
  <c r="G20" i="145"/>
  <c r="I20" i="144"/>
  <c r="I20" i="145"/>
  <c r="H20" i="144"/>
  <c r="H20" i="145"/>
  <c r="J20" i="144"/>
  <c r="J20" i="145"/>
  <c r="F20" i="144"/>
  <c r="F20" i="145"/>
  <c r="E189" i="95"/>
  <c r="O189" i="95"/>
  <c r="N29" i="95"/>
  <c r="L6" i="106" s="1"/>
  <c r="L20" i="144"/>
  <c r="M29" i="95"/>
  <c r="K6" i="106" s="1"/>
  <c r="K20" i="144"/>
  <c r="O29" i="95"/>
  <c r="M6" i="106" s="1"/>
  <c r="G189" i="95"/>
  <c r="G200" i="95" s="1" a="1"/>
  <c r="G200" i="95" s="1"/>
  <c r="H189" i="95"/>
  <c r="F189" i="95"/>
  <c r="J189" i="95"/>
  <c r="W56" i="95"/>
  <c r="AW54" i="95"/>
  <c r="W55" i="95"/>
  <c r="W58" i="95"/>
  <c r="W57" i="95"/>
  <c r="W73" i="95"/>
  <c r="K189" i="95"/>
  <c r="V58" i="95"/>
  <c r="V56" i="95"/>
  <c r="V57" i="95"/>
  <c r="V73" i="95"/>
  <c r="V55" i="95"/>
  <c r="AV54" i="95"/>
  <c r="T73" i="95"/>
  <c r="T55" i="95"/>
  <c r="AT54" i="95"/>
  <c r="T58" i="95"/>
  <c r="T56" i="95"/>
  <c r="T57" i="95"/>
  <c r="K29" i="95"/>
  <c r="X73" i="95"/>
  <c r="X55" i="95"/>
  <c r="AX54" i="95"/>
  <c r="X57" i="95"/>
  <c r="X58" i="95"/>
  <c r="X56" i="95"/>
  <c r="I29" i="95"/>
  <c r="E29" i="95"/>
  <c r="N83" i="105"/>
  <c r="M5" i="106" s="1"/>
  <c r="AB57" i="95"/>
  <c r="AB56" i="95"/>
  <c r="AB58" i="95"/>
  <c r="AB73" i="95"/>
  <c r="AB55" i="95"/>
  <c r="BB54" i="95"/>
  <c r="I189" i="95"/>
  <c r="R73" i="95"/>
  <c r="AR54" i="95"/>
  <c r="R55" i="95"/>
  <c r="R58" i="95"/>
  <c r="R57" i="95"/>
  <c r="R56" i="95"/>
  <c r="H29" i="95"/>
  <c r="U58" i="95"/>
  <c r="U55" i="95"/>
  <c r="U57" i="95"/>
  <c r="U56" i="95"/>
  <c r="AU54" i="95"/>
  <c r="U73" i="95"/>
  <c r="N65" i="105"/>
  <c r="S58" i="95"/>
  <c r="S57" i="95"/>
  <c r="S55" i="95"/>
  <c r="S73" i="95"/>
  <c r="S56" i="95"/>
  <c r="AS54" i="95"/>
  <c r="J29" i="95"/>
  <c r="F29" i="95"/>
  <c r="BA54" i="95"/>
  <c r="AA73" i="95"/>
  <c r="AA57" i="95"/>
  <c r="AA56" i="95"/>
  <c r="AA55" i="95"/>
  <c r="AA58" i="95"/>
  <c r="N189" i="95"/>
  <c r="L68" i="105"/>
  <c r="L83" i="105" s="1"/>
  <c r="L65" i="105"/>
  <c r="AZ54" i="95"/>
  <c r="Z73" i="95"/>
  <c r="Z55" i="95"/>
  <c r="Z57" i="95"/>
  <c r="Z58" i="95"/>
  <c r="Z56" i="95"/>
  <c r="M189" i="95"/>
  <c r="L29" i="95"/>
  <c r="J6" i="106" s="1"/>
  <c r="Y58" i="95"/>
  <c r="Y55" i="95"/>
  <c r="Y73" i="95"/>
  <c r="Y56" i="95"/>
  <c r="Y57" i="95"/>
  <c r="AY54" i="95"/>
  <c r="L189" i="95"/>
  <c r="M65" i="105"/>
  <c r="M68" i="105"/>
  <c r="M83" i="105" s="1"/>
  <c r="K65" i="105"/>
  <c r="K68" i="105"/>
  <c r="K83" i="105" s="1"/>
  <c r="J5" i="106" s="1"/>
  <c r="H24" i="143"/>
  <c r="G24" i="143"/>
  <c r="N200" i="95" l="1" a="1"/>
  <c r="N200" i="95" s="1"/>
  <c r="N203" i="95" a="1"/>
  <c r="N203" i="95" s="1"/>
  <c r="N206" i="95" a="1"/>
  <c r="N206" i="95" s="1"/>
  <c r="N201" i="95" a="1"/>
  <c r="N201" i="95" s="1"/>
  <c r="N207" i="95" a="1"/>
  <c r="N207" i="95" s="1"/>
  <c r="N208" i="95" a="1"/>
  <c r="N208" i="95" s="1"/>
  <c r="N202" i="95" a="1"/>
  <c r="N202" i="95" s="1"/>
  <c r="N205" i="95" a="1"/>
  <c r="N205" i="95" s="1"/>
  <c r="N204" i="95" a="1"/>
  <c r="N204" i="95" s="1"/>
  <c r="J207" i="95" a="1"/>
  <c r="J207" i="95" s="1"/>
  <c r="AL8" i="102" s="1"/>
  <c r="AL9" i="145" s="1"/>
  <c r="J201" i="95" a="1"/>
  <c r="J201" i="95" s="1"/>
  <c r="J16" i="142" s="1"/>
  <c r="J204" i="95" a="1"/>
  <c r="J204" i="95" s="1"/>
  <c r="J19" i="142" s="1"/>
  <c r="J208" i="95" a="1"/>
  <c r="J208" i="95" s="1"/>
  <c r="J23" i="142" s="1"/>
  <c r="J202" i="95" a="1"/>
  <c r="J202" i="95" s="1"/>
  <c r="J17" i="142" s="1"/>
  <c r="J205" i="95" a="1"/>
  <c r="J205" i="95" s="1"/>
  <c r="J200" i="95" a="1"/>
  <c r="J200" i="95" s="1"/>
  <c r="J203" i="95" a="1"/>
  <c r="J203" i="95" s="1"/>
  <c r="J206" i="95" a="1"/>
  <c r="J206" i="95" s="1"/>
  <c r="J21" i="142" s="1"/>
  <c r="I201" i="95" a="1"/>
  <c r="I201" i="95" s="1"/>
  <c r="I16" i="142" s="1"/>
  <c r="I204" i="95" a="1"/>
  <c r="I204" i="95" s="1"/>
  <c r="I19" i="142" s="1"/>
  <c r="I206" i="95" a="1"/>
  <c r="I206" i="95" s="1"/>
  <c r="I208" i="95" a="1"/>
  <c r="I208" i="95" s="1"/>
  <c r="I202" i="95" a="1"/>
  <c r="I202" i="95" s="1"/>
  <c r="I205" i="95" a="1"/>
  <c r="I205" i="95" s="1"/>
  <c r="I200" i="95" a="1"/>
  <c r="I200" i="95" s="1"/>
  <c r="I203" i="95" a="1"/>
  <c r="I203" i="95" s="1"/>
  <c r="I18" i="142" s="1"/>
  <c r="I207" i="95" a="1"/>
  <c r="I207" i="95" s="1"/>
  <c r="K207" i="95" a="1"/>
  <c r="K207" i="95" s="1"/>
  <c r="K201" i="95" a="1"/>
  <c r="K201" i="95" s="1"/>
  <c r="K16" i="142" s="1"/>
  <c r="K204" i="95" a="1"/>
  <c r="K204" i="95" s="1"/>
  <c r="K208" i="95" a="1"/>
  <c r="K208" i="95" s="1"/>
  <c r="K202" i="95" a="1"/>
  <c r="K202" i="95" s="1"/>
  <c r="K205" i="95" a="1"/>
  <c r="K205" i="95" s="1"/>
  <c r="K20" i="142" s="1"/>
  <c r="K200" i="95" a="1"/>
  <c r="K200" i="95" s="1"/>
  <c r="K203" i="95" a="1"/>
  <c r="K203" i="95" s="1"/>
  <c r="K18" i="142" s="1"/>
  <c r="K206" i="95" a="1"/>
  <c r="K206" i="95" s="1"/>
  <c r="K21" i="142" s="1"/>
  <c r="F201" i="95" a="1"/>
  <c r="F201" i="95" s="1"/>
  <c r="F200" i="95" a="1"/>
  <c r="F200" i="95" s="1"/>
  <c r="F203" i="95" a="1"/>
  <c r="F203" i="95" s="1"/>
  <c r="F206" i="95" a="1"/>
  <c r="F206" i="95" s="1"/>
  <c r="F204" i="95" a="1"/>
  <c r="F204" i="95" s="1"/>
  <c r="F207" i="95" a="1"/>
  <c r="F207" i="95" s="1"/>
  <c r="F22" i="142" s="1"/>
  <c r="F208" i="95" a="1"/>
  <c r="F208" i="95" s="1"/>
  <c r="F23" i="142" s="1"/>
  <c r="F202" i="95" a="1"/>
  <c r="F202" i="95" s="1"/>
  <c r="F205" i="95" a="1"/>
  <c r="F205" i="95" s="1"/>
  <c r="O207" i="95" a="1"/>
  <c r="O207" i="95" s="1"/>
  <c r="O190" i="95"/>
  <c r="O206" i="95" a="1"/>
  <c r="O206" i="95" s="1"/>
  <c r="O205" i="95" a="1"/>
  <c r="O205" i="95" s="1"/>
  <c r="O204" i="95" a="1"/>
  <c r="O204" i="95" s="1"/>
  <c r="O203" i="95" a="1"/>
  <c r="O203" i="95" s="1"/>
  <c r="O202" i="95" a="1"/>
  <c r="O202" i="95" s="1"/>
  <c r="O201" i="95" a="1"/>
  <c r="O201" i="95" s="1"/>
  <c r="O208" i="95" a="1"/>
  <c r="O208" i="95" s="1"/>
  <c r="O200" i="95" a="1"/>
  <c r="O200" i="95" s="1"/>
  <c r="G202" i="95" a="1"/>
  <c r="G202" i="95" s="1"/>
  <c r="G17" i="142" s="1"/>
  <c r="G205" i="95" a="1"/>
  <c r="G205" i="95" s="1"/>
  <c r="G15" i="142"/>
  <c r="G203" i="95" a="1"/>
  <c r="G203" i="95" s="1"/>
  <c r="G18" i="142" s="1"/>
  <c r="G206" i="95" a="1"/>
  <c r="G206" i="95" s="1"/>
  <c r="G207" i="95" a="1"/>
  <c r="G207" i="95" s="1"/>
  <c r="G22" i="142" s="1"/>
  <c r="G201" i="95" a="1"/>
  <c r="G201" i="95" s="1"/>
  <c r="G204" i="95" a="1"/>
  <c r="G204" i="95" s="1"/>
  <c r="G208" i="95" a="1"/>
  <c r="G208" i="95" s="1"/>
  <c r="G23" i="142" s="1"/>
  <c r="L200" i="95" a="1"/>
  <c r="L200" i="95" s="1"/>
  <c r="L203" i="95" a="1"/>
  <c r="L203" i="95" s="1"/>
  <c r="L18" i="142" s="1"/>
  <c r="L206" i="95" a="1"/>
  <c r="L206" i="95" s="1"/>
  <c r="L207" i="95" a="1"/>
  <c r="L207" i="95" s="1"/>
  <c r="L201" i="95" a="1"/>
  <c r="L201" i="95" s="1"/>
  <c r="L204" i="95" a="1"/>
  <c r="L204" i="95" s="1"/>
  <c r="L19" i="142" s="1"/>
  <c r="L202" i="95" a="1"/>
  <c r="L202" i="95" s="1"/>
  <c r="L208" i="95" a="1"/>
  <c r="L208" i="95" s="1"/>
  <c r="L205" i="95" a="1"/>
  <c r="L205" i="95" s="1"/>
  <c r="L20" i="142" s="1"/>
  <c r="M200" i="95" a="1"/>
  <c r="M200" i="95" s="1"/>
  <c r="M203" i="95" a="1"/>
  <c r="M203" i="95" s="1"/>
  <c r="M18" i="142" s="1"/>
  <c r="M206" i="95" a="1"/>
  <c r="M206" i="95" s="1"/>
  <c r="M207" i="95" a="1"/>
  <c r="M207" i="95" s="1"/>
  <c r="M201" i="95" a="1"/>
  <c r="M201" i="95" s="1"/>
  <c r="M16" i="142" s="1"/>
  <c r="M204" i="95" a="1"/>
  <c r="M204" i="95" s="1"/>
  <c r="M202" i="95" a="1"/>
  <c r="M202" i="95" s="1"/>
  <c r="M205" i="95" a="1"/>
  <c r="M205" i="95" s="1"/>
  <c r="M20" i="142" s="1"/>
  <c r="M208" i="95" a="1"/>
  <c r="M208" i="95" s="1"/>
  <c r="M23" i="142" s="1"/>
  <c r="H208" i="95" a="1"/>
  <c r="H208" i="95" s="1"/>
  <c r="H202" i="95" a="1"/>
  <c r="H202" i="95" s="1"/>
  <c r="H205" i="95" a="1"/>
  <c r="H205" i="95" s="1"/>
  <c r="H20" i="142" s="1"/>
  <c r="H200" i="95" a="1"/>
  <c r="H200" i="95" s="1"/>
  <c r="H15" i="142" s="1"/>
  <c r="H203" i="95" a="1"/>
  <c r="H203" i="95" s="1"/>
  <c r="H206" i="95" a="1"/>
  <c r="H206" i="95" s="1"/>
  <c r="H207" i="95" a="1"/>
  <c r="H207" i="95" s="1"/>
  <c r="Z8" i="102" s="1"/>
  <c r="H201" i="95" a="1"/>
  <c r="H201" i="95" s="1"/>
  <c r="H16" i="142" s="1"/>
  <c r="H204" i="95" a="1"/>
  <c r="H204" i="95" s="1"/>
  <c r="E190" i="95"/>
  <c r="E203" i="95" a="1"/>
  <c r="E203" i="95" s="1"/>
  <c r="E18" i="142" s="1"/>
  <c r="E206" i="95" a="1"/>
  <c r="E206" i="95" s="1"/>
  <c r="E201" i="95" a="1"/>
  <c r="E201" i="95" s="1"/>
  <c r="E16" i="142" s="1"/>
  <c r="E204" i="95" a="1"/>
  <c r="E204" i="95" s="1"/>
  <c r="E208" i="95" a="1"/>
  <c r="E208" i="95" s="1"/>
  <c r="E23" i="142" s="1"/>
  <c r="E200" i="95" a="1"/>
  <c r="E200" i="95" s="1"/>
  <c r="E205" i="95" a="1"/>
  <c r="E205" i="95" s="1"/>
  <c r="E207" i="95" a="1"/>
  <c r="E207" i="95" s="1"/>
  <c r="E202" i="95" a="1"/>
  <c r="E202" i="95" s="1"/>
  <c r="E17" i="142" s="1"/>
  <c r="H190" i="95"/>
  <c r="G190" i="95"/>
  <c r="M4" i="106"/>
  <c r="F17" i="142"/>
  <c r="F19" i="142"/>
  <c r="AS58" i="95"/>
  <c r="S77" i="95"/>
  <c r="R75" i="95"/>
  <c r="AR56" i="95"/>
  <c r="AB76" i="95"/>
  <c r="BB57" i="95"/>
  <c r="I6" i="106"/>
  <c r="I4" i="106" s="1"/>
  <c r="U76" i="95"/>
  <c r="AU57" i="95"/>
  <c r="X77" i="95"/>
  <c r="AX58" i="95"/>
  <c r="T75" i="95"/>
  <c r="AT56" i="95"/>
  <c r="W76" i="95"/>
  <c r="AW57" i="95"/>
  <c r="W77" i="95"/>
  <c r="AW58" i="95"/>
  <c r="R77" i="95"/>
  <c r="AR58" i="95"/>
  <c r="E6" i="106"/>
  <c r="E4" i="106" s="1"/>
  <c r="V76" i="95"/>
  <c r="AV57" i="95"/>
  <c r="D6" i="106"/>
  <c r="D4" i="106" s="1"/>
  <c r="R92" i="95"/>
  <c r="AR73" i="95"/>
  <c r="K190" i="95"/>
  <c r="AW73" i="95"/>
  <c r="W92" i="95"/>
  <c r="AS56" i="95"/>
  <c r="S75" i="95"/>
  <c r="AU55" i="95"/>
  <c r="U74" i="95"/>
  <c r="BB55" i="95"/>
  <c r="AB74" i="95"/>
  <c r="X76" i="95"/>
  <c r="AX57" i="95"/>
  <c r="T77" i="95"/>
  <c r="AT58" i="95"/>
  <c r="AS73" i="95"/>
  <c r="S92" i="95"/>
  <c r="AU58" i="95"/>
  <c r="U77" i="95"/>
  <c r="AB92" i="95"/>
  <c r="BB73" i="95"/>
  <c r="W74" i="95"/>
  <c r="AW55" i="95"/>
  <c r="V74" i="95"/>
  <c r="AV55" i="95"/>
  <c r="C6" i="106"/>
  <c r="C4" i="106" s="1"/>
  <c r="AV73" i="95"/>
  <c r="V92" i="95"/>
  <c r="G6" i="106"/>
  <c r="G4" i="106" s="1"/>
  <c r="V75" i="95"/>
  <c r="AV56" i="95"/>
  <c r="H6" i="106"/>
  <c r="H4" i="106" s="1"/>
  <c r="J190" i="95"/>
  <c r="V77" i="95"/>
  <c r="AV58" i="95"/>
  <c r="U75" i="95"/>
  <c r="AU56" i="95"/>
  <c r="I190" i="95"/>
  <c r="F190" i="95"/>
  <c r="AX56" i="95"/>
  <c r="X75" i="95"/>
  <c r="T76" i="95"/>
  <c r="AT57" i="95"/>
  <c r="AR57" i="95"/>
  <c r="R76" i="95"/>
  <c r="AR55" i="95"/>
  <c r="R74" i="95"/>
  <c r="AU73" i="95"/>
  <c r="U92" i="95"/>
  <c r="AS55" i="95"/>
  <c r="S74" i="95"/>
  <c r="AB77" i="95"/>
  <c r="BB58" i="95"/>
  <c r="AX55" i="95"/>
  <c r="X74" i="95"/>
  <c r="T74" i="95"/>
  <c r="AT55" i="95"/>
  <c r="S76" i="95"/>
  <c r="AS57" i="95"/>
  <c r="F6" i="106"/>
  <c r="F4" i="106" s="1"/>
  <c r="AB75" i="95"/>
  <c r="BB56" i="95"/>
  <c r="AX73" i="95"/>
  <c r="X92" i="95"/>
  <c r="AT73" i="95"/>
  <c r="T92" i="95"/>
  <c r="W75" i="95"/>
  <c r="AW56" i="95"/>
  <c r="K5" i="106"/>
  <c r="K4" i="106" s="1"/>
  <c r="L5" i="106"/>
  <c r="L4" i="106" s="1"/>
  <c r="L190" i="95"/>
  <c r="Y76" i="95"/>
  <c r="AY57" i="95"/>
  <c r="Y75" i="95"/>
  <c r="AY56" i="95"/>
  <c r="Y92" i="95"/>
  <c r="AY73" i="95"/>
  <c r="Y74" i="95"/>
  <c r="AY55" i="95"/>
  <c r="Y77" i="95"/>
  <c r="AY58" i="95"/>
  <c r="J4" i="106"/>
  <c r="M190" i="95"/>
  <c r="Z75" i="95"/>
  <c r="AZ56" i="95"/>
  <c r="Z77" i="95"/>
  <c r="AZ58" i="95"/>
  <c r="Z76" i="95"/>
  <c r="AZ57" i="95"/>
  <c r="Z74" i="95"/>
  <c r="AZ55" i="95"/>
  <c r="Z92" i="95"/>
  <c r="AZ73" i="95"/>
  <c r="N190" i="95"/>
  <c r="AA77" i="95"/>
  <c r="BA58" i="95"/>
  <c r="AA74" i="95"/>
  <c r="BA55" i="95"/>
  <c r="AA75" i="95"/>
  <c r="BA56" i="95"/>
  <c r="AA76" i="95"/>
  <c r="BA57" i="95"/>
  <c r="AA92" i="95"/>
  <c r="BA73" i="95"/>
  <c r="AT60" i="95" l="1"/>
  <c r="G34" i="95" s="1"/>
  <c r="G210" i="95"/>
  <c r="G211" i="95" s="1"/>
  <c r="J26" i="142"/>
  <c r="G27" i="142"/>
  <c r="K26" i="142"/>
  <c r="F27" i="142"/>
  <c r="N8" i="102"/>
  <c r="N9" i="144" s="1"/>
  <c r="G221" i="95"/>
  <c r="J20" i="142"/>
  <c r="E21" i="142"/>
  <c r="E219" i="95" s="1"/>
  <c r="H213" i="95"/>
  <c r="M214" i="95"/>
  <c r="L217" i="95"/>
  <c r="G16" i="142"/>
  <c r="T204" i="95"/>
  <c r="T208" i="95"/>
  <c r="F15" i="142"/>
  <c r="K19" i="142"/>
  <c r="I23" i="142"/>
  <c r="J215" i="95"/>
  <c r="H218" i="95"/>
  <c r="L16" i="142"/>
  <c r="T8" i="102"/>
  <c r="T9" i="102" s="1"/>
  <c r="T10" i="145" s="1"/>
  <c r="G220" i="95"/>
  <c r="T205" i="95"/>
  <c r="F20" i="142"/>
  <c r="F16" i="142"/>
  <c r="K214" i="95"/>
  <c r="I21" i="142"/>
  <c r="J221" i="95"/>
  <c r="K23" i="142"/>
  <c r="Z9" i="144"/>
  <c r="Z9" i="145"/>
  <c r="E216" i="95"/>
  <c r="M19" i="142"/>
  <c r="I20" i="142"/>
  <c r="K17" i="142"/>
  <c r="J15" i="142"/>
  <c r="H17" i="142"/>
  <c r="M21" i="142"/>
  <c r="W8" i="102"/>
  <c r="W9" i="102" s="1"/>
  <c r="T202" i="95"/>
  <c r="F215" i="95"/>
  <c r="K219" i="95"/>
  <c r="I217" i="95"/>
  <c r="J217" i="95"/>
  <c r="G215" i="95"/>
  <c r="G19" i="142"/>
  <c r="T209" i="95"/>
  <c r="E215" i="95"/>
  <c r="L23" i="142"/>
  <c r="M17" i="142"/>
  <c r="E20" i="142"/>
  <c r="H19" i="142"/>
  <c r="H23" i="142"/>
  <c r="M216" i="95"/>
  <c r="L21" i="142"/>
  <c r="G216" i="95"/>
  <c r="T201" i="95"/>
  <c r="F221" i="95"/>
  <c r="K216" i="95"/>
  <c r="I214" i="95"/>
  <c r="J214" i="95"/>
  <c r="H21" i="142"/>
  <c r="T210" i="95"/>
  <c r="I17" i="142"/>
  <c r="H18" i="142"/>
  <c r="H214" i="95"/>
  <c r="M221" i="95"/>
  <c r="L216" i="95"/>
  <c r="G213" i="95"/>
  <c r="T203" i="95"/>
  <c r="F220" i="95"/>
  <c r="I216" i="95"/>
  <c r="J219" i="95"/>
  <c r="E19" i="142"/>
  <c r="F21" i="142"/>
  <c r="E214" i="95"/>
  <c r="L17" i="142"/>
  <c r="F18" i="142"/>
  <c r="E221" i="95"/>
  <c r="M218" i="95"/>
  <c r="L218" i="95"/>
  <c r="G20" i="142"/>
  <c r="T206" i="95"/>
  <c r="F217" i="95"/>
  <c r="K218" i="95"/>
  <c r="J18" i="142"/>
  <c r="G21" i="142"/>
  <c r="H210" i="95"/>
  <c r="H211" i="95" s="1"/>
  <c r="AC8" i="102"/>
  <c r="H22" i="142"/>
  <c r="AL9" i="102"/>
  <c r="AL10" i="145" s="1"/>
  <c r="AL9" i="144"/>
  <c r="O210" i="95"/>
  <c r="O211" i="95" s="1"/>
  <c r="J22" i="142"/>
  <c r="F210" i="95"/>
  <c r="F211" i="95" s="1"/>
  <c r="AS60" i="95"/>
  <c r="F34" i="95" s="1"/>
  <c r="AU60" i="95"/>
  <c r="H34" i="95" s="1"/>
  <c r="Q8" i="102"/>
  <c r="AO8" i="102"/>
  <c r="AV60" i="95"/>
  <c r="I34" i="95" s="1"/>
  <c r="J210" i="95"/>
  <c r="J211" i="95" s="1"/>
  <c r="BB60" i="95"/>
  <c r="O34" i="95" s="1"/>
  <c r="AR60" i="95"/>
  <c r="E34" i="95" s="1"/>
  <c r="AX60" i="95"/>
  <c r="K34" i="95" s="1"/>
  <c r="AX92" i="95"/>
  <c r="X111" i="95"/>
  <c r="O15" i="142"/>
  <c r="BS8" i="102"/>
  <c r="BS9" i="102" s="1"/>
  <c r="R111" i="95"/>
  <c r="AR92" i="95"/>
  <c r="O23" i="142"/>
  <c r="AB94" i="95"/>
  <c r="BB75" i="95"/>
  <c r="AS74" i="95"/>
  <c r="S93" i="95"/>
  <c r="X94" i="95"/>
  <c r="AX75" i="95"/>
  <c r="Z9" i="102"/>
  <c r="Z10" i="145" s="1"/>
  <c r="K15" i="142"/>
  <c r="AU8" i="102"/>
  <c r="K210" i="95"/>
  <c r="K211" i="95" s="1"/>
  <c r="V95" i="95"/>
  <c r="AV76" i="95"/>
  <c r="AX77" i="95"/>
  <c r="X96" i="95"/>
  <c r="O20" i="142"/>
  <c r="R94" i="95"/>
  <c r="AR75" i="95"/>
  <c r="AX74" i="95"/>
  <c r="X93" i="95"/>
  <c r="E22" i="142"/>
  <c r="H8" i="102"/>
  <c r="W111" i="95"/>
  <c r="AW92" i="95"/>
  <c r="W96" i="95"/>
  <c r="AW77" i="95"/>
  <c r="AV75" i="95"/>
  <c r="V94" i="95"/>
  <c r="O16" i="142"/>
  <c r="AW76" i="95"/>
  <c r="W95" i="95"/>
  <c r="K8" i="102"/>
  <c r="E210" i="95"/>
  <c r="E211" i="95" s="1"/>
  <c r="E15" i="142"/>
  <c r="AT76" i="95"/>
  <c r="T95" i="95"/>
  <c r="AV92" i="95"/>
  <c r="V111" i="95"/>
  <c r="BB92" i="95"/>
  <c r="AB111" i="95"/>
  <c r="AX76" i="95"/>
  <c r="X95" i="95"/>
  <c r="AT75" i="95"/>
  <c r="T94" i="95"/>
  <c r="AB95" i="95"/>
  <c r="BB76" i="95"/>
  <c r="U111" i="95"/>
  <c r="AU92" i="95"/>
  <c r="I15" i="142"/>
  <c r="I210" i="95"/>
  <c r="I211" i="95" s="1"/>
  <c r="AI8" i="102"/>
  <c r="U96" i="95"/>
  <c r="AU77" i="95"/>
  <c r="AB93" i="95"/>
  <c r="BB74" i="95"/>
  <c r="AS76" i="95"/>
  <c r="S95" i="95"/>
  <c r="U94" i="95"/>
  <c r="AU75" i="95"/>
  <c r="AV77" i="95"/>
  <c r="V96" i="95"/>
  <c r="S111" i="95"/>
  <c r="AS92" i="95"/>
  <c r="U93" i="95"/>
  <c r="AU74" i="95"/>
  <c r="O17" i="142"/>
  <c r="S96" i="95"/>
  <c r="AS77" i="95"/>
  <c r="O18" i="142"/>
  <c r="W94" i="95"/>
  <c r="AW75" i="95"/>
  <c r="R93" i="95"/>
  <c r="AR74" i="95"/>
  <c r="BP8" i="102"/>
  <c r="O22" i="142"/>
  <c r="AB96" i="95"/>
  <c r="BB77" i="95"/>
  <c r="AF8" i="102"/>
  <c r="I22" i="142"/>
  <c r="AV74" i="95"/>
  <c r="V93" i="95"/>
  <c r="S94" i="95"/>
  <c r="AS75" i="95"/>
  <c r="AR8" i="102"/>
  <c r="K22" i="142"/>
  <c r="U95" i="95"/>
  <c r="AU76" i="95"/>
  <c r="O21" i="142"/>
  <c r="W93" i="95"/>
  <c r="AW74" i="95"/>
  <c r="T96" i="95"/>
  <c r="AT77" i="95"/>
  <c r="AT92" i="95"/>
  <c r="T111" i="95"/>
  <c r="AT74" i="95"/>
  <c r="T93" i="95"/>
  <c r="R95" i="95"/>
  <c r="AR76" i="95"/>
  <c r="AW60" i="95"/>
  <c r="R96" i="95"/>
  <c r="AR77" i="95"/>
  <c r="O19" i="142"/>
  <c r="BA60" i="95"/>
  <c r="N34" i="95" s="1"/>
  <c r="AZ60" i="95"/>
  <c r="AA111" i="95"/>
  <c r="BA92" i="95"/>
  <c r="AA95" i="95"/>
  <c r="BA76" i="95"/>
  <c r="AA94" i="95"/>
  <c r="BA75" i="95"/>
  <c r="AA93" i="95"/>
  <c r="BA74" i="95"/>
  <c r="AA96" i="95"/>
  <c r="BA77" i="95"/>
  <c r="N18" i="142"/>
  <c r="N23" i="142"/>
  <c r="N17" i="142"/>
  <c r="N16" i="142"/>
  <c r="BM8" i="102"/>
  <c r="N210" i="95"/>
  <c r="N211" i="95" s="1"/>
  <c r="N15" i="142"/>
  <c r="N20" i="142"/>
  <c r="N21" i="142"/>
  <c r="N19" i="142"/>
  <c r="N22" i="142"/>
  <c r="BJ8" i="102"/>
  <c r="BJ9" i="144" s="1"/>
  <c r="Z111" i="95"/>
  <c r="AZ92" i="95"/>
  <c r="Z93" i="95"/>
  <c r="AZ74" i="95"/>
  <c r="Z95" i="95"/>
  <c r="AZ76" i="95"/>
  <c r="Z96" i="95"/>
  <c r="AZ77" i="95"/>
  <c r="Z94" i="95"/>
  <c r="AZ94" i="95" s="1"/>
  <c r="AZ75" i="95"/>
  <c r="BG8" i="102"/>
  <c r="M15" i="142"/>
  <c r="M210" i="95"/>
  <c r="M211" i="95" s="1"/>
  <c r="M22" i="142"/>
  <c r="BD8" i="102"/>
  <c r="BD9" i="144" s="1"/>
  <c r="Y96" i="95"/>
  <c r="AY77" i="95"/>
  <c r="AY60" i="95"/>
  <c r="L34" i="95" s="1"/>
  <c r="Y93" i="95"/>
  <c r="AY74" i="95"/>
  <c r="Y111" i="95"/>
  <c r="AY92" i="95"/>
  <c r="Y94" i="95"/>
  <c r="AY75" i="95"/>
  <c r="Y95" i="95"/>
  <c r="AY76" i="95"/>
  <c r="BA8" i="102"/>
  <c r="L210" i="95"/>
  <c r="L211" i="95" s="1"/>
  <c r="L15" i="142"/>
  <c r="L22" i="142"/>
  <c r="AX8" i="102"/>
  <c r="F24" i="143"/>
  <c r="N9" i="102" l="1"/>
  <c r="N10" i="145" s="1"/>
  <c r="N9" i="145"/>
  <c r="AT79" i="95"/>
  <c r="H217" i="95"/>
  <c r="J213" i="95"/>
  <c r="K221" i="95"/>
  <c r="N217" i="95"/>
  <c r="J218" i="95"/>
  <c r="O27" i="142"/>
  <c r="O215" i="95"/>
  <c r="H27" i="142"/>
  <c r="F26" i="142"/>
  <c r="E218" i="95"/>
  <c r="K215" i="95"/>
  <c r="L214" i="95"/>
  <c r="G214" i="95"/>
  <c r="L215" i="95"/>
  <c r="H215" i="95"/>
  <c r="N26" i="142"/>
  <c r="N218" i="95"/>
  <c r="N213" i="95"/>
  <c r="I213" i="95"/>
  <c r="O221" i="95"/>
  <c r="AK8" i="140"/>
  <c r="AK9" i="140" s="1"/>
  <c r="V8" i="140"/>
  <c r="V9" i="140" s="1"/>
  <c r="G218" i="95"/>
  <c r="E217" i="95"/>
  <c r="M215" i="95"/>
  <c r="I26" i="142"/>
  <c r="N216" i="95"/>
  <c r="G8" i="140"/>
  <c r="G9" i="140" s="1"/>
  <c r="H216" i="95"/>
  <c r="L221" i="95"/>
  <c r="I218" i="95"/>
  <c r="AZ8" i="140"/>
  <c r="I27" i="142"/>
  <c r="BE8" i="140"/>
  <c r="BE9" i="140" s="1"/>
  <c r="G26" i="142"/>
  <c r="I215" i="95"/>
  <c r="M217" i="95"/>
  <c r="F214" i="95"/>
  <c r="I221" i="95"/>
  <c r="M27" i="142"/>
  <c r="N221" i="95"/>
  <c r="O213" i="95"/>
  <c r="H221" i="95"/>
  <c r="AP8" i="140"/>
  <c r="L26" i="142"/>
  <c r="F218" i="95"/>
  <c r="K217" i="95"/>
  <c r="L27" i="142"/>
  <c r="O26" i="142"/>
  <c r="O218" i="95"/>
  <c r="N214" i="95"/>
  <c r="O217" i="95"/>
  <c r="J27" i="142"/>
  <c r="N27" i="142"/>
  <c r="N215" i="95"/>
  <c r="K27" i="142"/>
  <c r="O216" i="95"/>
  <c r="O214" i="95"/>
  <c r="E27" i="142"/>
  <c r="AA8" i="140"/>
  <c r="AA9" i="140" s="1"/>
  <c r="J216" i="95"/>
  <c r="F216" i="95"/>
  <c r="H26" i="142"/>
  <c r="G217" i="95"/>
  <c r="M26" i="142"/>
  <c r="F213" i="95"/>
  <c r="E26" i="142"/>
  <c r="L25" i="142"/>
  <c r="M25" i="142"/>
  <c r="E25" i="142"/>
  <c r="M219" i="95"/>
  <c r="H219" i="95"/>
  <c r="Y8" i="102"/>
  <c r="Y9" i="102" s="1"/>
  <c r="Y10" i="145" s="1"/>
  <c r="O220" i="95"/>
  <c r="H220" i="95"/>
  <c r="F25" i="142"/>
  <c r="M220" i="95"/>
  <c r="K25" i="142"/>
  <c r="E213" i="95"/>
  <c r="K213" i="95"/>
  <c r="G25" i="142"/>
  <c r="F219" i="95"/>
  <c r="L213" i="95"/>
  <c r="N219" i="95"/>
  <c r="N220" i="95"/>
  <c r="AR9" i="144"/>
  <c r="AR9" i="145"/>
  <c r="BA9" i="144"/>
  <c r="BA9" i="145"/>
  <c r="W10" i="144"/>
  <c r="W10" i="145"/>
  <c r="AU9" i="144"/>
  <c r="AU9" i="145"/>
  <c r="L219" i="95"/>
  <c r="E220" i="95"/>
  <c r="AF9" i="144"/>
  <c r="AF9" i="145"/>
  <c r="I25" i="142"/>
  <c r="G219" i="95"/>
  <c r="I219" i="95"/>
  <c r="K220" i="95"/>
  <c r="H25" i="142"/>
  <c r="AI9" i="144"/>
  <c r="AI9" i="145"/>
  <c r="J25" i="142"/>
  <c r="AX9" i="144"/>
  <c r="AX9" i="145"/>
  <c r="K9" i="144"/>
  <c r="K9" i="145"/>
  <c r="Q9" i="144"/>
  <c r="Q9" i="145"/>
  <c r="J220" i="95"/>
  <c r="I220" i="95"/>
  <c r="W9" i="144"/>
  <c r="W9" i="145"/>
  <c r="H9" i="144"/>
  <c r="H9" i="145"/>
  <c r="AO9" i="144"/>
  <c r="AO9" i="145"/>
  <c r="AC9" i="144"/>
  <c r="AC9" i="145"/>
  <c r="M213" i="95"/>
  <c r="O219" i="95"/>
  <c r="L220" i="95"/>
  <c r="T9" i="144"/>
  <c r="T9" i="145"/>
  <c r="Z10" i="144"/>
  <c r="N10" i="144"/>
  <c r="AL10" i="144"/>
  <c r="T10" i="144"/>
  <c r="AC9" i="102"/>
  <c r="AE8" i="102"/>
  <c r="AE9" i="102" s="1"/>
  <c r="AE10" i="145" s="1"/>
  <c r="BG9" i="102"/>
  <c r="BG10" i="144" s="1"/>
  <c r="BG9" i="144"/>
  <c r="BM9" i="102"/>
  <c r="BM10" i="144" s="1"/>
  <c r="BM9" i="144"/>
  <c r="Q23" i="81"/>
  <c r="S23" i="81" s="1"/>
  <c r="W23" i="81"/>
  <c r="Y23" i="81" s="1"/>
  <c r="S8" i="102"/>
  <c r="S9" i="145" s="1"/>
  <c r="AO9" i="102"/>
  <c r="AC23" i="81"/>
  <c r="AE23" i="81" s="1"/>
  <c r="Q9" i="102"/>
  <c r="K23" i="81"/>
  <c r="M23" i="81" s="1"/>
  <c r="AU79" i="95"/>
  <c r="W24" i="81" s="1"/>
  <c r="Y24" i="81" s="1"/>
  <c r="Q24" i="81"/>
  <c r="S24" i="81" s="1"/>
  <c r="AW79" i="95"/>
  <c r="AI24" i="81" s="1"/>
  <c r="AK24" i="81" s="1"/>
  <c r="BB79" i="95"/>
  <c r="AV79" i="95"/>
  <c r="AC24" i="81" s="1"/>
  <c r="AE24" i="81" s="1"/>
  <c r="AQ8" i="102"/>
  <c r="AS79" i="95"/>
  <c r="K24" i="81" s="1"/>
  <c r="M24" i="81" s="1"/>
  <c r="AR79" i="95"/>
  <c r="AX79" i="95"/>
  <c r="S114" i="95"/>
  <c r="AS95" i="95"/>
  <c r="U130" i="95"/>
  <c r="AU111" i="95"/>
  <c r="BP9" i="102"/>
  <c r="BU8" i="102"/>
  <c r="S115" i="95"/>
  <c r="AS96" i="95"/>
  <c r="AW96" i="95"/>
  <c r="W115" i="95"/>
  <c r="X114" i="95"/>
  <c r="AX95" i="95"/>
  <c r="W113" i="95"/>
  <c r="AW94" i="95"/>
  <c r="AU96" i="95"/>
  <c r="U115" i="95"/>
  <c r="R114" i="95"/>
  <c r="AR95" i="95"/>
  <c r="AS111" i="95"/>
  <c r="S130" i="95"/>
  <c r="AB130" i="95"/>
  <c r="BB111" i="95"/>
  <c r="Q8" i="140"/>
  <c r="S112" i="95"/>
  <c r="AS93" i="95"/>
  <c r="T113" i="95"/>
  <c r="AT94" i="95"/>
  <c r="AB112" i="95"/>
  <c r="BB93" i="95"/>
  <c r="V112" i="95"/>
  <c r="AV93" i="95"/>
  <c r="U112" i="95"/>
  <c r="AU93" i="95"/>
  <c r="W114" i="95"/>
  <c r="AW95" i="95"/>
  <c r="AW111" i="95"/>
  <c r="W130" i="95"/>
  <c r="AX96" i="95"/>
  <c r="X115" i="95"/>
  <c r="AX94" i="95"/>
  <c r="X113" i="95"/>
  <c r="L8" i="140"/>
  <c r="T112" i="95"/>
  <c r="AT93" i="95"/>
  <c r="AF9" i="102"/>
  <c r="AF10" i="145" s="1"/>
  <c r="V115" i="95"/>
  <c r="AV96" i="95"/>
  <c r="AK8" i="102"/>
  <c r="AI9" i="102"/>
  <c r="H9" i="102"/>
  <c r="H10" i="145" s="1"/>
  <c r="M8" i="102"/>
  <c r="V114" i="95"/>
  <c r="AV95" i="95"/>
  <c r="X130" i="95"/>
  <c r="AX111" i="95"/>
  <c r="T115" i="95"/>
  <c r="AT96" i="95"/>
  <c r="S113" i="95"/>
  <c r="AS94" i="95"/>
  <c r="AB114" i="95"/>
  <c r="BB95" i="95"/>
  <c r="W112" i="95"/>
  <c r="AW93" i="95"/>
  <c r="AR93" i="95"/>
  <c r="R112" i="95"/>
  <c r="R130" i="95"/>
  <c r="AR111" i="95"/>
  <c r="AI23" i="81"/>
  <c r="AK23" i="81" s="1"/>
  <c r="J34" i="95"/>
  <c r="V130" i="95"/>
  <c r="AV111" i="95"/>
  <c r="K9" i="102"/>
  <c r="U114" i="95"/>
  <c r="AU95" i="95"/>
  <c r="AB115" i="95"/>
  <c r="BB96" i="95"/>
  <c r="X112" i="95"/>
  <c r="AX93" i="95"/>
  <c r="AU9" i="102"/>
  <c r="AB113" i="95"/>
  <c r="BB94" i="95"/>
  <c r="O25" i="142"/>
  <c r="AR9" i="102"/>
  <c r="AR10" i="145" s="1"/>
  <c r="AW8" i="102"/>
  <c r="R113" i="95"/>
  <c r="AR94" i="95"/>
  <c r="AR96" i="95"/>
  <c r="R115" i="95"/>
  <c r="AT111" i="95"/>
  <c r="T130" i="95"/>
  <c r="U113" i="95"/>
  <c r="AU94" i="95"/>
  <c r="T114" i="95"/>
  <c r="AT95" i="95"/>
  <c r="V113" i="95"/>
  <c r="AV94" i="95"/>
  <c r="M34" i="95"/>
  <c r="AX9" i="102"/>
  <c r="AX10" i="145" s="1"/>
  <c r="BC8" i="102"/>
  <c r="BA9" i="102"/>
  <c r="Y114" i="95"/>
  <c r="AY95" i="95"/>
  <c r="AY79" i="95"/>
  <c r="AY94" i="95"/>
  <c r="Y113" i="95"/>
  <c r="Y130" i="95"/>
  <c r="AY111" i="95"/>
  <c r="Y112" i="95"/>
  <c r="AY93" i="95"/>
  <c r="Y115" i="95"/>
  <c r="AY96" i="95"/>
  <c r="BD9" i="102"/>
  <c r="BI8" i="102"/>
  <c r="Z113" i="95"/>
  <c r="Z115" i="95"/>
  <c r="AZ96" i="95"/>
  <c r="Z114" i="95"/>
  <c r="AZ95" i="95"/>
  <c r="AZ79" i="95"/>
  <c r="Z112" i="95"/>
  <c r="AZ93" i="95"/>
  <c r="Z130" i="95"/>
  <c r="AZ111" i="95"/>
  <c r="BJ9" i="102"/>
  <c r="BO8" i="102"/>
  <c r="N25" i="142"/>
  <c r="AA115" i="95"/>
  <c r="BA96" i="95"/>
  <c r="BA79" i="95"/>
  <c r="AA112" i="95"/>
  <c r="BA93" i="95"/>
  <c r="AA113" i="95"/>
  <c r="BA94" i="95"/>
  <c r="AA114" i="95"/>
  <c r="BA95" i="95"/>
  <c r="AA130" i="95"/>
  <c r="BA111" i="95"/>
  <c r="D24" i="143"/>
  <c r="B19" i="143"/>
  <c r="B24" i="143"/>
  <c r="E30" i="142" l="1"/>
  <c r="C28" i="143" s="1"/>
  <c r="AT98" i="95"/>
  <c r="G36" i="95"/>
  <c r="M30" i="142"/>
  <c r="L30" i="142"/>
  <c r="J30" i="142"/>
  <c r="AF8" i="140"/>
  <c r="AF9" i="140" s="1"/>
  <c r="H30" i="142"/>
  <c r="H41" i="142" s="1"/>
  <c r="I30" i="142"/>
  <c r="F30" i="142"/>
  <c r="N30" i="142"/>
  <c r="K30" i="142"/>
  <c r="O30" i="142"/>
  <c r="O41" i="142" s="1"/>
  <c r="B4" i="143" s="1"/>
  <c r="G30" i="142"/>
  <c r="G41" i="142" s="1"/>
  <c r="Y9" i="145"/>
  <c r="Y9" i="144"/>
  <c r="AU10" i="144"/>
  <c r="AU10" i="145"/>
  <c r="AC10" i="144"/>
  <c r="AC10" i="145"/>
  <c r="AI10" i="144"/>
  <c r="AI10" i="145"/>
  <c r="BC9" i="144"/>
  <c r="BC9" i="145"/>
  <c r="E41" i="142"/>
  <c r="C29" i="143"/>
  <c r="BA10" i="144"/>
  <c r="BA10" i="145"/>
  <c r="AK9" i="144"/>
  <c r="AK9" i="145"/>
  <c r="AW9" i="144"/>
  <c r="AW9" i="145"/>
  <c r="AE9" i="144"/>
  <c r="AE9" i="145"/>
  <c r="AO10" i="144"/>
  <c r="AO10" i="145"/>
  <c r="K10" i="144"/>
  <c r="K10" i="145"/>
  <c r="Q10" i="144"/>
  <c r="Q10" i="145"/>
  <c r="M9" i="144"/>
  <c r="M9" i="145"/>
  <c r="AQ9" i="144"/>
  <c r="AQ9" i="145"/>
  <c r="AF10" i="144"/>
  <c r="AR10" i="144"/>
  <c r="H10" i="144"/>
  <c r="Y10" i="144"/>
  <c r="AX10" i="144"/>
  <c r="BD10" i="144"/>
  <c r="BJ10" i="144"/>
  <c r="AE10" i="144"/>
  <c r="S9" i="102"/>
  <c r="S10" i="145" s="1"/>
  <c r="S9" i="144"/>
  <c r="BI9" i="102"/>
  <c r="BI9" i="144"/>
  <c r="BO9" i="102"/>
  <c r="BO9" i="144"/>
  <c r="AS98" i="95"/>
  <c r="K28" i="81" s="1"/>
  <c r="M28" i="81" s="1"/>
  <c r="AY98" i="95"/>
  <c r="AU98" i="95"/>
  <c r="H36" i="95" s="1"/>
  <c r="BA98" i="95"/>
  <c r="AR98" i="95"/>
  <c r="E36" i="95" s="1"/>
  <c r="AW98" i="95"/>
  <c r="J36" i="95" s="1"/>
  <c r="AX98" i="95"/>
  <c r="K36" i="95" s="1"/>
  <c r="AV98" i="95"/>
  <c r="I36" i="95" s="1"/>
  <c r="AZ98" i="95"/>
  <c r="BB98" i="95"/>
  <c r="O36" i="95" s="1"/>
  <c r="AQ9" i="102"/>
  <c r="AQ10" i="145" s="1"/>
  <c r="AW115" i="95"/>
  <c r="W134" i="95"/>
  <c r="AU113" i="95"/>
  <c r="U132" i="95"/>
  <c r="U133" i="95"/>
  <c r="AU114" i="95"/>
  <c r="S132" i="95"/>
  <c r="AS113" i="95"/>
  <c r="X132" i="95"/>
  <c r="AX113" i="95"/>
  <c r="AK9" i="102"/>
  <c r="AK10" i="145" s="1"/>
  <c r="AB131" i="95"/>
  <c r="BB112" i="95"/>
  <c r="R133" i="95"/>
  <c r="AR114" i="95"/>
  <c r="T134" i="95"/>
  <c r="AT115" i="95"/>
  <c r="AX115" i="95"/>
  <c r="X134" i="95"/>
  <c r="AU115" i="95"/>
  <c r="U134" i="95"/>
  <c r="BU9" i="102"/>
  <c r="AR115" i="95"/>
  <c r="R134" i="95"/>
  <c r="AR112" i="95"/>
  <c r="R131" i="95"/>
  <c r="AS112" i="95"/>
  <c r="S131" i="95"/>
  <c r="V133" i="95"/>
  <c r="AV114" i="95"/>
  <c r="AW113" i="95"/>
  <c r="W132" i="95"/>
  <c r="U149" i="95"/>
  <c r="AU130" i="95"/>
  <c r="AB132" i="95"/>
  <c r="BB113" i="95"/>
  <c r="AR130" i="95"/>
  <c r="R149" i="95"/>
  <c r="V132" i="95"/>
  <c r="AV113" i="95"/>
  <c r="Q9" i="140"/>
  <c r="AW112" i="95"/>
  <c r="W131" i="95"/>
  <c r="AX114" i="95"/>
  <c r="X133" i="95"/>
  <c r="AS114" i="95"/>
  <c r="S133" i="95"/>
  <c r="V134" i="95"/>
  <c r="AV115" i="95"/>
  <c r="AT113" i="95"/>
  <c r="T132" i="95"/>
  <c r="X149" i="95"/>
  <c r="AX130" i="95"/>
  <c r="M9" i="102"/>
  <c r="M10" i="145" s="1"/>
  <c r="AT114" i="95"/>
  <c r="T133" i="95"/>
  <c r="AR113" i="95"/>
  <c r="R132" i="95"/>
  <c r="V149" i="95"/>
  <c r="AV130" i="95"/>
  <c r="AU112" i="95"/>
  <c r="U131" i="95"/>
  <c r="AB149" i="95"/>
  <c r="BB130" i="95"/>
  <c r="L9" i="140"/>
  <c r="AV112" i="95"/>
  <c r="V131" i="95"/>
  <c r="T149" i="95"/>
  <c r="AT130" i="95"/>
  <c r="AS115" i="95"/>
  <c r="S134" i="95"/>
  <c r="AW130" i="95"/>
  <c r="W149" i="95"/>
  <c r="X131" i="95"/>
  <c r="AX112" i="95"/>
  <c r="T131" i="95"/>
  <c r="AT112" i="95"/>
  <c r="W133" i="95"/>
  <c r="AW114" i="95"/>
  <c r="AW9" i="102"/>
  <c r="AW10" i="145" s="1"/>
  <c r="AB134" i="95"/>
  <c r="BB115" i="95"/>
  <c r="AB133" i="95"/>
  <c r="BB114" i="95"/>
  <c r="S149" i="95"/>
  <c r="AS130" i="95"/>
  <c r="AU8" i="140"/>
  <c r="AU9" i="140" s="1"/>
  <c r="AZ9" i="140"/>
  <c r="AA149" i="95"/>
  <c r="BA130" i="95"/>
  <c r="AA133" i="95"/>
  <c r="BA114" i="95"/>
  <c r="AA132" i="95"/>
  <c r="BA113" i="95"/>
  <c r="AA131" i="95"/>
  <c r="BA112" i="95"/>
  <c r="AA134" i="95"/>
  <c r="BA115" i="95"/>
  <c r="Z149" i="95"/>
  <c r="AZ130" i="95"/>
  <c r="Z131" i="95"/>
  <c r="AZ112" i="95"/>
  <c r="Z133" i="95"/>
  <c r="AZ114" i="95"/>
  <c r="Z134" i="95"/>
  <c r="AZ115" i="95"/>
  <c r="Z132" i="95"/>
  <c r="AZ113" i="95"/>
  <c r="Y134" i="95"/>
  <c r="AY115" i="95"/>
  <c r="AP9" i="140"/>
  <c r="Y131" i="95"/>
  <c r="AY112" i="95"/>
  <c r="Y149" i="95"/>
  <c r="AY130" i="95"/>
  <c r="Y132" i="95"/>
  <c r="AY113" i="95"/>
  <c r="Y133" i="95"/>
  <c r="AY114" i="95"/>
  <c r="BC9" i="102"/>
  <c r="BC10" i="145" s="1"/>
  <c r="G84" i="109"/>
  <c r="E24" i="143"/>
  <c r="J41" i="142" l="1"/>
  <c r="F18" i="143" s="1"/>
  <c r="F19" i="143" s="1"/>
  <c r="F28" i="143"/>
  <c r="F29" i="143" s="1"/>
  <c r="L41" i="142"/>
  <c r="H18" i="143" s="1"/>
  <c r="H19" i="143" s="1"/>
  <c r="H28" i="143"/>
  <c r="H29" i="143" s="1"/>
  <c r="G28" i="143"/>
  <c r="G29" i="143" s="1"/>
  <c r="M41" i="142"/>
  <c r="I18" i="143" s="1"/>
  <c r="I19" i="143" s="1"/>
  <c r="I28" i="143"/>
  <c r="I29" i="143" s="1"/>
  <c r="N41" i="142"/>
  <c r="J18" i="143" s="1"/>
  <c r="J19" i="143" s="1"/>
  <c r="J28" i="143"/>
  <c r="J29" i="143" s="1"/>
  <c r="F41" i="142"/>
  <c r="D18" i="143" s="1"/>
  <c r="D19" i="143" s="1"/>
  <c r="D28" i="143"/>
  <c r="D29" i="143" s="1"/>
  <c r="B9" i="143"/>
  <c r="C18" i="143"/>
  <c r="C19" i="143" s="1"/>
  <c r="I41" i="142"/>
  <c r="E18" i="143" s="1"/>
  <c r="E19" i="143" s="1"/>
  <c r="E28" i="143"/>
  <c r="E29" i="143" s="1"/>
  <c r="AT117" i="95"/>
  <c r="Q26" i="81" s="1"/>
  <c r="S26" i="81" s="1"/>
  <c r="BG8" i="140"/>
  <c r="BG9" i="140" s="1"/>
  <c r="AC8" i="140"/>
  <c r="AC9" i="140" s="1"/>
  <c r="S8" i="140"/>
  <c r="S9" i="140" s="1"/>
  <c r="AM8" i="140"/>
  <c r="AM9" i="140" s="1"/>
  <c r="AH8" i="140"/>
  <c r="AH9" i="140" s="1"/>
  <c r="I8" i="140"/>
  <c r="I9" i="140" s="1"/>
  <c r="X8" i="140"/>
  <c r="X9" i="140" s="1"/>
  <c r="K41" i="142"/>
  <c r="G18" i="143" s="1"/>
  <c r="G19" i="143" s="1"/>
  <c r="B3" i="143"/>
  <c r="B10" i="143"/>
  <c r="B6" i="143"/>
  <c r="B5" i="143"/>
  <c r="B8" i="143"/>
  <c r="B7" i="143" s="1"/>
  <c r="M10" i="144"/>
  <c r="BO10" i="144"/>
  <c r="AQ10" i="144"/>
  <c r="BI10" i="144"/>
  <c r="BC10" i="144"/>
  <c r="AK10" i="144"/>
  <c r="AW10" i="144"/>
  <c r="S10" i="144"/>
  <c r="AI28" i="81"/>
  <c r="AK28" i="81" s="1"/>
  <c r="AC28" i="81"/>
  <c r="AE28" i="81" s="1"/>
  <c r="AS117" i="95"/>
  <c r="K26" i="81" s="1"/>
  <c r="M26" i="81" s="1"/>
  <c r="W28" i="81"/>
  <c r="Y28" i="81" s="1"/>
  <c r="AV117" i="95"/>
  <c r="AC26" i="81" s="1"/>
  <c r="AE26" i="81" s="1"/>
  <c r="F36" i="95"/>
  <c r="AR117" i="95"/>
  <c r="AW117" i="95"/>
  <c r="AI26" i="81" s="1"/>
  <c r="AK26" i="81" s="1"/>
  <c r="BB117" i="95"/>
  <c r="Q28" i="81"/>
  <c r="S28" i="81" s="1"/>
  <c r="AU117" i="95"/>
  <c r="W26" i="81" s="1"/>
  <c r="Y26" i="81" s="1"/>
  <c r="BB134" i="95"/>
  <c r="AB153" i="95"/>
  <c r="AW134" i="95"/>
  <c r="W153" i="95"/>
  <c r="AW132" i="95"/>
  <c r="W151" i="95"/>
  <c r="AT149" i="95"/>
  <c r="T168" i="95"/>
  <c r="AT168" i="95" s="1"/>
  <c r="AV134" i="95"/>
  <c r="V153" i="95"/>
  <c r="V151" i="95"/>
  <c r="AV132" i="95"/>
  <c r="X153" i="95"/>
  <c r="AX134" i="95"/>
  <c r="AX132" i="95"/>
  <c r="X151" i="95"/>
  <c r="V150" i="95"/>
  <c r="AV131" i="95"/>
  <c r="AS133" i="95"/>
  <c r="S152" i="95"/>
  <c r="R168" i="95"/>
  <c r="AR168" i="95" s="1"/>
  <c r="AR149" i="95"/>
  <c r="T150" i="95"/>
  <c r="AT131" i="95"/>
  <c r="T152" i="95"/>
  <c r="AT133" i="95"/>
  <c r="AS131" i="95"/>
  <c r="S150" i="95"/>
  <c r="S151" i="95"/>
  <c r="AS132" i="95"/>
  <c r="AS134" i="95"/>
  <c r="S153" i="95"/>
  <c r="U150" i="95"/>
  <c r="AU131" i="95"/>
  <c r="AB150" i="95"/>
  <c r="BB131" i="95"/>
  <c r="V152" i="95"/>
  <c r="AV133" i="95"/>
  <c r="AX117" i="95"/>
  <c r="X152" i="95"/>
  <c r="AX133" i="95"/>
  <c r="AT134" i="95"/>
  <c r="T153" i="95"/>
  <c r="X150" i="95"/>
  <c r="AX131" i="95"/>
  <c r="R150" i="95"/>
  <c r="AR131" i="95"/>
  <c r="AU133" i="95"/>
  <c r="U152" i="95"/>
  <c r="T151" i="95"/>
  <c r="AT132" i="95"/>
  <c r="AW133" i="95"/>
  <c r="W152" i="95"/>
  <c r="R151" i="95"/>
  <c r="AR132" i="95"/>
  <c r="AS149" i="95"/>
  <c r="S168" i="95"/>
  <c r="AS168" i="95" s="1"/>
  <c r="BB133" i="95"/>
  <c r="AB152" i="95"/>
  <c r="BB132" i="95"/>
  <c r="AB151" i="95"/>
  <c r="AR133" i="95"/>
  <c r="R152" i="95"/>
  <c r="AU132" i="95"/>
  <c r="U151" i="95"/>
  <c r="X168" i="95"/>
  <c r="AX168" i="95" s="1"/>
  <c r="AX149" i="95"/>
  <c r="U168" i="95"/>
  <c r="AU168" i="95" s="1"/>
  <c r="AU149" i="95"/>
  <c r="U153" i="95"/>
  <c r="AU134" i="95"/>
  <c r="AV149" i="95"/>
  <c r="V168" i="95"/>
  <c r="AV168" i="95" s="1"/>
  <c r="W168" i="95"/>
  <c r="AW168" i="95" s="1"/>
  <c r="AW149" i="95"/>
  <c r="AB168" i="95"/>
  <c r="BB168" i="95" s="1"/>
  <c r="BB149" i="95"/>
  <c r="AW131" i="95"/>
  <c r="W150" i="95"/>
  <c r="R153" i="95"/>
  <c r="AR134" i="95"/>
  <c r="N36" i="95"/>
  <c r="M36" i="95"/>
  <c r="L36" i="95"/>
  <c r="J84" i="109"/>
  <c r="K84" i="109"/>
  <c r="Y152" i="95"/>
  <c r="AY133" i="95"/>
  <c r="AY117" i="95"/>
  <c r="AY132" i="95"/>
  <c r="Y151" i="95"/>
  <c r="Y168" i="95"/>
  <c r="AY168" i="95" s="1"/>
  <c r="AY149" i="95"/>
  <c r="Y150" i="95"/>
  <c r="AY131" i="95"/>
  <c r="Y153" i="95"/>
  <c r="AY134" i="95"/>
  <c r="Z151" i="95"/>
  <c r="AZ132" i="95"/>
  <c r="Z153" i="95"/>
  <c r="AZ134" i="95"/>
  <c r="Z152" i="95"/>
  <c r="AZ133" i="95"/>
  <c r="AZ117" i="95"/>
  <c r="Z150" i="95"/>
  <c r="AZ131" i="95"/>
  <c r="Z168" i="95"/>
  <c r="AZ168" i="95" s="1"/>
  <c r="AZ149" i="95"/>
  <c r="AA153" i="95"/>
  <c r="BA134" i="95"/>
  <c r="BA117" i="95"/>
  <c r="AA150" i="95"/>
  <c r="BA131" i="95"/>
  <c r="AA151" i="95"/>
  <c r="BA132" i="95"/>
  <c r="AA152" i="95"/>
  <c r="BA133" i="95"/>
  <c r="AA168" i="95"/>
  <c r="BA168" i="95" s="1"/>
  <c r="BA149" i="95"/>
  <c r="AT136" i="95" l="1"/>
  <c r="N8" i="140"/>
  <c r="N9" i="140" s="1"/>
  <c r="AV136" i="95"/>
  <c r="AC27" i="81" s="1"/>
  <c r="AE27" i="81" s="1"/>
  <c r="AU136" i="95"/>
  <c r="W27" i="81" s="1"/>
  <c r="Y27" i="81" s="1"/>
  <c r="AS136" i="95"/>
  <c r="K27" i="81" s="1"/>
  <c r="M27" i="81" s="1"/>
  <c r="Q27" i="81"/>
  <c r="S27" i="81" s="1"/>
  <c r="BB136" i="95"/>
  <c r="AR136" i="95"/>
  <c r="AX136" i="95"/>
  <c r="T172" i="95"/>
  <c r="AT172" i="95" s="1"/>
  <c r="AT153" i="95"/>
  <c r="W172" i="95"/>
  <c r="AW172" i="95" s="1"/>
  <c r="AW153" i="95"/>
  <c r="BB153" i="95"/>
  <c r="AB172" i="95"/>
  <c r="BB172" i="95" s="1"/>
  <c r="T170" i="95"/>
  <c r="AT170" i="95" s="1"/>
  <c r="AT151" i="95"/>
  <c r="AU153" i="95"/>
  <c r="U172" i="95"/>
  <c r="AU172" i="95" s="1"/>
  <c r="R172" i="95"/>
  <c r="AR172" i="95" s="1"/>
  <c r="AR153" i="95"/>
  <c r="R169" i="95"/>
  <c r="AR169" i="95" s="1"/>
  <c r="AR150" i="95"/>
  <c r="AU152" i="95"/>
  <c r="U171" i="95"/>
  <c r="AU171" i="95" s="1"/>
  <c r="BB152" i="95"/>
  <c r="AB171" i="95"/>
  <c r="BB171" i="95" s="1"/>
  <c r="AV151" i="95"/>
  <c r="V170" i="95"/>
  <c r="AV170" i="95" s="1"/>
  <c r="V171" i="95"/>
  <c r="AV171" i="95" s="1"/>
  <c r="AV152" i="95"/>
  <c r="S172" i="95"/>
  <c r="AS172" i="95" s="1"/>
  <c r="AS153" i="95"/>
  <c r="V172" i="95"/>
  <c r="AV172" i="95" s="1"/>
  <c r="AV153" i="95"/>
  <c r="W169" i="95"/>
  <c r="AW169" i="95" s="1"/>
  <c r="AW150" i="95"/>
  <c r="AS152" i="95"/>
  <c r="S171" i="95"/>
  <c r="AS171" i="95" s="1"/>
  <c r="AB170" i="95"/>
  <c r="BB170" i="95" s="1"/>
  <c r="BB151" i="95"/>
  <c r="AB169" i="95"/>
  <c r="BB169" i="95" s="1"/>
  <c r="BB150" i="95"/>
  <c r="AX153" i="95"/>
  <c r="X172" i="95"/>
  <c r="AX172" i="95" s="1"/>
  <c r="U169" i="95"/>
  <c r="AU169" i="95" s="1"/>
  <c r="AU150" i="95"/>
  <c r="AS151" i="95"/>
  <c r="S170" i="95"/>
  <c r="AS170" i="95" s="1"/>
  <c r="AR152" i="95"/>
  <c r="R171" i="95"/>
  <c r="AR171" i="95" s="1"/>
  <c r="X170" i="95"/>
  <c r="AX170" i="95" s="1"/>
  <c r="AX151" i="95"/>
  <c r="AT152" i="95"/>
  <c r="T171" i="95"/>
  <c r="AT171" i="95" s="1"/>
  <c r="AW136" i="95"/>
  <c r="AI27" i="81" s="1"/>
  <c r="AK27" i="81" s="1"/>
  <c r="AU151" i="95"/>
  <c r="U170" i="95"/>
  <c r="AU170" i="95" s="1"/>
  <c r="AR151" i="95"/>
  <c r="R170" i="95"/>
  <c r="AR170" i="95" s="1"/>
  <c r="S169" i="95"/>
  <c r="AS169" i="95" s="1"/>
  <c r="AS150" i="95"/>
  <c r="W170" i="95"/>
  <c r="AW170" i="95" s="1"/>
  <c r="AW151" i="95"/>
  <c r="X171" i="95"/>
  <c r="AX171" i="95" s="1"/>
  <c r="AX152" i="95"/>
  <c r="T169" i="95"/>
  <c r="AT169" i="95" s="1"/>
  <c r="AT150" i="95"/>
  <c r="AW152" i="95"/>
  <c r="W171" i="95"/>
  <c r="AW171" i="95" s="1"/>
  <c r="X169" i="95"/>
  <c r="AX169" i="95" s="1"/>
  <c r="AX150" i="95"/>
  <c r="AV150" i="95"/>
  <c r="V169" i="95"/>
  <c r="AV169" i="95" s="1"/>
  <c r="AR8" i="140"/>
  <c r="AR9" i="140" s="1"/>
  <c r="AW8" i="140"/>
  <c r="AW9" i="140" s="1"/>
  <c r="BB8" i="140"/>
  <c r="BB9" i="140" s="1"/>
  <c r="BA136" i="95"/>
  <c r="AZ136" i="95"/>
  <c r="AA171" i="95"/>
  <c r="BA171" i="95" s="1"/>
  <c r="BA152" i="95"/>
  <c r="AA170" i="95"/>
  <c r="BA170" i="95" s="1"/>
  <c r="BA151" i="95"/>
  <c r="AA169" i="95"/>
  <c r="BA169" i="95" s="1"/>
  <c r="BA150" i="95"/>
  <c r="AA172" i="95"/>
  <c r="BA172" i="95" s="1"/>
  <c r="BA153" i="95"/>
  <c r="Z169" i="95"/>
  <c r="AZ169" i="95" s="1"/>
  <c r="AZ150" i="95"/>
  <c r="Z171" i="95"/>
  <c r="AZ171" i="95" s="1"/>
  <c r="AZ152" i="95"/>
  <c r="Z172" i="95"/>
  <c r="AZ172" i="95" s="1"/>
  <c r="AZ153" i="95"/>
  <c r="Z170" i="95"/>
  <c r="AZ170" i="95" s="1"/>
  <c r="AZ151" i="95"/>
  <c r="Y172" i="95"/>
  <c r="AY172" i="95" s="1"/>
  <c r="AY153" i="95"/>
  <c r="AY136" i="95"/>
  <c r="Y169" i="95"/>
  <c r="AY169" i="95" s="1"/>
  <c r="AY150" i="95"/>
  <c r="Y170" i="95"/>
  <c r="AY170" i="95" s="1"/>
  <c r="AY151" i="95"/>
  <c r="Y171" i="95"/>
  <c r="AY171" i="95" s="1"/>
  <c r="AY152" i="95"/>
  <c r="K28" i="95" l="1"/>
  <c r="AT174" i="95"/>
  <c r="G35" i="95" s="1"/>
  <c r="O28" i="95"/>
  <c r="F28" i="95"/>
  <c r="L28" i="95"/>
  <c r="M28" i="95"/>
  <c r="N28" i="95"/>
  <c r="I28" i="95"/>
  <c r="G28" i="95"/>
  <c r="AT155" i="95"/>
  <c r="G37" i="95" s="1"/>
  <c r="G38" i="95" s="1"/>
  <c r="H28" i="95"/>
  <c r="J28" i="95"/>
  <c r="E28" i="95"/>
  <c r="AV174" i="95"/>
  <c r="I35" i="95" s="1"/>
  <c r="AS155" i="95"/>
  <c r="K25" i="81" s="1"/>
  <c r="AV155" i="95"/>
  <c r="I37" i="95" s="1"/>
  <c r="AS174" i="95"/>
  <c r="F35" i="95" s="1"/>
  <c r="AR174" i="95"/>
  <c r="E35" i="95" s="1"/>
  <c r="AW155" i="95"/>
  <c r="J37" i="95" s="1"/>
  <c r="AU155" i="95"/>
  <c r="W25" i="81" s="1"/>
  <c r="Y25" i="81" s="1"/>
  <c r="AX155" i="95"/>
  <c r="K37" i="95" s="1"/>
  <c r="AU174" i="95"/>
  <c r="W29" i="81" s="1"/>
  <c r="Y29" i="81" s="1"/>
  <c r="AR155" i="95"/>
  <c r="E37" i="95" s="1"/>
  <c r="AW174" i="95"/>
  <c r="AI29" i="81" s="1"/>
  <c r="AK29" i="81" s="1"/>
  <c r="BB155" i="95"/>
  <c r="O37" i="95" s="1"/>
  <c r="BB174" i="95"/>
  <c r="O35" i="95" s="1"/>
  <c r="AX174" i="95"/>
  <c r="K35" i="95" s="1"/>
  <c r="AY155" i="95"/>
  <c r="L37" i="95" s="1"/>
  <c r="AY174" i="95"/>
  <c r="L35" i="95" s="1"/>
  <c r="AZ155" i="95"/>
  <c r="AZ174" i="95"/>
  <c r="M35" i="95" s="1"/>
  <c r="BA155" i="95"/>
  <c r="BA174" i="95"/>
  <c r="N35" i="95" s="1"/>
  <c r="Q29" i="81" l="1"/>
  <c r="S29" i="81" s="1"/>
  <c r="Q25" i="81"/>
  <c r="S25" i="81" s="1"/>
  <c r="G39" i="95"/>
  <c r="G40" i="95"/>
  <c r="AL8" i="140"/>
  <c r="AL9" i="140" s="1"/>
  <c r="AI8" i="140"/>
  <c r="AI9" i="140" s="1"/>
  <c r="F37" i="95"/>
  <c r="F38" i="95" s="1"/>
  <c r="BA8" i="140"/>
  <c r="BF8" i="140"/>
  <c r="BF9" i="140" s="1"/>
  <c r="H8" i="140"/>
  <c r="H9" i="140" s="1"/>
  <c r="BH8" i="140"/>
  <c r="BH9" i="140" s="1"/>
  <c r="J8" i="140"/>
  <c r="J9" i="140" s="1"/>
  <c r="AV8" i="140"/>
  <c r="AD8" i="140"/>
  <c r="AD9" i="140" s="1"/>
  <c r="AQ8" i="140"/>
  <c r="AS8" i="140"/>
  <c r="AS9" i="140" s="1"/>
  <c r="AN8" i="140"/>
  <c r="AN9" i="140" s="1"/>
  <c r="K29" i="81"/>
  <c r="M29" i="81" s="1"/>
  <c r="AI25" i="81"/>
  <c r="AK25" i="81" s="1"/>
  <c r="AK22" i="81" s="1"/>
  <c r="AK30" i="81" s="1"/>
  <c r="AC25" i="81"/>
  <c r="AE25" i="81" s="1"/>
  <c r="H37" i="95"/>
  <c r="S22" i="81"/>
  <c r="S30" i="81" s="1"/>
  <c r="H35" i="95"/>
  <c r="K38" i="95"/>
  <c r="K39" i="95" s="1"/>
  <c r="J35" i="95"/>
  <c r="AC29" i="81"/>
  <c r="AE29" i="81" s="1"/>
  <c r="O38" i="95"/>
  <c r="E38" i="95"/>
  <c r="E40" i="95" s="1"/>
  <c r="R8" i="140"/>
  <c r="M8" i="140"/>
  <c r="M25" i="81"/>
  <c r="W22" i="81"/>
  <c r="W30" i="81" s="1"/>
  <c r="Y22" i="81"/>
  <c r="Y30" i="81" s="1"/>
  <c r="AB8" i="140"/>
  <c r="I38" i="95"/>
  <c r="N37" i="95"/>
  <c r="M37" i="95"/>
  <c r="L38" i="95"/>
  <c r="Q22" i="81" l="1"/>
  <c r="Q30" i="81" s="1"/>
  <c r="K8" i="140"/>
  <c r="K9" i="140" s="1"/>
  <c r="K10" i="140" s="1"/>
  <c r="BI8" i="140"/>
  <c r="BI9" i="140" s="1"/>
  <c r="BI10" i="140" s="1"/>
  <c r="AO8" i="140"/>
  <c r="AO9" i="140" s="1"/>
  <c r="AO10" i="140" s="1"/>
  <c r="Y8" i="140"/>
  <c r="Y9" i="140" s="1"/>
  <c r="O8" i="140"/>
  <c r="O9" i="140" s="1"/>
  <c r="AG8" i="140"/>
  <c r="AG9" i="140" s="1"/>
  <c r="W8" i="140"/>
  <c r="W9" i="140" s="1"/>
  <c r="T8" i="140"/>
  <c r="T9" i="140" s="1"/>
  <c r="O39" i="95"/>
  <c r="O40" i="95"/>
  <c r="J38" i="95"/>
  <c r="J39" i="95" s="1"/>
  <c r="K22" i="81"/>
  <c r="K30" i="81" s="1"/>
  <c r="M22" i="81"/>
  <c r="M30" i="81" s="1"/>
  <c r="AI22" i="81"/>
  <c r="AI30" i="81" s="1"/>
  <c r="AC22" i="81"/>
  <c r="AC30" i="81" s="1"/>
  <c r="K40" i="95"/>
  <c r="H38" i="95"/>
  <c r="H40" i="95" s="1"/>
  <c r="E39" i="95"/>
  <c r="AE22" i="81"/>
  <c r="AE30" i="81" s="1"/>
  <c r="M9" i="140"/>
  <c r="I40" i="95"/>
  <c r="I39" i="95"/>
  <c r="R9" i="140"/>
  <c r="F39" i="95"/>
  <c r="F40" i="95"/>
  <c r="AB9" i="140"/>
  <c r="AE8" i="140"/>
  <c r="AE9" i="140" s="1"/>
  <c r="AE10" i="140" s="1"/>
  <c r="AX8" i="140"/>
  <c r="AY8" i="140" s="1"/>
  <c r="AY9" i="140" s="1"/>
  <c r="AY10" i="140" s="1"/>
  <c r="BC8" i="140"/>
  <c r="BC9" i="140" s="1"/>
  <c r="M38" i="95"/>
  <c r="M40" i="95" s="1"/>
  <c r="N38" i="95"/>
  <c r="N39" i="95" s="1"/>
  <c r="L40" i="95"/>
  <c r="L39" i="95"/>
  <c r="AQ9" i="140"/>
  <c r="AT8" i="140"/>
  <c r="AT9" i="140" s="1"/>
  <c r="AT10" i="140" s="1"/>
  <c r="AV9" i="140"/>
  <c r="BA9" i="140"/>
  <c r="AJ8" i="140" l="1"/>
  <c r="AJ9" i="140" s="1"/>
  <c r="AJ10" i="140" s="1"/>
  <c r="P8" i="140"/>
  <c r="P9" i="140" s="1"/>
  <c r="P10" i="140" s="1"/>
  <c r="Z8" i="140"/>
  <c r="Z9" i="140" s="1"/>
  <c r="Z10" i="140" s="1"/>
  <c r="U8" i="140"/>
  <c r="U9" i="140" s="1"/>
  <c r="U10" i="140" s="1"/>
  <c r="J40" i="95"/>
  <c r="H39" i="95"/>
  <c r="AX9" i="140"/>
  <c r="BD8" i="140"/>
  <c r="BD9" i="140" s="1"/>
  <c r="BD10" i="140" s="1"/>
  <c r="N40" i="95"/>
  <c r="M39" i="95"/>
</calcChain>
</file>

<file path=xl/comments1.xml><?xml version="1.0" encoding="utf-8"?>
<comments xmlns="http://schemas.openxmlformats.org/spreadsheetml/2006/main" xmlns:mc="http://schemas.openxmlformats.org/markup-compatibility/2006" xmlns:xr="http://schemas.microsoft.com/office/spreadsheetml/2014/revision" mc:Ignorable="xr">
  <authors>
    <author>Winicov, Meryl</author>
  </authors>
  <commentList>
    <comment ref="C23" authorId="0" shapeId="0" xr:uid="{AD600A59-5DBA-4F21-8936-44CE5CA3BE4D}">
      <text>
        <r>
          <rPr>
            <b/>
            <sz val="9"/>
            <color indexed="81"/>
            <rFont val="Tahoma"/>
            <family val="2"/>
          </rPr>
          <t>Winicov, Meryl:</t>
        </r>
        <r>
          <rPr>
            <sz val="9"/>
            <color indexed="81"/>
            <rFont val="Tahoma"/>
            <family val="2"/>
          </rPr>
          <t xml:space="preserve">
(Other Category includes HFC-152a, HFC-227ea, HFC-245fa, HFC-4310mee, HCFO-1233zd(E), HFO-1234yf, HFO-1234ze, HFO-1336mzz(Z), C4F10, and PFC/PFPEs)</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tc={6C55E966-5518-445B-AC92-6324E79467A8}</author>
    <author>tc={F4C62D57-C448-4682-9D5F-40E3A7765A4F}</author>
    <author>tc={A8ADC6E5-0E95-4266-AFDB-80CB5A678107}</author>
    <author>tc={0CD181C4-78FB-4FE9-A74C-69C75C433013}</author>
    <author>tc={938586E8-0DB4-43E6-B62F-AC196AD62BBC}</author>
    <author>tc={0EEC163C-E2D4-4941-AC46-08A18ABDEC5B}</author>
    <author>tc={58C7B352-E952-46C9-8A91-5A81F52341F6}</author>
    <author>tc={3C5EAA58-71EF-4D3F-935D-DCB015DB6DB7}</author>
    <author>tc={0C089447-D4B1-4C79-B9CA-7581DC581682}</author>
    <author>tc={0B358CDE-D8D1-49CD-8EB2-4E74CB0CA798}</author>
    <author>tc={4C21064E-A6CA-49DE-9A3F-90EE45737B30}</author>
    <author>tc={6C07F939-8B58-4FB8-9619-7D33AB9F8ACD}</author>
    <author>tc={1E515ED8-679C-4088-B9BA-676C8446573F}</author>
    <author>tc={3EF5B684-32AB-42C4-822D-2EECC8345484}</author>
    <author>tc={32B4D343-4731-49A3-B6B0-A8F60337A7C9}</author>
    <author>tc={DA663C9B-58C9-4D10-B7D9-5806F069141A}</author>
    <author>tc={34E432BE-F336-4C32-96C6-71906CBFDCD1}</author>
    <author>tc={CCA538A6-0444-464E-891F-B599CDBFFDCA}</author>
    <author>tc={B2DDE0C0-C672-477B-99BF-E662B25E525A}</author>
    <author>tc={067B0344-0B0E-45BB-8B7B-E3B634159BD3}</author>
    <author>tc={EFE06D19-15A9-4E03-9D5E-EDA91FBE62DF}</author>
  </authors>
  <commentList>
    <comment ref="E8" authorId="0" shapeId="0" xr:uid="{6C55E966-5518-445B-AC92-6324E79467A8}">
      <text>
        <t>[Threaded comment]
Your version of Excel allows you to read this threaded comment; however, any edits to it will get removed if the file is opened in a newer version of Excel. Learn more: https://go.microsoft.com/fwlink/?linkid=870924
Comment:
    Last year's inventory file had NO for CF4 emissions, but there were estimated emissions in this year's file</t>
      </text>
    </comment>
    <comment ref="F8" authorId="1" shapeId="0" xr:uid="{F4C62D57-C448-4682-9D5F-40E3A7765A4F}">
      <text>
        <t>[Threaded comment]
Your version of Excel allows you to read this threaded comment; however, any edits to it will get removed if the file is opened in a newer version of Excel. Learn more: https://go.microsoft.com/fwlink/?linkid=870924
Comment:
    SF6 emissions are the difference between total and CF4, so this is the negative of the CF4 discrepancy</t>
      </text>
    </comment>
    <comment ref="K8" authorId="2" shapeId="0" xr:uid="{A8ADC6E5-0E95-4266-AFDB-80CB5A678107}">
      <text>
        <t>[Threaded comment]
Your version of Excel allows you to read this threaded comment; however, any edits to it will get removed if the file is opened in a newer version of Excel. Learn more: https://go.microsoft.com/fwlink/?linkid=870924
Comment:
    CF4 and SF6 emissions estimates (kt) have more sig figs this year</t>
      </text>
    </comment>
    <comment ref="M8" authorId="3" shapeId="0" xr:uid="{0CD181C4-78FB-4FE9-A74C-69C75C433013}">
      <text>
        <t>[Threaded comment]
Your version of Excel allows you to read this threaded comment; however, any edits to it will get removed if the file is opened in a newer version of Excel. Learn more: https://go.microsoft.com/fwlink/?linkid=870924
Comment:
    Total emissions estimates changed from last year's national inventory</t>
      </text>
    </comment>
    <comment ref="Q8" authorId="4" shapeId="0" xr:uid="{938586E8-0DB4-43E6-B62F-AC196AD62BBC}">
      <text>
        <t>[Threaded comment]
Your version of Excel allows you to read this threaded comment; however, any edits to it will get removed if the file is opened in a newer version of Excel. Learn more: https://go.microsoft.com/fwlink/?linkid=870924
Comment:
    CF4 and SF6 emissions estimates (kt) have more sig figs this year</t>
      </text>
    </comment>
    <comment ref="W8" authorId="5" shapeId="0" xr:uid="{0EEC163C-E2D4-4941-AC46-08A18ABDEC5B}">
      <text>
        <t>[Threaded comment]
Your version of Excel allows you to read this threaded comment; however, any edits to it will get removed if the file is opened in a newer version of Excel. Learn more: https://go.microsoft.com/fwlink/?linkid=870924
Comment:
    CF4 and SF6 emissions estimates (kt) have more sig figs this year</t>
      </text>
    </comment>
    <comment ref="AI8" authorId="6" shapeId="0" xr:uid="{58C7B352-E952-46C9-8A91-5A81F52341F6}">
      <text>
        <t>[Threaded comment]
Your version of Excel allows you to read this threaded comment; however, any edits to it will get removed if the file is opened in a newer version of Excel. Learn more: https://go.microsoft.com/fwlink/?linkid=870924
Comment:
    CF4 and SF6 emissions estimates (kt) have more sig figs this year</t>
      </text>
    </comment>
    <comment ref="AK8" authorId="7" shapeId="0" xr:uid="{3C5EAA58-71EF-4D3F-935D-DCB015DB6DB7}">
      <text>
        <t>[Threaded comment]
Your version of Excel allows you to read this threaded comment; however, any edits to it will get removed if the file is opened in a newer version of Excel. Learn more: https://go.microsoft.com/fwlink/?linkid=870924
Comment:
    Total emissions estimates changed from last year's national inventory</t>
      </text>
    </comment>
    <comment ref="AO8" authorId="8" shapeId="0" xr:uid="{0C089447-D4B1-4C79-B9CA-7581DC581682}">
      <text>
        <t>[Threaded comment]
Your version of Excel allows you to read this threaded comment; however, any edits to it will get removed if the file is opened in a newer version of Excel. Learn more: https://go.microsoft.com/fwlink/?linkid=870924
Comment:
    CF4 and SF6 emissions estimates (kt) have more sig figs this year</t>
      </text>
    </comment>
    <comment ref="AQ8" authorId="9" shapeId="0" xr:uid="{0B358CDE-D8D1-49CD-8EB2-4E74CB0CA798}">
      <text>
        <t>[Threaded comment]
Your version of Excel allows you to read this threaded comment; however, any edits to it will get removed if the file is opened in a newer version of Excel. Learn more: https://go.microsoft.com/fwlink/?linkid=870924
Comment:
    Total emissions estimates changed from last year's national inventory</t>
      </text>
    </comment>
    <comment ref="AV8" authorId="10" shapeId="0" xr:uid="{4C21064E-A6CA-49DE-9A3F-90EE45737B30}">
      <text>
        <t>[Threaded comment]
Your version of Excel allows you to read this threaded comment; however, any edits to it will get removed if the file is opened in a newer version of Excel. Learn more: https://go.microsoft.com/fwlink/?linkid=870924
Comment:
    CF4 and SF6 emissions estimates (kt) have more sig figs this year</t>
      </text>
    </comment>
    <comment ref="AW8" authorId="11" shapeId="0" xr:uid="{6C07F939-8B58-4FB8-9619-7D33AB9F8ACD}">
      <text>
        <t>[Threaded comment]
Your version of Excel allows you to read this threaded comment; however, any edits to it will get removed if the file is opened in a newer version of Excel. Learn more: https://go.microsoft.com/fwlink/?linkid=870924
Comment:
    Total emissions estimates changed from last year's national inventory</t>
      </text>
    </comment>
    <comment ref="BA8" authorId="12" shapeId="0" xr:uid="{1E515ED8-679C-4088-B9BA-676C8446573F}">
      <text>
        <t>[Threaded comment]
Your version of Excel allows you to read this threaded comment; however, any edits to it will get removed if the file is opened in a newer version of Excel. Learn more: https://go.microsoft.com/fwlink/?linkid=870924
Comment:
    CF4 and SF6 emissions estimates (kt) have more sig figs this year</t>
      </text>
    </comment>
    <comment ref="BG8" authorId="13" shapeId="0" xr:uid="{3EF5B684-32AB-42C4-822D-2EECC8345484}">
      <text>
        <t>[Threaded comment]
Your version of Excel allows you to read this threaded comment; however, any edits to it will get removed if the file is opened in a newer version of Excel. Learn more: https://go.microsoft.com/fwlink/?linkid=870924
Comment:
    CF4 and SF6 emissions estimates (kt) have more sig figs this year</t>
      </text>
    </comment>
    <comment ref="BM8" authorId="14" shapeId="0" xr:uid="{32B4D343-4731-49A3-B6B0-A8F60337A7C9}">
      <text>
        <t>[Threaded comment]
Your version of Excel allows you to read this threaded comment; however, any edits to it will get removed if the file is opened in a newer version of Excel. Learn more: https://go.microsoft.com/fwlink/?linkid=870924
Comment:
    CF4 and SF6 emissions estimates (kt) have more sig figs this year</t>
      </text>
    </comment>
    <comment ref="A9" authorId="15" shapeId="0" xr:uid="{DA663C9B-58C9-4D10-B7D9-5806F069141A}">
      <text>
        <t>[Threaded comment]
Your version of Excel allows you to read this threaded comment; however, any edits to it will get removed if the file is opened in a newer version of Excel. Learn more: https://go.microsoft.com/fwlink/?linkid=870924
Comment:
    See below</t>
      </text>
    </comment>
    <comment ref="G9" authorId="16" shapeId="0" xr:uid="{34E432BE-F336-4C32-96C6-71906CBFDCD1}">
      <text>
        <t>[Threaded comment]
Your version of Excel allows you to read this threaded comment; however, any edits to it will get removed if the file is opened in a newer version of Excel. Learn more: https://go.microsoft.com/fwlink/?linkid=870924
Comment:
    See below</t>
      </text>
    </comment>
    <comment ref="B19" authorId="17" shapeId="0" xr:uid="{CCA538A6-0444-464E-891F-B599CDBFFDCA}">
      <text>
        <t>[Threaded comment]
Your version of Excel allows you to read this threaded comment; however, any edits to it will get removed if the file is opened in a newer version of Excel. Learn more: https://go.microsoft.com/fwlink/?linkid=870924
Comment:
    1990 hot+humid population is an estimate based on later years and changes with the addition of new years</t>
      </text>
    </comment>
    <comment ref="C19" authorId="18" shapeId="0" xr:uid="{B2DDE0C0-C672-477B-99BF-E662B25E525A}">
      <text>
        <t>[Threaded comment]
Your version of Excel allows you to read this threaded comment; however, any edits to it will get removed if the file is opened in a newer version of Excel. Learn more: https://go.microsoft.com/fwlink/?linkid=870924
Comment:
    Corrected 2000-2021 HI population</t>
      </text>
    </comment>
    <comment ref="E19" authorId="19" shapeId="0" xr:uid="{067B0344-0B0E-45BB-8B7B-E3B634159BD3}">
      <text>
        <t>[Threaded comment]
Your version of Excel allows you to read this threaded comment; however, any edits to it will get removed if the file is opened in a newer version of Excel. Learn more: https://go.microsoft.com/fwlink/?linkid=870924
Comment:
    Corrected 2000-2021 HI population and 2010-2019 hot+humid population</t>
      </text>
    </comment>
    <comment ref="C20" authorId="20" shapeId="0" xr:uid="{EFE06D19-15A9-4E03-9D5E-EDA91FBE62DF}">
      <text>
        <t>[Threaded comment]
Your version of Excel allows you to read this threaded comment; however, any edits to it will get removed if the file is opened in a newer version of Excel. Learn more: https://go.microsoft.com/fwlink/?linkid=870924
Comment:
    2005-2021 total US emissions were updated in this year's national inventory</t>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ICF</author>
  </authors>
  <commentList>
    <comment ref="A6" authorId="0" shapeId="0" xr:uid="{00000000-0006-0000-0800-000001000000}">
      <text>
        <r>
          <rPr>
            <b/>
            <sz val="8"/>
            <color indexed="81"/>
            <rFont val="Tahoma"/>
            <family val="2"/>
          </rPr>
          <t>ICF:</t>
        </r>
        <r>
          <rPr>
            <sz val="8"/>
            <color indexed="81"/>
            <rFont val="Tahoma"/>
            <family val="2"/>
          </rPr>
          <t xml:space="preserve">
For informational purposes; not used in emissions calcs</t>
        </r>
      </text>
    </comment>
    <comment ref="A7" authorId="0" shapeId="0" xr:uid="{00000000-0006-0000-0800-000002000000}">
      <text>
        <r>
          <rPr>
            <b/>
            <sz val="8"/>
            <color indexed="81"/>
            <rFont val="Tahoma"/>
            <family val="2"/>
          </rPr>
          <t>ICF:</t>
        </r>
        <r>
          <rPr>
            <sz val="8"/>
            <color indexed="81"/>
            <rFont val="Tahoma"/>
            <family val="2"/>
          </rPr>
          <t xml:space="preserve">
For informational purposes; not used in emissions calcs</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ICF</author>
    <author>Stilson, Drew</author>
    <author>tc={FE2FFA55-FDC7-43C5-8DED-07D05CA6F68D}</author>
  </authors>
  <commentList>
    <comment ref="B3" authorId="0" shapeId="0" xr:uid="{00000000-0006-0000-0A00-000001000000}">
      <text>
        <r>
          <rPr>
            <b/>
            <sz val="8"/>
            <color indexed="81"/>
            <rFont val="Tahoma"/>
            <family val="2"/>
          </rPr>
          <t>ICF:</t>
        </r>
        <r>
          <rPr>
            <sz val="8"/>
            <color indexed="81"/>
            <rFont val="Tahoma"/>
            <family val="2"/>
          </rPr>
          <t xml:space="preserve">
For sales by Island, used 1990 Databook, which states that 1989 numbers are used. 1989, 1990, and 1991 databooks all use 1989 numbers.</t>
        </r>
      </text>
    </comment>
    <comment ref="A4" authorId="1" shapeId="0" xr:uid="{00000000-0006-0000-0A00-000002000000}">
      <text>
        <r>
          <rPr>
            <b/>
            <sz val="9"/>
            <color indexed="81"/>
            <rFont val="Tahoma"/>
            <family val="2"/>
          </rPr>
          <t>ICF:</t>
        </r>
        <r>
          <rPr>
            <sz val="9"/>
            <color indexed="81"/>
            <rFont val="Tahoma"/>
            <family val="2"/>
          </rPr>
          <t xml:space="preserve">
Note that this data does not match totals in the island by island breakdown because it is taken from the most recent time series data while the totals of the island by island sales are taken from each individual year's data book and some values have been updated in the most recent time series.</t>
        </r>
      </text>
    </comment>
    <comment ref="A9" authorId="1" shapeId="0" xr:uid="{00000000-0006-0000-0A00-000003000000}">
      <text>
        <r>
          <rPr>
            <b/>
            <sz val="9"/>
            <color indexed="81"/>
            <rFont val="Tahoma"/>
            <family val="2"/>
          </rPr>
          <t>ICF:</t>
        </r>
        <r>
          <rPr>
            <sz val="9"/>
            <color indexed="81"/>
            <rFont val="Tahoma"/>
            <family val="2"/>
          </rPr>
          <t xml:space="preserve">
Note that these totals do not match the total data from Table 17.09 of the most recent data book time series because the island by island sales are taken from each individual year's data book and some values have been updated in the most recent time series.</t>
        </r>
      </text>
    </comment>
    <comment ref="E152" authorId="2" shapeId="0" xr:uid="{FE2FFA55-FDC7-43C5-8DED-07D05CA6F68D}">
      <text>
        <t>[Threaded comment]
Your version of Excel allows you to read this threaded comment; however, any edits to it will get removed if the file is opened in a newer version of Excel. Learn more: https://go.microsoft.com/fwlink/?linkid=870924
Comment:
    Note: SF6 emissions (MMTCO2e) are calculated by taking the difference of CF4 emissions (MMTCO2e) converted from CF4 emissions (kt) via GWP and total ETD emissions (MMTCO2e) due to differences in significant figures between the US combined total (MMTCO2e) and the emissions by gas (kt).</t>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ICF</author>
    <author>Winicov, Meryl</author>
    <author>tc={74783603-47C3-4161-B6C2-8DAA88B425F9}</author>
  </authors>
  <commentList>
    <comment ref="A44" authorId="0" shapeId="0" xr:uid="{00000000-0006-0000-0900-000001000000}">
      <text>
        <r>
          <rPr>
            <b/>
            <sz val="8"/>
            <color indexed="81"/>
            <rFont val="Tahoma"/>
            <family val="2"/>
          </rPr>
          <t>ICF:</t>
        </r>
        <r>
          <rPr>
            <sz val="8"/>
            <color indexed="81"/>
            <rFont val="Tahoma"/>
            <family val="2"/>
          </rPr>
          <t xml:space="preserve">
US GHG Inventory. Cars and LD Trucks from the 'Transport' tab. </t>
        </r>
      </text>
    </comment>
    <comment ref="A48" authorId="1" shapeId="0" xr:uid="{69C8F5B3-AE58-42D4-B9F6-E1EE8B65C278}">
      <text>
        <r>
          <rPr>
            <b/>
            <sz val="9"/>
            <color indexed="81"/>
            <rFont val="Tahoma"/>
            <family val="2"/>
          </rPr>
          <t>Winicov, Meryl:</t>
        </r>
        <r>
          <rPr>
            <sz val="9"/>
            <color indexed="81"/>
            <rFont val="Tahoma"/>
            <family val="2"/>
          </rPr>
          <t xml:space="preserve">
Updated July 2023 to reflect US emissions from AC sectors</t>
        </r>
      </text>
    </comment>
    <comment ref="A49" authorId="1" shapeId="0" xr:uid="{70ED8BB0-64B5-431B-AA2B-B659149BA399}">
      <text>
        <r>
          <rPr>
            <b/>
            <sz val="9"/>
            <color indexed="81"/>
            <rFont val="Tahoma"/>
            <family val="2"/>
          </rPr>
          <t>Winicov, Meryl:</t>
        </r>
        <r>
          <rPr>
            <sz val="9"/>
            <color indexed="81"/>
            <rFont val="Tahoma"/>
            <family val="2"/>
          </rPr>
          <t xml:space="preserve">
Updated July 2023 to reflect refrigeration percentage of US emissions</t>
        </r>
      </text>
    </comment>
    <comment ref="A59" authorId="2" shapeId="0" xr:uid="{74783603-47C3-4161-B6C2-8DAA88B425F9}">
      <text>
        <t>[Threaded comment]
Your version of Excel allows you to read this threaded comment; however, any edits to it will get removed if the file is opened in a newer version of Excel. Learn more: https://go.microsoft.com/fwlink/?linkid=870924
Comment:
    Added this table to derive ref % in row 48 above. New as of July 2023.</t>
      </text>
    </comment>
    <comment ref="F127" authorId="0" shapeId="0" xr:uid="{00000000-0006-0000-0900-000002000000}">
      <text>
        <r>
          <rPr>
            <b/>
            <sz val="8"/>
            <color indexed="81"/>
            <rFont val="Tahoma"/>
            <family val="2"/>
          </rPr>
          <t>ICF:</t>
        </r>
        <r>
          <rPr>
            <sz val="8"/>
            <color indexed="81"/>
            <rFont val="Tahoma"/>
            <family val="2"/>
          </rPr>
          <t xml:space="preserve">
calculated for breakout of registered vehicles by county.</t>
        </r>
      </text>
    </comment>
    <comment ref="G127" authorId="0" shapeId="0" xr:uid="{00000000-0006-0000-0900-000003000000}">
      <text>
        <r>
          <rPr>
            <b/>
            <sz val="8"/>
            <color indexed="81"/>
            <rFont val="Tahoma"/>
            <family val="2"/>
          </rPr>
          <t>ICF:</t>
        </r>
        <r>
          <rPr>
            <sz val="8"/>
            <color indexed="81"/>
            <rFont val="Tahoma"/>
            <family val="2"/>
          </rPr>
          <t xml:space="preserve">
calculated for breakout of registered vehicles by county.</t>
        </r>
      </text>
    </comment>
    <comment ref="A166" authorId="0" shapeId="0" xr:uid="{00000000-0006-0000-0900-000004000000}">
      <text>
        <r>
          <rPr>
            <b/>
            <sz val="8"/>
            <color indexed="81"/>
            <rFont val="Tahoma"/>
            <family val="2"/>
          </rPr>
          <t>ICF:</t>
        </r>
        <r>
          <rPr>
            <sz val="8"/>
            <color indexed="81"/>
            <rFont val="Tahoma"/>
            <family val="2"/>
          </rPr>
          <t xml:space="preserve">
Green-shaded cells were calculated in place of unavailable Data. 
Vehicle registrations of cars and light trucks are required to apportion national mobile a/c emissions from cars and trucks reported in the U.S. Inventory of GHG Emissions and Sinks (2008). </t>
        </r>
      </text>
    </comment>
    <comment ref="S166" authorId="0" shapeId="0" xr:uid="{00000000-0006-0000-0900-000005000000}">
      <text>
        <r>
          <rPr>
            <b/>
            <sz val="8"/>
            <color indexed="81"/>
            <rFont val="Tahoma"/>
            <family val="2"/>
          </rPr>
          <t>ICF:</t>
        </r>
        <r>
          <rPr>
            <sz val="8"/>
            <color indexed="81"/>
            <rFont val="Tahoma"/>
            <family val="2"/>
          </rPr>
          <t xml:space="preserve">
calculated by multiplying county car/truck total by ratio of island pop to county pop.</t>
        </r>
      </text>
    </comment>
    <comment ref="T166" authorId="0" shapeId="0" xr:uid="{00000000-0006-0000-0900-000006000000}">
      <text>
        <r>
          <rPr>
            <b/>
            <sz val="8"/>
            <color indexed="81"/>
            <rFont val="Tahoma"/>
            <family val="2"/>
          </rPr>
          <t>ICF:</t>
        </r>
        <r>
          <rPr>
            <sz val="8"/>
            <color indexed="81"/>
            <rFont val="Tahoma"/>
            <family val="2"/>
          </rPr>
          <t xml:space="preserve">
calculated by multiplying county car/truck total by ratio of island pop to county pop.</t>
        </r>
      </text>
    </comment>
    <comment ref="U166" authorId="0" shapeId="0" xr:uid="{00000000-0006-0000-0900-000007000000}">
      <text>
        <r>
          <rPr>
            <b/>
            <sz val="8"/>
            <color indexed="81"/>
            <rFont val="Tahoma"/>
            <family val="2"/>
          </rPr>
          <t>ICF:</t>
        </r>
        <r>
          <rPr>
            <sz val="8"/>
            <color indexed="81"/>
            <rFont val="Tahoma"/>
            <family val="2"/>
          </rPr>
          <t xml:space="preserve">
calculated by multiplying county car/truck total by ratio of island pop to county pop.</t>
        </r>
      </text>
    </comment>
    <comment ref="V166" authorId="0" shapeId="0" xr:uid="{00000000-0006-0000-0900-000008000000}">
      <text>
        <r>
          <rPr>
            <b/>
            <sz val="8"/>
            <color indexed="81"/>
            <rFont val="Tahoma"/>
            <family val="2"/>
          </rPr>
          <t>ICF:</t>
        </r>
        <r>
          <rPr>
            <sz val="8"/>
            <color indexed="81"/>
            <rFont val="Tahoma"/>
            <family val="2"/>
          </rPr>
          <t xml:space="preserve">
calculated by multiplying county car/truck total by ratio of island pop to county pop.</t>
        </r>
      </text>
    </comment>
    <comment ref="W166" authorId="0" shapeId="0" xr:uid="{00000000-0006-0000-0900-000009000000}">
      <text>
        <r>
          <rPr>
            <b/>
            <sz val="8"/>
            <color indexed="81"/>
            <rFont val="Tahoma"/>
            <family val="2"/>
          </rPr>
          <t>ICF:</t>
        </r>
        <r>
          <rPr>
            <sz val="8"/>
            <color indexed="81"/>
            <rFont val="Tahoma"/>
            <family val="2"/>
          </rPr>
          <t xml:space="preserve">
calculated by multiplying county car/truck total by ratio of island pop to county pop.</t>
        </r>
      </text>
    </comment>
    <comment ref="J205" authorId="0" shapeId="0" xr:uid="{38BE2816-5615-434A-97C0-0707FE798A41}">
      <text>
        <r>
          <rPr>
            <b/>
            <sz val="8"/>
            <color indexed="81"/>
            <rFont val="Tahoma"/>
            <family val="2"/>
          </rPr>
          <t>ICF:</t>
        </r>
        <r>
          <rPr>
            <sz val="8"/>
            <color indexed="81"/>
            <rFont val="Tahoma"/>
            <family val="2"/>
          </rPr>
          <t xml:space="preserve">
calculated by multiplying county population by island population % from DBEDT de facto population data</t>
        </r>
      </text>
    </comment>
    <comment ref="K205" authorId="0" shapeId="0" xr:uid="{FE1F81EE-0E90-4DD0-BB07-D5616792A4E7}">
      <text>
        <r>
          <rPr>
            <b/>
            <sz val="8"/>
            <color indexed="81"/>
            <rFont val="Tahoma"/>
            <family val="2"/>
          </rPr>
          <t>ICF:</t>
        </r>
        <r>
          <rPr>
            <sz val="8"/>
            <color indexed="81"/>
            <rFont val="Tahoma"/>
            <family val="2"/>
          </rPr>
          <t xml:space="preserve">
calculated by multiplying county population by island population % from DBEDT de facto population data</t>
        </r>
      </text>
    </comment>
    <comment ref="L205" authorId="0" shapeId="0" xr:uid="{53B25FDA-9D58-439B-8F86-8AD13239A678}">
      <text>
        <r>
          <rPr>
            <b/>
            <sz val="8"/>
            <color indexed="81"/>
            <rFont val="Tahoma"/>
            <family val="2"/>
          </rPr>
          <t>ICF:</t>
        </r>
        <r>
          <rPr>
            <sz val="8"/>
            <color indexed="81"/>
            <rFont val="Tahoma"/>
            <family val="2"/>
          </rPr>
          <t xml:space="preserve">
calculated by multiplying county population by island population % from DBEDT de facto population data</t>
        </r>
      </text>
    </comment>
    <comment ref="M205" authorId="0" shapeId="0" xr:uid="{751DD700-AE63-40DD-A564-634F88BCE69D}">
      <text>
        <r>
          <rPr>
            <b/>
            <sz val="8"/>
            <color indexed="81"/>
            <rFont val="Tahoma"/>
            <family val="2"/>
          </rPr>
          <t>ICF:</t>
        </r>
        <r>
          <rPr>
            <sz val="8"/>
            <color indexed="81"/>
            <rFont val="Tahoma"/>
            <family val="2"/>
          </rPr>
          <t xml:space="preserve">
calculated by multiplying county population by island population % from DBEDT de facto population data</t>
        </r>
      </text>
    </comment>
    <comment ref="N205" authorId="0" shapeId="0" xr:uid="{E4F0DD4E-61C2-42B7-AD3A-732DDBCB9F23}">
      <text>
        <r>
          <rPr>
            <b/>
            <sz val="8"/>
            <color indexed="81"/>
            <rFont val="Tahoma"/>
            <family val="2"/>
          </rPr>
          <t>ICF:</t>
        </r>
        <r>
          <rPr>
            <sz val="8"/>
            <color indexed="81"/>
            <rFont val="Tahoma"/>
            <family val="2"/>
          </rPr>
          <t xml:space="preserve">
calculated by multiplying county population by island population % from DBEDT de facto population data</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Kasey Knoell</author>
  </authors>
  <commentList>
    <comment ref="P82" authorId="0" shapeId="0" xr:uid="{00000000-0006-0000-0B00-000001000000}">
      <text>
        <r>
          <rPr>
            <b/>
            <sz val="9"/>
            <color indexed="81"/>
            <rFont val="Tahoma"/>
            <family val="2"/>
          </rPr>
          <t>Kasey Knoell:</t>
        </r>
        <r>
          <rPr>
            <sz val="9"/>
            <color indexed="81"/>
            <rFont val="Tahoma"/>
            <family val="2"/>
          </rPr>
          <t xml:space="preserve">
HFC-225ca/HFC-225cb in 45/55 ratio</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Jongebloed, Ursula</author>
  </authors>
  <commentList>
    <comment ref="O55" authorId="0" shapeId="0" xr:uid="{00000000-0006-0000-0000-000001000000}">
      <text>
        <r>
          <rPr>
            <b/>
            <sz val="9"/>
            <color indexed="81"/>
            <rFont val="Tahoma"/>
            <family val="2"/>
          </rPr>
          <t>Jongebloed, Ursula:</t>
        </r>
        <r>
          <rPr>
            <sz val="9"/>
            <color indexed="81"/>
            <rFont val="Tahoma"/>
            <family val="2"/>
          </rPr>
          <t xml:space="preserve">
Paste value back into table to calculate upper and lower bounds</t>
        </r>
      </text>
    </comment>
  </commentList>
</comments>
</file>

<file path=xl/metadata.xml><?xml version="1.0" encoding="utf-8"?>
<metadata xmlns="http://schemas.openxmlformats.org/spreadsheetml/2006/main" xmlns:xda="http://schemas.microsoft.com/office/spreadsheetml/2017/dynamicarray">
  <metadataTypes count="1">
    <metadataType name="XLDAPR" minSupportedVersion="120000" copy="1" pasteAll="1" pasteValues="1" merge="1" splitFirst="1" rowColShift="1" clearFormats="1" clearComments="1" assign="1" coerce="1" cellMeta="1"/>
  </metadataTypes>
  <futureMetadata name="XLDAPR" count="1">
    <bk>
      <extLst>
        <ext uri="{bdbb8cdc-fa1e-496e-a857-3c3f30c029c3}">
          <xda:dynamicArrayProperties fDynamic="1" fCollapsed="0"/>
        </ext>
      </extLst>
    </bk>
  </futureMetadata>
  <cellMetadata count="1">
    <bk>
      <rc t="1" v="0"/>
    </bk>
  </cellMetadata>
</metadata>
</file>

<file path=xl/sharedStrings.xml><?xml version="1.0" encoding="utf-8"?>
<sst xmlns="http://schemas.openxmlformats.org/spreadsheetml/2006/main" count="1778" uniqueCount="547">
  <si>
    <t>Overview</t>
  </si>
  <si>
    <t xml:space="preserve">Prepared for: </t>
  </si>
  <si>
    <t xml:space="preserve">Prepared by: </t>
  </si>
  <si>
    <t>Purpose:</t>
  </si>
  <si>
    <t>Summarizes 1990, 2005, 2007, 2010, 2015-2022 emissions and sinks from the IPPU sector for the State of Hawaii</t>
  </si>
  <si>
    <t>Developed by:</t>
  </si>
  <si>
    <t>Becky Petrou O'Rourke and Johanna Garfinkel</t>
  </si>
  <si>
    <t>Date:</t>
  </si>
  <si>
    <t>July 2024</t>
  </si>
  <si>
    <t>Notes:</t>
  </si>
  <si>
    <t>This file links to population data in DBEDT De Facto Population Data.xlsx and Climate Zone Populations.xlsx</t>
  </si>
  <si>
    <t>Table Of Contents</t>
  </si>
  <si>
    <t>Worksheet Name</t>
  </si>
  <si>
    <t>Contents</t>
  </si>
  <si>
    <t>IPPU Summary</t>
  </si>
  <si>
    <t>Summary of emissions and sinks from the IPPU sector.</t>
  </si>
  <si>
    <t>IPPU Summary by County</t>
  </si>
  <si>
    <t>Summary of emissions and sinks from the IPPU sector by county.</t>
  </si>
  <si>
    <t>Cement</t>
  </si>
  <si>
    <t>Contains calculations for emissions from Cement Production.</t>
  </si>
  <si>
    <t>ODS Subs</t>
  </si>
  <si>
    <t>Contains calculations for emissions from Substitutes for Ozone Depleting Substances.</t>
  </si>
  <si>
    <t>Electrical T&amp;D</t>
  </si>
  <si>
    <t>Contains calculations for emissions from Electrical Transmission &amp; Distribution.</t>
  </si>
  <si>
    <t>Cement Data</t>
  </si>
  <si>
    <t>Contains data used in calculations of emissions from Cement Production.</t>
  </si>
  <si>
    <t>ODS Subs Data</t>
  </si>
  <si>
    <t>Contains data used in calculations of emissions from Substitutes for Ozone Depleting Substances.</t>
  </si>
  <si>
    <t>Electrical T&amp;D Data</t>
  </si>
  <si>
    <t>Contains data used in calculations of emissions from Electrical Transmission &amp; Distribution.</t>
  </si>
  <si>
    <t>ODS Emissions</t>
  </si>
  <si>
    <t>Contains data and calculations for emissions from ODS. [NOT INCLUDED PER IPCC]</t>
  </si>
  <si>
    <t>ODS and Subs</t>
  </si>
  <si>
    <t>Contains a summary of emissions from ODS and ODS substitues.</t>
  </si>
  <si>
    <t>Conversions_Constants</t>
  </si>
  <si>
    <t>Contains conversion factors and constants used in calculations throughout this workbook.</t>
  </si>
  <si>
    <t>Unc_Inputs</t>
  </si>
  <si>
    <t>Contains inputs used in uncertainty analysis.</t>
  </si>
  <si>
    <t>Uncertainty Results</t>
  </si>
  <si>
    <t>Summary of uncertainty results by source category.</t>
  </si>
  <si>
    <t>Key</t>
  </si>
  <si>
    <t>Input cell</t>
  </si>
  <si>
    <t xml:space="preserve"> </t>
  </si>
  <si>
    <t>Data is calculated</t>
  </si>
  <si>
    <r>
      <t>Industrial Processes and Product Use Emissions (MMT CO</t>
    </r>
    <r>
      <rPr>
        <b/>
        <vertAlign val="subscript"/>
        <sz val="12"/>
        <rFont val="Arial"/>
        <family val="2"/>
        <scheme val="major"/>
      </rPr>
      <t>2</t>
    </r>
    <r>
      <rPr>
        <b/>
        <sz val="12"/>
        <rFont val="Arial"/>
        <family val="2"/>
        <scheme val="major"/>
      </rPr>
      <t xml:space="preserve"> Eq.)</t>
    </r>
  </si>
  <si>
    <t>Cement Production</t>
  </si>
  <si>
    <r>
      <t>CO</t>
    </r>
    <r>
      <rPr>
        <vertAlign val="subscript"/>
        <sz val="10"/>
        <color theme="1"/>
        <rFont val="Arial"/>
        <family val="2"/>
        <scheme val="minor"/>
      </rPr>
      <t>2</t>
    </r>
  </si>
  <si>
    <r>
      <t>CH</t>
    </r>
    <r>
      <rPr>
        <vertAlign val="subscript"/>
        <sz val="10"/>
        <color theme="1"/>
        <rFont val="Arial"/>
        <family val="2"/>
        <scheme val="minor"/>
      </rPr>
      <t>4</t>
    </r>
  </si>
  <si>
    <r>
      <t>N</t>
    </r>
    <r>
      <rPr>
        <vertAlign val="subscript"/>
        <sz val="10"/>
        <color theme="1"/>
        <rFont val="Arial"/>
        <family val="2"/>
        <scheme val="minor"/>
      </rPr>
      <t>2</t>
    </r>
    <r>
      <rPr>
        <sz val="10"/>
        <color theme="1"/>
        <rFont val="Arial"/>
        <family val="2"/>
        <scheme val="minor"/>
      </rPr>
      <t>O</t>
    </r>
  </si>
  <si>
    <t>Total</t>
  </si>
  <si>
    <t>Substitution of Ozone Depleting Substances</t>
  </si>
  <si>
    <t>HFC-23</t>
  </si>
  <si>
    <t>HFC-32</t>
  </si>
  <si>
    <t>HFC-125</t>
  </si>
  <si>
    <t>HFC-134a</t>
  </si>
  <si>
    <t>HFC-143a</t>
  </si>
  <si>
    <t>HFC-236fa</t>
  </si>
  <si>
    <r>
      <t>CF</t>
    </r>
    <r>
      <rPr>
        <vertAlign val="subscript"/>
        <sz val="10"/>
        <color theme="1"/>
        <rFont val="Arial"/>
        <family val="2"/>
        <scheme val="minor"/>
      </rPr>
      <t>4</t>
    </r>
  </si>
  <si>
    <t>Others</t>
  </si>
  <si>
    <t>Subtotal</t>
  </si>
  <si>
    <t>HFCs</t>
  </si>
  <si>
    <t>PFCs</t>
  </si>
  <si>
    <t>Electrical Transmission and Distribution</t>
  </si>
  <si>
    <r>
      <t>SF</t>
    </r>
    <r>
      <rPr>
        <vertAlign val="subscript"/>
        <sz val="10"/>
        <color theme="1"/>
        <rFont val="Arial"/>
        <family val="2"/>
        <scheme val="minor"/>
      </rPr>
      <t>6</t>
    </r>
  </si>
  <si>
    <t>Difference between IY2021 and IY2022 results</t>
  </si>
  <si>
    <t>Sector Summary</t>
  </si>
  <si>
    <t>Emissions (MMTCO2Eq)</t>
  </si>
  <si>
    <t>Source</t>
  </si>
  <si>
    <r>
      <t>CO</t>
    </r>
    <r>
      <rPr>
        <vertAlign val="subscript"/>
        <sz val="10"/>
        <rFont val="Arial"/>
        <family val="2"/>
      </rPr>
      <t>2</t>
    </r>
  </si>
  <si>
    <r>
      <t>CH</t>
    </r>
    <r>
      <rPr>
        <vertAlign val="subscript"/>
        <sz val="10"/>
        <rFont val="Arial"/>
        <family val="2"/>
      </rPr>
      <t>4</t>
    </r>
  </si>
  <si>
    <r>
      <t>N</t>
    </r>
    <r>
      <rPr>
        <vertAlign val="subscript"/>
        <sz val="10"/>
        <rFont val="Arial"/>
        <family val="2"/>
      </rPr>
      <t>2</t>
    </r>
    <r>
      <rPr>
        <sz val="10"/>
        <rFont val="Arial"/>
        <family val="2"/>
      </rPr>
      <t>O</t>
    </r>
  </si>
  <si>
    <t>HFCs/ PFCs</t>
  </si>
  <si>
    <r>
      <t>SF</t>
    </r>
    <r>
      <rPr>
        <vertAlign val="subscript"/>
        <sz val="10"/>
        <rFont val="Arial"/>
        <family val="2"/>
      </rPr>
      <t>6</t>
    </r>
  </si>
  <si>
    <t xml:space="preserve">Electrical Transmission and Distribution </t>
  </si>
  <si>
    <t xml:space="preserve">Substitution of Ozone Depleting Substances </t>
  </si>
  <si>
    <t>Comparison of State ODS Sub Emissions</t>
  </si>
  <si>
    <t>Cars and Trucks A/C Emissions</t>
  </si>
  <si>
    <t xml:space="preserve"> A/C Emissions</t>
  </si>
  <si>
    <t>Other ODS Sub Emissions</t>
  </si>
  <si>
    <t>Difference between IY2019 and IY2022 results</t>
  </si>
  <si>
    <t>NA</t>
  </si>
  <si>
    <t>Sector Summary by Island</t>
  </si>
  <si>
    <t>Source/Island</t>
  </si>
  <si>
    <r>
      <t>CO</t>
    </r>
    <r>
      <rPr>
        <b/>
        <vertAlign val="subscript"/>
        <sz val="10"/>
        <rFont val="Calibri"/>
        <family val="2"/>
      </rPr>
      <t>2</t>
    </r>
  </si>
  <si>
    <r>
      <t>CH</t>
    </r>
    <r>
      <rPr>
        <b/>
        <vertAlign val="subscript"/>
        <sz val="10"/>
        <rFont val="Calibri"/>
        <family val="2"/>
      </rPr>
      <t>4</t>
    </r>
  </si>
  <si>
    <r>
      <t>N</t>
    </r>
    <r>
      <rPr>
        <b/>
        <vertAlign val="subscript"/>
        <sz val="10"/>
        <rFont val="Calibri"/>
        <family val="2"/>
      </rPr>
      <t>2</t>
    </r>
    <r>
      <rPr>
        <b/>
        <sz val="10"/>
        <rFont val="Calibri"/>
        <family val="2"/>
      </rPr>
      <t>O</t>
    </r>
  </si>
  <si>
    <r>
      <t>SF</t>
    </r>
    <r>
      <rPr>
        <b/>
        <vertAlign val="subscript"/>
        <sz val="10"/>
        <rFont val="Calibri"/>
        <family val="2"/>
      </rPr>
      <t>6</t>
    </r>
  </si>
  <si>
    <t>Hawaii</t>
  </si>
  <si>
    <t>Kauai</t>
  </si>
  <si>
    <t>Lanai</t>
  </si>
  <si>
    <t>Maui</t>
  </si>
  <si>
    <t>Molokai</t>
  </si>
  <si>
    <t>Niihau</t>
  </si>
  <si>
    <t>Oahu</t>
  </si>
  <si>
    <t>Sector Summary by County</t>
  </si>
  <si>
    <t>Honolulu</t>
  </si>
  <si>
    <t>Cement Production - CO2</t>
  </si>
  <si>
    <t xml:space="preserve">Process-related CO2 emissions from cement production were estimated using IPCC Tier 2 methodology, plant-specific clinker production provided by Hawaiian Cement, and default factors for calcium oxide content and cement kiln dust (CKD) from the 2006 IPCC Guidelines. </t>
  </si>
  <si>
    <t>See text box on 'Cement Data' tab for more detail.</t>
  </si>
  <si>
    <t>Clinker production (Metric Tons)</t>
  </si>
  <si>
    <t>Emission Factor (Ton CO2/Ton clinker produced)</t>
  </si>
  <si>
    <t>CKD Correction Factor</t>
  </si>
  <si>
    <t>Emissions (Metric Tons CO2)</t>
  </si>
  <si>
    <t>Emissions (Thousand Metric Tons CO2)</t>
  </si>
  <si>
    <t>Emissions (MMTCO2)</t>
  </si>
  <si>
    <t>Check with Summary</t>
  </si>
  <si>
    <t>Electrical Transmission and Distribution - SF6 and CF4</t>
  </si>
  <si>
    <t>Emissions were calculated by apportioning U.S. emissions from this source to Hawaiʻi based on the ratio of Hawaiʻi electricity sales to U.S. electricity sales</t>
  </si>
  <si>
    <t>State Total</t>
  </si>
  <si>
    <t>Hawaii Electricity Sales (1,000 kWh)</t>
  </si>
  <si>
    <t>US Electricity Sales (1,000 kWh)</t>
  </si>
  <si>
    <t>US Emissions (MMT CO2 Eq)</t>
  </si>
  <si>
    <t>Hawaii Emissions (MMT CO2 Eq)</t>
  </si>
  <si>
    <t>Emissions by County</t>
  </si>
  <si>
    <t>County Emissions (MMTCO2Eq)</t>
  </si>
  <si>
    <t>Checker</t>
  </si>
  <si>
    <t>Emissions by Island</t>
  </si>
  <si>
    <t>Kauai Electricity Sales (1,000 kWh)</t>
  </si>
  <si>
    <t>Kauai Emissions (MMT CO2 Eq)</t>
  </si>
  <si>
    <t>Lanai Electricity Sales (1,000 kWh)</t>
  </si>
  <si>
    <t>Lanai Emissions (MMT CO2 Eq)</t>
  </si>
  <si>
    <t>Maui Electricity Sales (1,000 kWh)</t>
  </si>
  <si>
    <t>Maui Emissions (MMT CO2 Eq)</t>
  </si>
  <si>
    <t>Molokai Electricity Sales (1,000 kWh)</t>
  </si>
  <si>
    <t>Molokai Emissions (MMT CO2 Eq)</t>
  </si>
  <si>
    <t>Niihau Electricity Sales (1,000 kWh)</t>
  </si>
  <si>
    <t>Niihau Emissions (MMT CO2 Eq)</t>
  </si>
  <si>
    <t>Oahu Electricity Sales (1,000 kWh)</t>
  </si>
  <si>
    <t>Oahu Emissions (MMT CO2 Eq)</t>
  </si>
  <si>
    <t>Emissions by Gas</t>
  </si>
  <si>
    <t>SF6 and CF4 Emissions (MMT CO2 Eq)</t>
  </si>
  <si>
    <r>
      <t>SF</t>
    </r>
    <r>
      <rPr>
        <vertAlign val="subscript"/>
        <sz val="10"/>
        <rFont val="Calibri"/>
        <family val="2"/>
      </rPr>
      <t>6</t>
    </r>
  </si>
  <si>
    <r>
      <t>CF</t>
    </r>
    <r>
      <rPr>
        <vertAlign val="subscript"/>
        <sz val="9"/>
        <rFont val="Calibri"/>
        <family val="2"/>
      </rPr>
      <t>4</t>
    </r>
  </si>
  <si>
    <t>Total State Electrical T&amp;D Emissions</t>
  </si>
  <si>
    <r>
      <t>SF</t>
    </r>
    <r>
      <rPr>
        <i/>
        <vertAlign val="subscript"/>
        <sz val="9"/>
        <rFont val="Calibri"/>
        <family val="2"/>
      </rPr>
      <t>6</t>
    </r>
    <r>
      <rPr>
        <i/>
        <sz val="9"/>
        <rFont val="Calibri"/>
        <family val="2"/>
      </rPr>
      <t xml:space="preserve"> Check with Summary</t>
    </r>
  </si>
  <si>
    <r>
      <t>CF</t>
    </r>
    <r>
      <rPr>
        <i/>
        <vertAlign val="subscript"/>
        <sz val="9"/>
        <rFont val="Calibri"/>
        <family val="2"/>
      </rPr>
      <t>4</t>
    </r>
    <r>
      <rPr>
        <i/>
        <sz val="9"/>
        <rFont val="Calibri"/>
        <family val="2"/>
      </rPr>
      <t xml:space="preserve"> Check with Summary</t>
    </r>
  </si>
  <si>
    <t>Substitution of Ozone Depleting Substances (ODS) - HFCs, PFCs</t>
  </si>
  <si>
    <t>Emissions from mobile air-conditioning (AC) systems were estimated by apportioning national emissions from the U.S. Inventory to Hawaiʻi based on the ratio of Hawaiʻi vehicle (passenger vehicle and truck) registrations to U.S. vehicle (automobile and truck) registrations.</t>
  </si>
  <si>
    <t>Emissions from other AC systems (i.e., AC systems excluding mobile ACs) were estimated by apportioning national emissions from the U.S. Inventory to Hawaiʻi based on the ratio of the number of houses with ACs in Hawaiʻi to the number of houses with ACs in the United States.</t>
  </si>
  <si>
    <t>For the remaining sub-categories, national emissions from the U.S. Inventory were apportioned to Hawaiʻi based on the ratio of Hawaiʻi population to U.S. population.</t>
  </si>
  <si>
    <t>Hawaii State Total</t>
  </si>
  <si>
    <t>Mobile A/C Emissions</t>
  </si>
  <si>
    <t>Hawaii Vehicles Registered</t>
  </si>
  <si>
    <t>US Vehicles Registered</t>
  </si>
  <si>
    <t>US Emissions (MMTCO2Eq)</t>
  </si>
  <si>
    <t>Hawaii Emissions (MMTCO2Eq)</t>
  </si>
  <si>
    <t>Houses with AC in Hot and Humid Climate</t>
  </si>
  <si>
    <t>US Houses with AC</t>
  </si>
  <si>
    <t>HI State Population Census</t>
  </si>
  <si>
    <t>Hot and Humid Population Census</t>
  </si>
  <si>
    <t>Houses in Hawaii with AC</t>
  </si>
  <si>
    <t>Hawaii Population</t>
  </si>
  <si>
    <t>US Population</t>
  </si>
  <si>
    <t>Total State ODS Sub Emissions</t>
  </si>
  <si>
    <t>Island Vehicles Registered</t>
  </si>
  <si>
    <t>/</t>
  </si>
  <si>
    <t>x</t>
  </si>
  <si>
    <t>US Emissions</t>
  </si>
  <si>
    <t>=</t>
  </si>
  <si>
    <t>Island Emissions</t>
  </si>
  <si>
    <t>(MMTCO2Eq)</t>
  </si>
  <si>
    <t>(MT CO2 Eq.)</t>
  </si>
  <si>
    <t>Mobile A/C</t>
  </si>
  <si>
    <t>Island Houses with AC</t>
  </si>
  <si>
    <t>Air Conditioning</t>
  </si>
  <si>
    <t>Island Population</t>
  </si>
  <si>
    <t>Refrigeration</t>
  </si>
  <si>
    <t>Aerosols</t>
  </si>
  <si>
    <t>Foams</t>
  </si>
  <si>
    <t>Solvents</t>
  </si>
  <si>
    <t>Fire Extinguishing</t>
  </si>
  <si>
    <t>Hawaii Total</t>
  </si>
  <si>
    <t>Kauai Total</t>
  </si>
  <si>
    <t>Niihau Total</t>
  </si>
  <si>
    <t>Maui Total</t>
  </si>
  <si>
    <t>Molokai Total</t>
  </si>
  <si>
    <t xml:space="preserve">Lanai Total </t>
  </si>
  <si>
    <t>Oahu Total</t>
  </si>
  <si>
    <t>Emissions by Sub-Category</t>
  </si>
  <si>
    <t>Mobile air-conditioning</t>
  </si>
  <si>
    <t>Other Air-Conditioning</t>
  </si>
  <si>
    <t>Other Air-conditioning</t>
  </si>
  <si>
    <t>Mobile Air-Conditioning</t>
  </si>
  <si>
    <r>
      <t>CO</t>
    </r>
    <r>
      <rPr>
        <vertAlign val="subscript"/>
        <sz val="10"/>
        <rFont val="Calibri"/>
        <family val="2"/>
      </rPr>
      <t>2</t>
    </r>
  </si>
  <si>
    <r>
      <t>CF</t>
    </r>
    <r>
      <rPr>
        <vertAlign val="subscript"/>
        <sz val="10"/>
        <rFont val="Calibri"/>
        <family val="2"/>
      </rPr>
      <t>4</t>
    </r>
  </si>
  <si>
    <t>Checks with Summary</t>
  </si>
  <si>
    <r>
      <t>CF</t>
    </r>
    <r>
      <rPr>
        <i/>
        <vertAlign val="subscript"/>
        <sz val="9"/>
        <rFont val="Calibri"/>
        <family val="2"/>
      </rPr>
      <t>4</t>
    </r>
  </si>
  <si>
    <r>
      <t>CO</t>
    </r>
    <r>
      <rPr>
        <i/>
        <vertAlign val="subscript"/>
        <sz val="9"/>
        <rFont val="Calibri"/>
        <family val="2"/>
      </rPr>
      <t>2</t>
    </r>
  </si>
  <si>
    <t>Activity Data</t>
  </si>
  <si>
    <t>Units</t>
  </si>
  <si>
    <t xml:space="preserve">Clinker </t>
  </si>
  <si>
    <t>1000 short tons</t>
  </si>
  <si>
    <t>1000 metric tons</t>
  </si>
  <si>
    <t>Portland Cement</t>
  </si>
  <si>
    <r>
      <t xml:space="preserve">Source: </t>
    </r>
    <r>
      <rPr>
        <sz val="8"/>
        <rFont val="Calibri"/>
        <family val="2"/>
      </rPr>
      <t>Personal commnucation between Dane Wurlitzer of Hawaiian Cement and Joe Herr of ICF International. September 19, 2008.</t>
    </r>
  </si>
  <si>
    <t>Cement Factors</t>
  </si>
  <si>
    <t>Data</t>
  </si>
  <si>
    <t>Default CaO content for clinker</t>
  </si>
  <si>
    <t>metric ton CO2 / metric tonne clinker</t>
  </si>
  <si>
    <t>Cement kiln dust (CKD) correction factor</t>
  </si>
  <si>
    <t>Source: IPCC (2006)</t>
  </si>
  <si>
    <t>Color Key</t>
  </si>
  <si>
    <t>Calculated cell</t>
  </si>
  <si>
    <t>Hawaii Electricity Sales (1000 kWh)</t>
  </si>
  <si>
    <t>US Electricity Sales (1000 kWh)</t>
  </si>
  <si>
    <t>Electricity Sales by Island (1,000 kWh)</t>
  </si>
  <si>
    <t xml:space="preserve">Lanai </t>
  </si>
  <si>
    <t xml:space="preserve">Maui </t>
  </si>
  <si>
    <t xml:space="preserve">Molokai </t>
  </si>
  <si>
    <t>no data</t>
  </si>
  <si>
    <t xml:space="preserve">Oahu </t>
  </si>
  <si>
    <t>Adjusted Electricity Sales by Island</t>
  </si>
  <si>
    <t>Sales in this table allocate total state-wide sales from the most recent Data Book time series based on the percent of total sales for each island from each year's data book (see table above)</t>
  </si>
  <si>
    <t>Table 17.09 - ELECTRIC UTILITIES</t>
  </si>
  <si>
    <t>Year</t>
  </si>
  <si>
    <t>Total Power sold 
(1,000 kWh)</t>
  </si>
  <si>
    <t>Sources:</t>
  </si>
  <si>
    <t>1990-1991: 2000 State of Hawaii Data Book, Table 17.09</t>
  </si>
  <si>
    <t>1992-2001: 2002 State of Hawaii Data Book, Table 17.09</t>
  </si>
  <si>
    <t>2002: 2017 State of Hawaii Data Book, Table 17.09</t>
  </si>
  <si>
    <t>2003-2004: 2018 State of Hawaii Data Book, Table 17.09</t>
  </si>
  <si>
    <t>2005: 2020 State of Hawaii Data Book, Table 17.09</t>
  </si>
  <si>
    <t>2006-2021: 2021 State of Hawaii Data Book, Table 17.09</t>
  </si>
  <si>
    <t>2022: 2022 State of Hawaii Data Book, Table 17.09</t>
  </si>
  <si>
    <t>http://dbedt.hawaii.gov/economic/databook/</t>
  </si>
  <si>
    <t>Sales to Ultimate Customers (Megawatthours), 1990-2022</t>
  </si>
  <si>
    <t>YEAR</t>
  </si>
  <si>
    <t>STATE</t>
  </si>
  <si>
    <t>Industry Sector Category</t>
  </si>
  <si>
    <t>Residential</t>
  </si>
  <si>
    <t>Commercial</t>
  </si>
  <si>
    <t>Industrial</t>
  </si>
  <si>
    <t>Other</t>
  </si>
  <si>
    <t>Transportation</t>
  </si>
  <si>
    <t>US</t>
  </si>
  <si>
    <t>Total Electric Industry</t>
  </si>
  <si>
    <r>
      <t xml:space="preserve">Sources: 
</t>
    </r>
    <r>
      <rPr>
        <b/>
        <sz val="10"/>
        <rFont val="Calibri"/>
        <family val="2"/>
      </rPr>
      <t xml:space="preserve">1990-2009: </t>
    </r>
    <r>
      <rPr>
        <sz val="10"/>
        <rFont val="Calibri"/>
        <family val="2"/>
      </rPr>
      <t xml:space="preserve">Energy Information Administration (EIA) (2021) Detailed State Data, Retail Sales of Electricity by State by Sector by Provider, 1990-2020 (EIA-861). U.S. Department of Energy, Energy Information Administration. Released September 15, 2021. 
</t>
    </r>
    <r>
      <rPr>
        <b/>
        <sz val="10"/>
        <rFont val="Calibri"/>
        <family val="2"/>
      </rPr>
      <t>2010-2021:</t>
    </r>
    <r>
      <rPr>
        <sz val="10"/>
        <rFont val="Calibri"/>
        <family val="2"/>
      </rPr>
      <t xml:space="preserve"> Energy Information Administration (EIA) (2022) Detailed State Data, Annual Sales to Ultimate Customers by State and Sector, 2010-2021 (EIA-861). U.S. Department of Energy, Energy Information Administration. Released October 6, 2022. 
Available online at: https://www.eia.gov/electricity/data/state/. 
</t>
    </r>
    <r>
      <rPr>
        <b/>
        <sz val="10"/>
        <rFont val="Calibri"/>
        <family val="2"/>
      </rPr>
      <t xml:space="preserve">2022 Inventory: </t>
    </r>
    <r>
      <rPr>
        <sz val="10"/>
        <rFont val="Calibri"/>
        <family val="2"/>
      </rPr>
      <t xml:space="preserve">Energy Information Administration (EIA) (2023) Detailed State Data, Annual Sales to Ultimate Customers by State and Sector, 2010-2022 (EIA-861). Department of Energy, Energy Information administration. Released October 5, 2023.   </t>
    </r>
  </si>
  <si>
    <t>Total US SF6 and CF4 Emissions from Electrical Transmission and Distribution Systems (MMTCO2e)</t>
  </si>
  <si>
    <t>Tg CO2 Eq. (MMTCO2Eq)</t>
  </si>
  <si>
    <t>Total US SF6 and CF4 Emissions from Electrical Transmission and Distribution Systems (kt)</t>
  </si>
  <si>
    <r>
      <t>CF</t>
    </r>
    <r>
      <rPr>
        <vertAlign val="subscript"/>
        <sz val="9"/>
        <color theme="0" tint="-0.499984740745262"/>
        <rFont val="Calibri"/>
        <family val="2"/>
      </rPr>
      <t>4</t>
    </r>
  </si>
  <si>
    <r>
      <t>SF</t>
    </r>
    <r>
      <rPr>
        <vertAlign val="subscript"/>
        <sz val="10"/>
        <color theme="0" tint="-0.499984740745262"/>
        <rFont val="Calibri"/>
        <family val="2"/>
      </rPr>
      <t>6</t>
    </r>
  </si>
  <si>
    <r>
      <t>CF</t>
    </r>
    <r>
      <rPr>
        <b/>
        <vertAlign val="subscript"/>
        <sz val="10"/>
        <rFont val="Calibri"/>
        <family val="2"/>
      </rPr>
      <t>4</t>
    </r>
    <r>
      <rPr>
        <b/>
        <sz val="10"/>
        <rFont val="Calibri"/>
        <family val="2"/>
      </rPr>
      <t xml:space="preserve"> Emissions (kt)</t>
    </r>
  </si>
  <si>
    <r>
      <t>SF</t>
    </r>
    <r>
      <rPr>
        <b/>
        <vertAlign val="subscript"/>
        <sz val="10"/>
        <rFont val="Calibri"/>
        <family val="2"/>
      </rPr>
      <t>6</t>
    </r>
    <r>
      <rPr>
        <b/>
        <sz val="10"/>
        <rFont val="Calibri"/>
        <family val="2"/>
      </rPr>
      <t xml:space="preserve"> Emissions (kt)</t>
    </r>
  </si>
  <si>
    <r>
      <t>CF</t>
    </r>
    <r>
      <rPr>
        <b/>
        <vertAlign val="subscript"/>
        <sz val="10"/>
        <rFont val="Calibri"/>
        <family val="2"/>
      </rPr>
      <t>4</t>
    </r>
    <r>
      <rPr>
        <b/>
        <sz val="10"/>
        <rFont val="Calibri"/>
        <family val="2"/>
      </rPr>
      <t xml:space="preserve"> Emissions (MMTCO2e)</t>
    </r>
  </si>
  <si>
    <r>
      <t>SF</t>
    </r>
    <r>
      <rPr>
        <b/>
        <vertAlign val="subscript"/>
        <sz val="10"/>
        <rFont val="Calibri"/>
        <family val="2"/>
      </rPr>
      <t>6</t>
    </r>
    <r>
      <rPr>
        <b/>
        <sz val="10"/>
        <rFont val="Calibri"/>
        <family val="2"/>
      </rPr>
      <t xml:space="preserve"> Emissions (MMTCO2e)</t>
    </r>
  </si>
  <si>
    <r>
      <rPr>
        <i/>
        <sz val="10"/>
        <color rgb="FF000000"/>
        <rFont val="Calibri"/>
        <family val="2"/>
      </rPr>
      <t xml:space="preserve">Source: </t>
    </r>
    <r>
      <rPr>
        <sz val="10"/>
        <color rgb="FF000000"/>
        <rFont val="Calibri"/>
        <family val="2"/>
      </rPr>
      <t xml:space="preserve">EPA (2024) 1990-2022 U.S. Inventory of GHG Emissions and Sinks, Table 4-130* </t>
    </r>
  </si>
  <si>
    <t>*csv file does not have decimals as in previous years, ICF file of this table with decimal places used</t>
  </si>
  <si>
    <t>ODS Substitutes Data</t>
  </si>
  <si>
    <t>Resident U.S. Population Data</t>
  </si>
  <si>
    <t>Month</t>
  </si>
  <si>
    <t>Population</t>
  </si>
  <si>
    <t>July</t>
  </si>
  <si>
    <t>1990 - 1999: Monthly Estimates of U.S. Population, Population Estimates program, U.S. Census Bureau - Monthly Estimates of the United States Population: April 1, 1980 to July 1, 1999, with Short-Term Projections to November 1, 2000 - Cont. (Consistent with 1980 and 1990 population estimates bases.)
Source:   Population Estimates Program, Population Divis https://www.census.gov/population/estimates/nation/intfile1-1.txt</t>
  </si>
  <si>
    <t>2000 - 2009: National Population Totals Tables: Table 2. Intercensal Estimates of the Resident Population by Sex, Race, and Hispanic Origin for the United States: April 1, 2000 to July 1, 2010 (US-EST00INT-02). Source: U.S. Census Bureau, Population Division - https://www2.census.gov/programs-surveys/popest/tables/</t>
  </si>
  <si>
    <t>2010 - 2019: U.S. Census Bureau, Population Division. Annual Estimates of the Resident Population for the United States: April 1, 2010 to July 1, 2020; April 1, 2020; and July 1, 2020 (NST-EST2020). Release Date: July 2021</t>
  </si>
  <si>
    <t>2020 - 2022: U.S. Census Bureau, Population Division. Annual Estimates of the Resident Population by Sex, Race, and Hispanic Origin for the United States: April 1, 2020 to July 1, 2022 (NC-EST2022-SR11H). Release date: June 2023</t>
  </si>
  <si>
    <t>U.S. Inventory Emissions by Category (MMT CO2 Eq.)</t>
  </si>
  <si>
    <t>Category</t>
  </si>
  <si>
    <t>Refrigeration/AC</t>
  </si>
  <si>
    <t>Other A/C Emissions</t>
  </si>
  <si>
    <r>
      <rPr>
        <b/>
        <sz val="9"/>
        <color rgb="FF000000"/>
        <rFont val="Calibri"/>
        <family val="2"/>
      </rPr>
      <t xml:space="preserve">Source: </t>
    </r>
    <r>
      <rPr>
        <sz val="9"/>
        <color rgb="FF000000"/>
        <rFont val="Calibri"/>
        <family val="2"/>
      </rPr>
      <t>EPA (2024) US GHG Inventory 1990-2022, Table 4-127: https://www.epa.gov/system/files/documents/2024-04/us-ghg-inventory-2024-chapter-4-industrial-processes-and-product-use_04-18-2024.pdf</t>
    </r>
  </si>
  <si>
    <r>
      <rPr>
        <sz val="9"/>
        <rFont val="Calibri"/>
        <family val="2"/>
      </rPr>
      <t xml:space="preserve">Cars and Trucks A/C data taken from </t>
    </r>
    <r>
      <rPr>
        <b/>
        <sz val="9"/>
        <rFont val="Calibri"/>
        <family val="2"/>
      </rPr>
      <t>Table A-90: Total U.S. Greenhouse Gas Emissions from Transportation and Mobile Sources (MMT CO2 Eq.)</t>
    </r>
    <r>
      <rPr>
        <sz val="9"/>
        <rFont val="Calibri"/>
        <family val="2"/>
      </rPr>
      <t>; Values less than 0.05 are not provided in US GHG Inventory tables and are assumed to be 0 here</t>
    </r>
  </si>
  <si>
    <t>U.S. Inventory RefAC Emissions by Sub-Sector (MMT CO2 Eq.)</t>
  </si>
  <si>
    <t>Sub-Sector</t>
  </si>
  <si>
    <t>Commercial Refrigeration</t>
  </si>
  <si>
    <t>Domestic Refrigeration</t>
  </si>
  <si>
    <t>Industrial Process Refrigeration</t>
  </si>
  <si>
    <t>Transport Refrigeration</t>
  </si>
  <si>
    <t>Mobile Air Conditioning</t>
  </si>
  <si>
    <t>Residential Stationary Air Conditioning</t>
  </si>
  <si>
    <t>Commercial Stationary Air Conditioning</t>
  </si>
  <si>
    <t>Source: EPA (2024) US GHG Inventory 1990-2022, Table 4-127: https://www.epa.gov/system/files/documents/2024-04/us-ghg-inventory-2024-chapter-4-industrial-processes-and-product-use_04-18-2024.pdf</t>
  </si>
  <si>
    <t>Values less than 0.05 are not provided in US GHG Inventory tables and are assumed to be 0 here</t>
  </si>
  <si>
    <t>U.S. Inventory Emissions by Gas (MMT CO2 Eq.)</t>
  </si>
  <si>
    <t>Gas</t>
  </si>
  <si>
    <r>
      <rPr>
        <b/>
        <sz val="9"/>
        <color rgb="FF000000"/>
        <rFont val="Calibri"/>
        <family val="2"/>
      </rPr>
      <t xml:space="preserve">2022 Source: </t>
    </r>
    <r>
      <rPr>
        <sz val="9"/>
        <color rgb="FF000000"/>
        <rFont val="Calibri"/>
        <family val="2"/>
      </rPr>
      <t>EPA (2024) US GHG Inventory 1990-2022, Table 4-115: https://www.epa.gov/system/files/documents/2024-04/us-ghg-inventory-2024-chapter-4-industrial-processes-and-product-use_04-18-2024.pdf</t>
    </r>
  </si>
  <si>
    <r>
      <t>Others represent an unspecified mix of HFCs and PFCs, which includes HFC-152a, HFC-227ea, HFC-245fa, HFC-43-10mee, HCFO-1233zd(E), HFO-1336mzz(Z), C</t>
    </r>
    <r>
      <rPr>
        <vertAlign val="subscript"/>
        <sz val="9"/>
        <rFont val="Calibri"/>
        <family val="2"/>
      </rPr>
      <t>4</t>
    </r>
    <r>
      <rPr>
        <sz val="9"/>
        <rFont val="Calibri"/>
        <family val="2"/>
      </rPr>
      <t>F</t>
    </r>
    <r>
      <rPr>
        <vertAlign val="subscript"/>
        <sz val="9"/>
        <rFont val="Calibri"/>
        <family val="2"/>
      </rPr>
      <t>10</t>
    </r>
    <r>
      <rPr>
        <sz val="9"/>
        <rFont val="Calibri"/>
        <family val="2"/>
      </rPr>
      <t xml:space="preserve">, and PFC/PPEs, the latter being a proxy for a diverse collection of PFCs and PFPEs employed for solvent applications. </t>
    </r>
  </si>
  <si>
    <t>U.S. Motor Vehicle Registrations</t>
  </si>
  <si>
    <t>Automobiles</t>
  </si>
  <si>
    <t>Trucks</t>
  </si>
  <si>
    <t>Source: FHWA (2023). Highway Statistics Series Publications. Table MV-1: State motor vehicle registrations. U.S. Department of Transportation, Federal Highway Administration. Available online at https://www.fhwa.dot.gov/policyinformation/statistics/2022/mv1.cfm</t>
  </si>
  <si>
    <t>Select year from dropdown and open 7.3.1. State motor-vehicle registrations table</t>
  </si>
  <si>
    <t>Table 18.06 - VEHICLE REGISTRATION, BY TYPE OF VEHICLE</t>
  </si>
  <si>
    <t>All                   Motor Vehicles</t>
  </si>
  <si>
    <t>Passenger Vehicles</t>
  </si>
  <si>
    <t>Car/Truck Total</t>
  </si>
  <si>
    <t>% Passenger Vehicles</t>
  </si>
  <si>
    <t>% Trucks</t>
  </si>
  <si>
    <t>Source: DBEDT (2023). 2022 State of Hawaii Data Book. Hawaii Department of Business, Economic Development &amp; Tourism. Table 18.06. Available online at https://dbedt.hawaii.gov/economic/databook/2022-individual/_18/</t>
  </si>
  <si>
    <t>Table 18.07--  MOTOR VEHICLES REGISTERED, BY COUNTY</t>
  </si>
  <si>
    <t>State total</t>
  </si>
  <si>
    <t>City and County of Honolulu</t>
  </si>
  <si>
    <t>County of Hawaii</t>
  </si>
  <si>
    <t>County of Kauai</t>
  </si>
  <si>
    <t>County of Maui</t>
  </si>
  <si>
    <t>Kauai is.</t>
  </si>
  <si>
    <t>Niihau Is.</t>
  </si>
  <si>
    <t>Maui Is.</t>
  </si>
  <si>
    <t>Lanai Is.</t>
  </si>
  <si>
    <t>Molokai Is.</t>
  </si>
  <si>
    <t>Passenger vehicles 1/</t>
  </si>
  <si>
    <t>Maui Check</t>
  </si>
  <si>
    <t>Kauai Check</t>
  </si>
  <si>
    <t>Source: DBEDT (2023). 2022 State of Hawaii Data Book. Hawaii Department of Business, Economic Development &amp; Tourism. Table 18.07. Available online at https://dbedt.hawaii.gov/economic/databook/2022-individual/_18/</t>
  </si>
  <si>
    <t>RECS AC Units</t>
  </si>
  <si>
    <t>U.S. Homes with AC Units</t>
  </si>
  <si>
    <t>Total Homes with AC Units in Hot and Humid Regions</t>
  </si>
  <si>
    <t>Total Hot and Humid Climate Population*</t>
  </si>
  <si>
    <t>City and County of Honolulu Population</t>
  </si>
  <si>
    <t>County of Hawaii Population</t>
  </si>
  <si>
    <t>County Kauai Population</t>
  </si>
  <si>
    <t>County of Maui Population</t>
  </si>
  <si>
    <t>Source: RECS (2009), RECS (2015), and RECS (2020). U.S. EIA. Residential Energy Consumption Survey. Available online at: https://www.eia.gov/consumption/residential/data/2020/#ac</t>
  </si>
  <si>
    <t xml:space="preserve">Source*: (1) Intercensal Estimates of the Resident Population for Counties and States: April 1, 2000 to July 1, 2010. Available online at: U.S. Census Bureau, Population Division - https://www.census.gov/data/datasets/time-series/demo/popest/intercensal-2000-2010-counties.html 
</t>
  </si>
  <si>
    <t>(2) Annual Resident Population Estimates for States and Counties: April 1, 2010 to July 1, 2019; April 1, 2020 ; and July 1, 2020 (CO-EST2020). Available online at: U.S. Census Bureau, Population Division - https://www.census.gov/programs-surveys/popest/technical-documentation/research/evaluation-estimates/2020-evaluation-estimates/2010s-counties-total.html</t>
  </si>
  <si>
    <t>(3) U.S. DOE Building America Best Practices Series: Guide to Determining Climate Regions by County, August 2015. Available online at: https://www.energy.gov/sites/default/files/2015/10/f27/ba_climate_region_guide_7.3.pdf</t>
  </si>
  <si>
    <t xml:space="preserve">ODS Emissions from U.S. GHG Inventory </t>
  </si>
  <si>
    <t xml:space="preserve">U.S. ODS Emissions in Metric Tons </t>
  </si>
  <si>
    <t>CFC-11</t>
  </si>
  <si>
    <t>CFC-12</t>
  </si>
  <si>
    <t>CFC-113</t>
  </si>
  <si>
    <t>CFC-114</t>
  </si>
  <si>
    <t>CFC-115</t>
  </si>
  <si>
    <t>Carbon Tetrachloride</t>
  </si>
  <si>
    <t>Methyl Chloroform</t>
  </si>
  <si>
    <t>Halon 12111</t>
  </si>
  <si>
    <t>Halon 1211</t>
  </si>
  <si>
    <t>Halon 1301</t>
  </si>
  <si>
    <t>HCFC-22</t>
  </si>
  <si>
    <t>HCFC-123</t>
  </si>
  <si>
    <t>HCFC-124</t>
  </si>
  <si>
    <t>HCFC-141b</t>
  </si>
  <si>
    <t>HCFC-142b</t>
  </si>
  <si>
    <t>HCFC-225ca/cb</t>
  </si>
  <si>
    <t>Source: EPA (2024) US GHG Inventory 1990-2022</t>
  </si>
  <si>
    <t>U.S. ODS Emissions in kt</t>
  </si>
  <si>
    <t>Hawaii ODS Emissions in kt</t>
  </si>
  <si>
    <t>Hawaii ODS Emissions in MMTCO2eq</t>
  </si>
  <si>
    <t>AR5 GWP</t>
  </si>
  <si>
    <t>TOTAL</t>
  </si>
  <si>
    <t>Source: IPCC (2014)</t>
  </si>
  <si>
    <t>ODS and ODS Subs</t>
  </si>
  <si>
    <t>Total Emissions (ODS and ODS Substitutes)</t>
  </si>
  <si>
    <t>ODS (not included in GHG Inventory)</t>
  </si>
  <si>
    <t>ODS Substitutes (included in GHG Inventory)</t>
  </si>
  <si>
    <t>Conversion Factors</t>
  </si>
  <si>
    <t>Conversion Factors to Energy Units (Heat Equivalents), Heat Contents, and Carbon Content Coefficients of Various Fuel Types</t>
  </si>
  <si>
    <t>ETD GWPs</t>
  </si>
  <si>
    <t>Thousand metric tons to metric tons</t>
  </si>
  <si>
    <t>Multiply by</t>
  </si>
  <si>
    <t>Fuel Type</t>
  </si>
  <si>
    <t>Heat Content</t>
  </si>
  <si>
    <t>Carbin (C) Content Coefficients</t>
  </si>
  <si>
    <t>Carbon Dioxide (CO2) per Physical Unit</t>
  </si>
  <si>
    <t>Metric tons to million metric tonnes</t>
  </si>
  <si>
    <t>Solid Fuels</t>
  </si>
  <si>
    <t>Million Btu/Metric Ton</t>
  </si>
  <si>
    <t>kg C/Million Btu</t>
  </si>
  <si>
    <t>kg CO2/Metric Ton</t>
  </si>
  <si>
    <t>SF6</t>
  </si>
  <si>
    <t>Short tons to Metric tons</t>
  </si>
  <si>
    <t>Anthracite Coal</t>
  </si>
  <si>
    <t>CF4</t>
  </si>
  <si>
    <t>Lbs. to Short Tons</t>
  </si>
  <si>
    <t>Bituminous Coal</t>
  </si>
  <si>
    <t>Carbon to Carbon Dioxide</t>
  </si>
  <si>
    <t>Sub-bituminous Coal</t>
  </si>
  <si>
    <t>Grams to lbs</t>
  </si>
  <si>
    <t>Divide by</t>
  </si>
  <si>
    <t>Lignite</t>
  </si>
  <si>
    <t>kWh to mWh</t>
  </si>
  <si>
    <t>Coke</t>
  </si>
  <si>
    <t>Gallons to Barrels</t>
  </si>
  <si>
    <t>Unspecified Coal</t>
  </si>
  <si>
    <t>lbs to Megagrams</t>
  </si>
  <si>
    <t>Gas Fuels</t>
  </si>
  <si>
    <t>Btu/Cubic Foot</t>
  </si>
  <si>
    <t>kg CO2/Cubic Foot</t>
  </si>
  <si>
    <t>cubic meters/ cubic foot</t>
  </si>
  <si>
    <t>Natural Gas</t>
  </si>
  <si>
    <t>grams/ cubic foot</t>
  </si>
  <si>
    <t>Liquid Fuels</t>
  </si>
  <si>
    <t>Million Btu/Petroleum Barrel</t>
  </si>
  <si>
    <t>kg CO2 Btu/Petroleum Barrel</t>
  </si>
  <si>
    <t>grams/ metric ton</t>
  </si>
  <si>
    <t>Crude Oil</t>
  </si>
  <si>
    <t>m3/metric ton</t>
  </si>
  <si>
    <t>Natural Gas Liquids and LRGs</t>
  </si>
  <si>
    <t>Motor Gasoline</t>
  </si>
  <si>
    <t>Aviation Gasoline</t>
  </si>
  <si>
    <t>Kerosene</t>
  </si>
  <si>
    <t>Jet Fuel</t>
  </si>
  <si>
    <t>Distillate Fuel Oil</t>
  </si>
  <si>
    <t>Residual Fuel Oil</t>
  </si>
  <si>
    <t>Naphtha for Feedstock</t>
  </si>
  <si>
    <t>Petroleum Coke</t>
  </si>
  <si>
    <t>Other Oil for Feedstock</t>
  </si>
  <si>
    <t>Special Naphthas</t>
  </si>
  <si>
    <t>Lubricants</t>
  </si>
  <si>
    <t>Waxes</t>
  </si>
  <si>
    <t>Asphalt &amp; Road Oil</t>
  </si>
  <si>
    <t>Still Gas</t>
  </si>
  <si>
    <t>Misc. Products</t>
  </si>
  <si>
    <t>This tab calculates values used in the 2022 Hawaii inventory technical support document, in the order in which they appear in the text of the IPPU sector (Section 3) unless otherwise noted</t>
  </si>
  <si>
    <t>2022 total emissions</t>
  </si>
  <si>
    <t>% ODS Subs</t>
  </si>
  <si>
    <t>% Elec T&amp;D</t>
  </si>
  <si>
    <t>% cement</t>
  </si>
  <si>
    <t>1990 to 2022 comparison</t>
  </si>
  <si>
    <t>"times higher"</t>
  </si>
  <si>
    <t>percent - this might be used in the Introduction section</t>
  </si>
  <si>
    <t>1990 to 2005</t>
  </si>
  <si>
    <t>"higher by x percent" - used in Introduction</t>
  </si>
  <si>
    <t>2005 to 2022 comparison</t>
  </si>
  <si>
    <t>"higher by x percent" - used in both Introduction and Section 3</t>
  </si>
  <si>
    <t>% decrease SF6 1990-2022</t>
  </si>
  <si>
    <t>% decrease SF6 2005-2022</t>
  </si>
  <si>
    <t>% decrease ETD 1990-2022</t>
  </si>
  <si>
    <t>% decrease ETD 2005-2022</t>
  </si>
  <si>
    <t>change</t>
  </si>
  <si>
    <t>Variable</t>
  </si>
  <si>
    <t>Emissions Source</t>
  </si>
  <si>
    <t>Location</t>
  </si>
  <si>
    <t>Live Value</t>
  </si>
  <si>
    <t>Hardcoded Value</t>
  </si>
  <si>
    <t>Distribution Type</t>
  </si>
  <si>
    <r>
      <t>Uncertainty Range</t>
    </r>
    <r>
      <rPr>
        <vertAlign val="superscript"/>
        <sz val="10"/>
        <rFont val="Arial"/>
        <family val="1"/>
      </rPr>
      <t>a</t>
    </r>
  </si>
  <si>
    <t>Reference</t>
  </si>
  <si>
    <t>Notes</t>
  </si>
  <si>
    <t>Lower Bound</t>
  </si>
  <si>
    <t>Upper Bound</t>
  </si>
  <si>
    <t>Confidence Level</t>
  </si>
  <si>
    <t>Mean / Median Value</t>
  </si>
  <si>
    <t>Minimum</t>
  </si>
  <si>
    <t>Maximum</t>
  </si>
  <si>
    <t>Std. Dev.</t>
  </si>
  <si>
    <t>@risk inputs</t>
  </si>
  <si>
    <t>@risk formula</t>
  </si>
  <si>
    <t>Cement Data'!AF4</t>
  </si>
  <si>
    <t>Metric Tons</t>
  </si>
  <si>
    <t>Normal</t>
  </si>
  <si>
    <t>IPCC 2006. Guidelines for National Greenhouse Gas Inventories.</t>
  </si>
  <si>
    <t>Clinker Emission Factor</t>
  </si>
  <si>
    <t>Cement Data'!B12</t>
  </si>
  <si>
    <t>Ton CO2/Ton clinker produced</t>
  </si>
  <si>
    <t>Cement Kiln Dust (CKD) Correction Factor</t>
  </si>
  <si>
    <t>Cement Data'!B13</t>
  </si>
  <si>
    <t>Percent</t>
  </si>
  <si>
    <t>Hawaii Electricity Sales</t>
  </si>
  <si>
    <t>SF6 Emissions from Electricity T&amp;D</t>
  </si>
  <si>
    <t>Electrical T&amp;D Data'!B62</t>
  </si>
  <si>
    <t>1,000 kWh</t>
  </si>
  <si>
    <t>ICF Expert Judgment</t>
  </si>
  <si>
    <t xml:space="preserve"> Source: Hawaii State Department of Commerce and Consumer Affairs, Division of Consumer Advocacy;
Hawaii State Department of Business, Economic Development and Tourism, Strategic Industries
Division; Monthly Financial Reports issued by utility companies (Hawaiian Electric Company, Maui Electric
Company, Hawaii Electric Light Company and Kauai Island Utility Cooperative); calculations by Hawaii
State Department of Business, Economic Development and Tourism; and records.</t>
  </si>
  <si>
    <t>US Electricity Sales</t>
  </si>
  <si>
    <t>Electrical T&amp;D Data'!I103</t>
  </si>
  <si>
    <t>US SF6 Electricity T&amp;D Emissions</t>
  </si>
  <si>
    <t>Electrical T&amp;D Data'!B139</t>
  </si>
  <si>
    <t>MMTCO2Eq</t>
  </si>
  <si>
    <t>Pert</t>
  </si>
  <si>
    <t>U.S. EPA (2021), Table 4-108</t>
  </si>
  <si>
    <t>Hawaii Vehicle Registration - Passenger Vehicles</t>
  </si>
  <si>
    <t>ODS Substitutes</t>
  </si>
  <si>
    <t>ODS Subs Data'!C136</t>
  </si>
  <si>
    <t># Vehicles</t>
  </si>
  <si>
    <t>Bounds calculated based on margin of error for NHTS vehicle data (95% confidence interval)</t>
  </si>
  <si>
    <t>Hawaii Vehicle Registration - Trucks</t>
  </si>
  <si>
    <t>ODS Subs Data'!D136</t>
  </si>
  <si>
    <t>U.S. Vehicle Registration - Automobiles</t>
  </si>
  <si>
    <t>ODS Subs Data'!B100</t>
  </si>
  <si>
    <t>FHWA</t>
  </si>
  <si>
    <t>U.S. Vehicle Registration - Trucks</t>
  </si>
  <si>
    <t>ODS Subs Data'!C100</t>
  </si>
  <si>
    <t>ODS Subs'!L21</t>
  </si>
  <si>
    <t># People</t>
  </si>
  <si>
    <t>Tied directly to an external link; Based on MOE from American Community Survey datasets</t>
  </si>
  <si>
    <t>U.S. Population</t>
  </si>
  <si>
    <t>ODS Subs Data'!C34</t>
  </si>
  <si>
    <t>U.S. ODS Subs Emissions from Ref A/C</t>
  </si>
  <si>
    <t>ODS Subs Data'!AE43</t>
  </si>
  <si>
    <t>U.S. EPA (2021) and ICF Expert Judgment</t>
  </si>
  <si>
    <t>Based on publicly available US GHG Inventory data on ODS Subs</t>
  </si>
  <si>
    <t>U.S. ODS Subs Emissions from Car/Truck A/C</t>
  </si>
  <si>
    <t>ODS Subs Data'!AE44</t>
  </si>
  <si>
    <t>U.S. ODS Subs Emissions from Aerosols</t>
  </si>
  <si>
    <t>ODS Subs Data'!AE47</t>
  </si>
  <si>
    <t>U.S. ODS Subs Emissions from Foams</t>
  </si>
  <si>
    <t>ODS Subs Data'!AE48</t>
  </si>
  <si>
    <t>U.S. ODS Subs Emissions from Solvents</t>
  </si>
  <si>
    <t>ODS Subs Data'!AE49</t>
  </si>
  <si>
    <t>U.S. ODS Subs Emissions from Fire Extinguishing</t>
  </si>
  <si>
    <t>ODS Subs Data'!AE50</t>
  </si>
  <si>
    <t>U.S. Homes with Air Conditioners 2015</t>
  </si>
  <si>
    <t>'ODS Subs Data'!B195</t>
  </si>
  <si>
    <t># Homes</t>
  </si>
  <si>
    <t>RECS (2015)</t>
  </si>
  <si>
    <t>2019 value is interpolated from values from 2015 and 2020. Based on RSE for RECS (2015) AC data (95% confidence interval)</t>
  </si>
  <si>
    <t>U.S. Homes with Air Conditioners 2020</t>
  </si>
  <si>
    <t>ODS Subs Data'!B200</t>
  </si>
  <si>
    <t>RECS (2020)</t>
  </si>
  <si>
    <t>2019 value is interpolated from values from 2015 and 2020. 2020 value based on RSE for RECS (2020) AC data (95% confidence interval)</t>
  </si>
  <si>
    <t>Hot and Humid Homes with Air Conditioners 2015</t>
  </si>
  <si>
    <t>'ODS Subs Data'!C195</t>
  </si>
  <si>
    <t>Hot and Humid Homes with Air Conditioners 2020</t>
  </si>
  <si>
    <t>'ODS Subs Data'!C200</t>
  </si>
  <si>
    <t>Total Hot and Humid Climate Population</t>
  </si>
  <si>
    <t>'ODS Subs Data'!D199</t>
  </si>
  <si>
    <t>HI State Population -- Census</t>
  </si>
  <si>
    <t>'ODS Subs Data'!E199</t>
  </si>
  <si>
    <t>Summary of Monte Carlo Analysis</t>
  </si>
  <si>
    <t>Source Category:</t>
  </si>
  <si>
    <t>CO2 Emissions from Cement Production</t>
  </si>
  <si>
    <t>@RISK graph</t>
  </si>
  <si>
    <t>Statistic</t>
  </si>
  <si>
    <t>Value</t>
  </si>
  <si>
    <t>2.5th Percentile</t>
  </si>
  <si>
    <t>Mean</t>
  </si>
  <si>
    <t>StdDev</t>
  </si>
  <si>
    <t>97.5th Percentile</t>
  </si>
  <si>
    <t>% Above (Below) Mean</t>
  </si>
  <si>
    <t>Paste this table in inventory chapter text.</t>
  </si>
  <si>
    <t>Table x‑x:  Quantitative Uncertainty Estimates for CO2 Emissions from Cement Production (Tg CO2 Eq. and Percent)</t>
  </si>
  <si>
    <t>2021 Emission Estimate</t>
  </si>
  <si>
    <t>Uncertainty Range Relative to Emission Estimatea</t>
  </si>
  <si>
    <t>(Tg CO2 Eq.)</t>
  </si>
  <si>
    <t>(%)</t>
  </si>
  <si>
    <t>CO2</t>
  </si>
  <si>
    <t xml:space="preserve">a Range of emissions estimates predicted by Monte Carlo Stochastic Simulation for a 95% confidence interval </t>
  </si>
  <si>
    <t>SF6 Emissions from Electrical Transmission and Distribution</t>
  </si>
  <si>
    <t>Table x‑x:  Quantitative Uncertainty Estimates for SF6 Emissions from Electrical Transmission and Distribution (Tg CO2 Eq. and Percent)</t>
  </si>
  <si>
    <t>HFCs/PFCs Emissions from Substitution of Ozone Depleting Substances</t>
  </si>
  <si>
    <t>Table x‑x:  Quantitative Uncertainty Estimates for HFCs/PFCs Emissions from Substitution of Ozone Depleting Substances (Tg CO2 Eq. and Percent)</t>
  </si>
  <si>
    <t>HFCs/PFCs</t>
  </si>
  <si>
    <r>
      <t>Table x‑x:  Quantitative Uncertainty Estimates for CO2 Emissions from Cement Production (Tg CO</t>
    </r>
    <r>
      <rPr>
        <vertAlign val="subscript"/>
        <sz val="10"/>
        <rFont val="Times New Roman"/>
        <family val="1"/>
      </rPr>
      <t>2</t>
    </r>
    <r>
      <rPr>
        <sz val="10"/>
        <rFont val="Times New Roman"/>
        <family val="1"/>
      </rPr>
      <t xml:space="preserve"> Eq. and Percent)</t>
    </r>
  </si>
  <si>
    <t>2016 Emission Estimate</t>
  </si>
  <si>
    <r>
      <t>Uncertainty Range Relative to Emission Estimate</t>
    </r>
    <r>
      <rPr>
        <vertAlign val="superscript"/>
        <sz val="10"/>
        <rFont val="Arial"/>
        <family val="1"/>
      </rPr>
      <t>a</t>
    </r>
  </si>
  <si>
    <r>
      <t>(Tg CO</t>
    </r>
    <r>
      <rPr>
        <vertAlign val="subscript"/>
        <sz val="10"/>
        <rFont val="Arial"/>
        <family val="1"/>
      </rPr>
      <t>2</t>
    </r>
    <r>
      <rPr>
        <sz val="10"/>
        <rFont val="Arial"/>
        <family val="1"/>
      </rPr>
      <t xml:space="preserve"> Eq.)</t>
    </r>
  </si>
  <si>
    <r>
      <t>CO</t>
    </r>
    <r>
      <rPr>
        <vertAlign val="subscript"/>
        <sz val="10"/>
        <rFont val="Arial"/>
        <family val="1"/>
      </rPr>
      <t>2</t>
    </r>
  </si>
  <si>
    <r>
      <t>a</t>
    </r>
    <r>
      <rPr>
        <sz val="10"/>
        <rFont val="Arial"/>
        <family val="1"/>
      </rPr>
      <t xml:space="preserve"> </t>
    </r>
    <r>
      <rPr>
        <sz val="10"/>
        <rFont val="Arial"/>
        <family val="1"/>
      </rPr>
      <t>Range of emissions estimates predicted by Monte Carlo Stochastic Simulation for a 95% confidence interval</t>
    </r>
    <r>
      <rPr>
        <sz val="10"/>
        <rFont val="Arial"/>
        <family val="1"/>
      </rPr>
      <t xml:space="preserve"> </t>
    </r>
  </si>
  <si>
    <r>
      <t>Table x‑x:  Quantitative Uncertainty Estimates for SF6 Emissions from Electrical Transmission and Distribution (Tg CO</t>
    </r>
    <r>
      <rPr>
        <vertAlign val="subscript"/>
        <sz val="10"/>
        <rFont val="Times New Roman"/>
        <family val="1"/>
      </rPr>
      <t>2</t>
    </r>
    <r>
      <rPr>
        <sz val="10"/>
        <rFont val="Times New Roman"/>
        <family val="1"/>
      </rPr>
      <t xml:space="preserve"> Eq. and Percent)</t>
    </r>
  </si>
  <si>
    <r>
      <t>Table x‑x:  Quantitative Uncertainty Estimates for HFCs/PFCs Emissions from Substitution of Ozone Depleting Substances (Tg CO</t>
    </r>
    <r>
      <rPr>
        <vertAlign val="subscript"/>
        <sz val="10"/>
        <rFont val="Times New Roman"/>
        <family val="1"/>
      </rPr>
      <t>2</t>
    </r>
    <r>
      <rPr>
        <sz val="10"/>
        <rFont val="Times New Roman"/>
        <family val="1"/>
      </rPr>
      <t xml:space="preserve"> Eq. and Percent)</t>
    </r>
  </si>
  <si>
    <r>
      <t xml:space="preserve">Source: DBEDT (2023). State of Hawaii Data Book. Hawaii Department of Business, Economic Development &amp; Tourism. Available online at http://dbedt.hawaii.gov/economic/databook/  </t>
    </r>
    <r>
      <rPr>
        <b/>
        <i/>
        <sz val="9"/>
        <color rgb="FF000000"/>
        <rFont val="Calibri"/>
        <family val="2"/>
      </rPr>
      <t>Table 17.10 Electric Utilities, by Island</t>
    </r>
  </si>
  <si>
    <r>
      <t xml:space="preserve">2021 Source: </t>
    </r>
    <r>
      <rPr>
        <sz val="10"/>
        <rFont val="Calibri"/>
        <family val="2"/>
      </rPr>
      <t>EPA (2023) 1990-2021 U.S. Inventory of GHG Emissions and Sinks, Table 4-117</t>
    </r>
    <r>
      <rPr>
        <i/>
        <sz val="10"/>
        <rFont val="Calibri"/>
        <family val="2"/>
      </rPr>
      <t xml:space="preserve"> 
2022 Corresponding Source: </t>
    </r>
    <r>
      <rPr>
        <sz val="10"/>
        <rFont val="Calibri"/>
        <family val="2"/>
      </rPr>
      <t>EPA (2024) 1990-2022 US Inventory of GHG Emissions and Sinks. Table 4-129</t>
    </r>
  </si>
  <si>
    <t>comparison to 2021 methodology</t>
  </si>
  <si>
    <t>ET&amp;D change from 2021</t>
  </si>
  <si>
    <t>ODS Subs change from 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</si>
</sst>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7">
    <numFmt numFmtId="5" formatCode="&quot;$&quot;#,##0_);\(&quot;$&quot;#,##0\)"/>
    <numFmt numFmtId="8" formatCode="&quot;$&quot;#,##0.00_);[Red]\(&quot;$&quot;#,##0.00\)"/>
    <numFmt numFmtId="41" formatCode="_(* #,##0_);_(* \(#,##0\);_(* &quot;-&quot;_);_(@_)"/>
    <numFmt numFmtId="44" formatCode="_(&quot;$&quot;* #,##0.00_);_(&quot;$&quot;* \(#,##0.00\);_(&quot;$&quot;* &quot;-&quot;??_);_(@_)"/>
    <numFmt numFmtId="43" formatCode="_(* #,##0.00_);_(* \(#,##0.00\);_(* &quot;-&quot;??_);_(@_)"/>
    <numFmt numFmtId="164" formatCode="_(* #,##0_);_(* \(#,##0\);_(* &quot;-&quot;??_);_(@_)"/>
    <numFmt numFmtId="165" formatCode="0.0"/>
    <numFmt numFmtId="166" formatCode="#,##0.0"/>
    <numFmt numFmtId="167" formatCode="0.0000"/>
    <numFmt numFmtId="168" formatCode="#,##0.000"/>
    <numFmt numFmtId="169" formatCode="0.00000"/>
    <numFmt numFmtId="170" formatCode="#,##0.0000"/>
    <numFmt numFmtId="171" formatCode="&quot;$&quot;#,##0\ ;\(&quot;$&quot;#,##0\)"/>
    <numFmt numFmtId="172" formatCode="m/d/yy\ h:mm:ss"/>
    <numFmt numFmtId="173" formatCode="0.0000%"/>
    <numFmt numFmtId="174" formatCode="#,##0\ \ \ "/>
    <numFmt numFmtId="175" formatCode="#,##0\ \ \ \ "/>
    <numFmt numFmtId="176" formatCode="\ \ \ \ \ @"/>
    <numFmt numFmtId="177" formatCode="\ \ \ \ \ \ @"/>
    <numFmt numFmtId="178" formatCode="#,##0\ \ "/>
    <numFmt numFmtId="179" formatCode="#,##0\ "/>
    <numFmt numFmtId="180" formatCode="\ \ \ @"/>
    <numFmt numFmtId="181" formatCode="#,##0\ \ \ \ \ \ "/>
    <numFmt numFmtId="182" formatCode="_(* #,##0.0_);_(* \(#,##0.0\);_(* &quot;-&quot;??_);_(@_)"/>
    <numFmt numFmtId="183" formatCode="\ \ \ \ \ \ \ \ \ @"/>
    <numFmt numFmtId="184" formatCode="\ \ \ \ \ \ \ \ \ \ \ \ @"/>
    <numFmt numFmtId="185" formatCode="\ \ \ \ \ \ \ \ \ \ \ \ \ \ \ @"/>
    <numFmt numFmtId="186" formatCode="\ \ \ \ \ \ \ \ \ \ \ \ \ \ \ \ \ \ @"/>
    <numFmt numFmtId="187" formatCode="###,##0\ \ \ \ \ \ \ "/>
    <numFmt numFmtId="188" formatCode="#."/>
    <numFmt numFmtId="189" formatCode="#,##0\ \ \ \ \ \ \ "/>
    <numFmt numFmtId="190" formatCode="@\ \ \ "/>
    <numFmt numFmtId="191" formatCode="#,##0\ \ \ \ \ "/>
    <numFmt numFmtId="192" formatCode="\ \ @"/>
    <numFmt numFmtId="193" formatCode="0.00\ \ \ \ \ \ \ \ "/>
    <numFmt numFmtId="194" formatCode="#,##0&quot;  &quot;;\-#,##0&quot;  &quot;;\ \-\-&quot;  &quot;;@&quot;  &quot;"/>
    <numFmt numFmtId="195" formatCode="#,##0.00\ \ \ \ \ "/>
    <numFmt numFmtId="196" formatCode="#,##0.0\ "/>
    <numFmt numFmtId="197" formatCode="#,##0&quot; &quot;;\-#,##0&quot; &quot;;\-\-&quot; &quot;;@&quot; &quot;"/>
    <numFmt numFmtId="198" formatCode="#,##0\ \ \ \ \ \ \ \ \ \ \ \ \ \ \ "/>
    <numFmt numFmtId="199" formatCode="00.000"/>
    <numFmt numFmtId="200" formatCode="_(* #,##0.0000_);_(* \(#,##0.0000\);_(* &quot;-&quot;??_);_(@_)"/>
    <numFmt numFmtId="201" formatCode="#,##0.00000"/>
    <numFmt numFmtId="202" formatCode="@\ \ "/>
    <numFmt numFmtId="203" formatCode="0.0%"/>
    <numFmt numFmtId="204" formatCode="_(* #,##0.000_);_(* \(#,##0.000\);_(* &quot;-&quot;??_);_(@_)"/>
    <numFmt numFmtId="205" formatCode="0.000"/>
    <numFmt numFmtId="206" formatCode="0.000000"/>
    <numFmt numFmtId="207" formatCode="0.000%"/>
    <numFmt numFmtId="208" formatCode="_(* #,##0.00_);_(* \(#,##0.00\);_(* \-??_);_(@_)"/>
    <numFmt numFmtId="209" formatCode="General_)"/>
    <numFmt numFmtId="210" formatCode="0.0;\-0.0"/>
    <numFmt numFmtId="211" formatCode="_(* #,##0.00000000_);_(* \(#,##0.00000000\);_(* &quot;-&quot;??_);_(@_)"/>
    <numFmt numFmtId="212" formatCode="_(* #,##0.000000000_);_(* \(#,##0.000000000\);_(* &quot;-&quot;??_);_(@_)"/>
    <numFmt numFmtId="213" formatCode="_(* #,##0.0000000000_);_(* \(#,##0.0000000000\);_(* &quot;-&quot;??_);_(@_)"/>
    <numFmt numFmtId="214" formatCode="#,##0.00000000000000"/>
    <numFmt numFmtId="215" formatCode="#,##0.00000000"/>
  </numFmts>
  <fonts count="154">
    <font>
      <sz val="10"/>
      <name val="Arial"/>
    </font>
    <font>
      <sz val="11"/>
      <color theme="1"/>
      <name val="Arial"/>
      <family val="2"/>
      <scheme val="minor"/>
    </font>
    <font>
      <sz val="11"/>
      <color theme="1"/>
      <name val="Arial"/>
      <family val="2"/>
      <scheme val="minor"/>
    </font>
    <font>
      <sz val="11"/>
      <color theme="1"/>
      <name val="Arial"/>
      <family val="2"/>
      <scheme val="minor"/>
    </font>
    <font>
      <sz val="11"/>
      <color theme="1"/>
      <name val="Arial"/>
      <family val="2"/>
      <scheme val="minor"/>
    </font>
    <font>
      <sz val="11"/>
      <color theme="1"/>
      <name val="Arial"/>
      <family val="2"/>
      <scheme val="minor"/>
    </font>
    <font>
      <sz val="11"/>
      <color indexed="8"/>
      <name val="Calibri"/>
      <family val="2"/>
    </font>
    <font>
      <sz val="10"/>
      <name val="Arial"/>
      <family val="2"/>
    </font>
    <font>
      <sz val="8"/>
      <name val="Arial"/>
      <family val="2"/>
    </font>
    <font>
      <sz val="10"/>
      <name val="Arial"/>
      <family val="2"/>
    </font>
    <font>
      <b/>
      <sz val="8"/>
      <color indexed="81"/>
      <name val="Tahoma"/>
      <family val="2"/>
    </font>
    <font>
      <sz val="8"/>
      <color indexed="81"/>
      <name val="Tahoma"/>
      <family val="2"/>
    </font>
    <font>
      <i/>
      <sz val="10"/>
      <name val="Arial"/>
      <family val="2"/>
    </font>
    <font>
      <b/>
      <sz val="10"/>
      <name val="Arial"/>
      <family val="2"/>
    </font>
    <font>
      <b/>
      <sz val="8"/>
      <name val="Arial"/>
      <family val="2"/>
    </font>
    <font>
      <sz val="8"/>
      <name val="Arial"/>
      <family val="2"/>
    </font>
    <font>
      <sz val="14"/>
      <name val="Arial"/>
      <family val="2"/>
    </font>
    <font>
      <sz val="10"/>
      <color indexed="8"/>
      <name val="Arial"/>
      <family val="2"/>
    </font>
    <font>
      <sz val="9"/>
      <name val="Times New Roman"/>
      <family val="1"/>
    </font>
    <font>
      <b/>
      <sz val="9"/>
      <name val="Times New Roman"/>
      <family val="1"/>
    </font>
    <font>
      <b/>
      <sz val="12"/>
      <name val="Times New Roman"/>
      <family val="1"/>
    </font>
    <font>
      <sz val="8"/>
      <name val="Helvetica"/>
    </font>
    <font>
      <i/>
      <sz val="10"/>
      <name val="Arial"/>
      <family val="2"/>
    </font>
    <font>
      <b/>
      <sz val="9"/>
      <name val="Arial"/>
      <family val="2"/>
    </font>
    <font>
      <sz val="18"/>
      <name val="Arial"/>
      <family val="2"/>
    </font>
    <font>
      <u/>
      <sz val="10"/>
      <color indexed="12"/>
      <name val="Arial"/>
      <family val="2"/>
    </font>
    <font>
      <sz val="10"/>
      <name val="Times New Roman"/>
      <family val="1"/>
    </font>
    <font>
      <b/>
      <sz val="12"/>
      <name val="Arial"/>
      <family val="2"/>
    </font>
    <font>
      <sz val="9"/>
      <name val="Arial"/>
      <family val="2"/>
    </font>
    <font>
      <sz val="10"/>
      <color indexed="9"/>
      <name val="Arial"/>
      <family val="2"/>
    </font>
    <font>
      <sz val="8"/>
      <color indexed="9"/>
      <name val="Arial"/>
      <family val="2"/>
    </font>
    <font>
      <sz val="12"/>
      <name val="Arial"/>
      <family val="2"/>
    </font>
    <font>
      <sz val="1"/>
      <color indexed="16"/>
      <name val="Courier"/>
    </font>
    <font>
      <b/>
      <sz val="1"/>
      <color indexed="16"/>
      <name val="Courier"/>
    </font>
    <font>
      <sz val="10"/>
      <name val="Arial"/>
      <family val="2"/>
    </font>
    <font>
      <u/>
      <sz val="10"/>
      <color indexed="12"/>
      <name val="Arial"/>
      <family val="2"/>
    </font>
    <font>
      <sz val="10"/>
      <name val="MS Sans Serif"/>
      <family val="2"/>
    </font>
    <font>
      <sz val="1"/>
      <color indexed="16"/>
      <name val="Courier"/>
      <family val="3"/>
    </font>
    <font>
      <b/>
      <sz val="12"/>
      <name val="Tahoma"/>
      <family val="2"/>
    </font>
    <font>
      <b/>
      <sz val="10"/>
      <name val="Tahoma"/>
      <family val="2"/>
    </font>
    <font>
      <b/>
      <sz val="11"/>
      <name val="Tahoma"/>
      <family val="2"/>
    </font>
    <font>
      <sz val="7"/>
      <name val="Helvetica"/>
    </font>
    <font>
      <sz val="10"/>
      <name val="SWISS"/>
    </font>
    <font>
      <b/>
      <sz val="1"/>
      <color indexed="16"/>
      <name val="Courier"/>
      <family val="3"/>
    </font>
    <font>
      <b/>
      <sz val="18"/>
      <name val="Arial"/>
      <family val="2"/>
    </font>
    <font>
      <u/>
      <sz val="11"/>
      <color indexed="12"/>
      <name val="Calibri"/>
      <family val="2"/>
    </font>
    <font>
      <sz val="10"/>
      <name val="Courier New"/>
      <family val="3"/>
    </font>
    <font>
      <sz val="10"/>
      <name val="Courier"/>
      <family val="3"/>
    </font>
    <font>
      <sz val="8"/>
      <color indexed="61"/>
      <name val="Arial"/>
      <family val="2"/>
    </font>
    <font>
      <b/>
      <sz val="8"/>
      <color indexed="38"/>
      <name val="Arial"/>
      <family val="2"/>
    </font>
    <font>
      <b/>
      <i/>
      <sz val="10"/>
      <color indexed="32"/>
      <name val="Arial"/>
      <family val="2"/>
    </font>
    <font>
      <b/>
      <sz val="10"/>
      <name val="Times New Roman"/>
      <family val="1"/>
    </font>
    <font>
      <b/>
      <sz val="18"/>
      <color indexed="62"/>
      <name val="Cambria"/>
      <family val="2"/>
    </font>
    <font>
      <sz val="10"/>
      <name val="Geneva"/>
    </font>
    <font>
      <sz val="9"/>
      <color indexed="81"/>
      <name val="Tahoma"/>
      <family val="2"/>
    </font>
    <font>
      <b/>
      <sz val="9"/>
      <color indexed="81"/>
      <name val="Tahoma"/>
      <family val="2"/>
    </font>
    <font>
      <sz val="11"/>
      <color theme="1"/>
      <name val="Arial"/>
      <family val="2"/>
    </font>
    <font>
      <sz val="10"/>
      <color rgb="FF9C0006"/>
      <name val="Arial"/>
      <family val="2"/>
    </font>
    <font>
      <sz val="10"/>
      <color theme="1"/>
      <name val="Arial"/>
      <family val="2"/>
    </font>
    <font>
      <b/>
      <sz val="18"/>
      <color theme="3"/>
      <name val="Cambria"/>
      <family val="2"/>
    </font>
    <font>
      <sz val="10"/>
      <color indexed="20"/>
      <name val="Arial"/>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sz val="11"/>
      <color indexed="10"/>
      <name val="Calibri"/>
      <family val="2"/>
    </font>
    <font>
      <u/>
      <sz val="7.5"/>
      <color indexed="12"/>
      <name val="Arial"/>
      <family val="2"/>
    </font>
    <font>
      <sz val="12"/>
      <name val="Courier"/>
      <family val="3"/>
    </font>
    <font>
      <b/>
      <sz val="11"/>
      <color indexed="62"/>
      <name val="Calibri"/>
      <family val="2"/>
    </font>
    <font>
      <u/>
      <sz val="10"/>
      <color theme="10"/>
      <name val="Arial"/>
      <family val="2"/>
    </font>
    <font>
      <b/>
      <sz val="8"/>
      <name val="Calibri"/>
      <family val="2"/>
    </font>
    <font>
      <sz val="8"/>
      <name val="Calibri"/>
      <family val="2"/>
    </font>
    <font>
      <sz val="10"/>
      <name val="Calibri"/>
      <family val="2"/>
    </font>
    <font>
      <b/>
      <sz val="10"/>
      <name val="Calibri"/>
      <family val="2"/>
    </font>
    <font>
      <sz val="14"/>
      <color indexed="9"/>
      <name val="Calibri"/>
      <family val="2"/>
    </font>
    <font>
      <sz val="10"/>
      <color indexed="9"/>
      <name val="Calibri"/>
      <family val="2"/>
    </font>
    <font>
      <sz val="8"/>
      <color indexed="9"/>
      <name val="Calibri"/>
      <family val="2"/>
    </font>
    <font>
      <sz val="8"/>
      <color theme="0" tint="-0.249977111117893"/>
      <name val="Calibri"/>
      <family val="2"/>
    </font>
    <font>
      <i/>
      <sz val="10"/>
      <name val="Calibri"/>
      <family val="2"/>
    </font>
    <font>
      <b/>
      <sz val="9"/>
      <name val="Calibri"/>
      <family val="2"/>
    </font>
    <font>
      <sz val="9"/>
      <name val="Calibri"/>
      <family val="2"/>
    </font>
    <font>
      <b/>
      <sz val="11"/>
      <name val="Calibri"/>
      <family val="2"/>
    </font>
    <font>
      <b/>
      <sz val="14"/>
      <color indexed="9"/>
      <name val="Calibri"/>
      <family val="2"/>
    </font>
    <font>
      <b/>
      <sz val="12"/>
      <name val="Calibri"/>
      <family val="2"/>
    </font>
    <font>
      <sz val="10"/>
      <color indexed="53"/>
      <name val="Calibri"/>
      <family val="2"/>
    </font>
    <font>
      <sz val="10"/>
      <color indexed="44"/>
      <name val="Calibri"/>
      <family val="2"/>
    </font>
    <font>
      <b/>
      <sz val="14"/>
      <name val="Calibri"/>
      <family val="2"/>
    </font>
    <font>
      <i/>
      <sz val="8"/>
      <name val="Calibri"/>
      <family val="2"/>
    </font>
    <font>
      <i/>
      <sz val="9"/>
      <name val="Calibri"/>
      <family val="2"/>
    </font>
    <font>
      <b/>
      <sz val="10"/>
      <color indexed="9"/>
      <name val="Calibri"/>
      <family val="2"/>
    </font>
    <font>
      <sz val="10"/>
      <color theme="0" tint="-0.249977111117893"/>
      <name val="Calibri"/>
      <family val="2"/>
    </font>
    <font>
      <b/>
      <vertAlign val="subscript"/>
      <sz val="10"/>
      <name val="Calibri"/>
      <family val="2"/>
    </font>
    <font>
      <sz val="10"/>
      <color indexed="8"/>
      <name val="Calibri"/>
      <family val="2"/>
    </font>
    <font>
      <sz val="9"/>
      <color theme="0" tint="-0.14999847407452621"/>
      <name val="Calibri"/>
      <family val="2"/>
    </font>
    <font>
      <b/>
      <sz val="18"/>
      <color theme="3"/>
      <name val="Calibri"/>
      <family val="2"/>
    </font>
    <font>
      <sz val="10"/>
      <color indexed="22"/>
      <name val="Calibri"/>
      <family val="2"/>
    </font>
    <font>
      <u/>
      <sz val="10"/>
      <color theme="10"/>
      <name val="Calibri"/>
      <family val="2"/>
    </font>
    <font>
      <sz val="9"/>
      <color indexed="8"/>
      <name val="Calibri"/>
      <family val="2"/>
    </font>
    <font>
      <b/>
      <sz val="14"/>
      <color theme="0"/>
      <name val="Arial"/>
      <family val="2"/>
    </font>
    <font>
      <b/>
      <sz val="10"/>
      <color theme="0"/>
      <name val="Arial"/>
      <family val="2"/>
    </font>
    <font>
      <b/>
      <sz val="10"/>
      <color rgb="FF00538B"/>
      <name val="Arial"/>
      <family val="2"/>
    </font>
    <font>
      <b/>
      <sz val="14"/>
      <color indexed="30"/>
      <name val="Arial"/>
      <family val="2"/>
    </font>
    <font>
      <b/>
      <sz val="12"/>
      <color theme="0"/>
      <name val="Arial"/>
      <family val="2"/>
    </font>
    <font>
      <sz val="10"/>
      <name val="Arial"/>
      <family val="2"/>
      <scheme val="major"/>
    </font>
    <font>
      <sz val="10"/>
      <name val="Calibri"/>
      <family val="2"/>
    </font>
    <font>
      <b/>
      <sz val="10"/>
      <name val="Calibri"/>
      <family val="2"/>
    </font>
    <font>
      <vertAlign val="subscript"/>
      <sz val="10"/>
      <name val="Arial"/>
      <family val="2"/>
    </font>
    <font>
      <vertAlign val="superscript"/>
      <sz val="10"/>
      <name val="Arial"/>
      <family val="1"/>
    </font>
    <font>
      <b/>
      <sz val="14"/>
      <name val="Arial"/>
      <family val="2"/>
    </font>
    <font>
      <sz val="10"/>
      <name val="Arial"/>
      <family val="2"/>
    </font>
    <font>
      <sz val="12"/>
      <color indexed="8"/>
      <name val="Tahoma"/>
      <family val="2"/>
    </font>
    <font>
      <sz val="14"/>
      <color indexed="10"/>
      <name val="Arial"/>
      <family val="2"/>
    </font>
    <font>
      <sz val="10"/>
      <color indexed="10"/>
      <name val="Arial"/>
      <family val="2"/>
    </font>
    <font>
      <vertAlign val="subscript"/>
      <sz val="10"/>
      <name val="Arial"/>
      <family val="1"/>
    </font>
    <font>
      <sz val="10"/>
      <name val="Arial"/>
      <family val="1"/>
    </font>
    <font>
      <vertAlign val="superscript"/>
      <sz val="9"/>
      <name val="Times New Roman"/>
      <family val="1"/>
    </font>
    <font>
      <vertAlign val="subscript"/>
      <sz val="10"/>
      <name val="Times New Roman"/>
      <family val="1"/>
    </font>
    <font>
      <sz val="10"/>
      <name val="Arial"/>
      <family val="2"/>
    </font>
    <font>
      <sz val="10"/>
      <color indexed="12"/>
      <name val="Arial"/>
      <family val="2"/>
    </font>
    <font>
      <i/>
      <sz val="8"/>
      <name val="Arial"/>
      <family val="2"/>
    </font>
    <font>
      <vertAlign val="subscript"/>
      <sz val="9"/>
      <name val="Calibri"/>
      <family val="2"/>
    </font>
    <font>
      <sz val="8"/>
      <name val="Arial"/>
      <family val="2"/>
    </font>
    <font>
      <sz val="8"/>
      <name val="Arial"/>
      <family val="2"/>
    </font>
    <font>
      <sz val="8"/>
      <name val="helv"/>
    </font>
    <font>
      <b/>
      <sz val="11"/>
      <color theme="1"/>
      <name val="Arial"/>
      <family val="2"/>
      <scheme val="minor"/>
    </font>
    <font>
      <sz val="10"/>
      <color theme="1"/>
      <name val="Arial"/>
      <family val="2"/>
      <scheme val="minor"/>
    </font>
    <font>
      <b/>
      <sz val="16"/>
      <color theme="1"/>
      <name val="Arial"/>
      <family val="2"/>
      <scheme val="minor"/>
    </font>
    <font>
      <i/>
      <sz val="11"/>
      <color theme="1"/>
      <name val="Arial"/>
      <family val="2"/>
      <scheme val="minor"/>
    </font>
    <font>
      <b/>
      <vertAlign val="subscript"/>
      <sz val="12"/>
      <name val="Arial"/>
      <family val="2"/>
      <scheme val="major"/>
    </font>
    <font>
      <b/>
      <sz val="12"/>
      <name val="Arial"/>
      <family val="2"/>
      <scheme val="major"/>
    </font>
    <font>
      <vertAlign val="subscript"/>
      <sz val="10"/>
      <color theme="1"/>
      <name val="Arial"/>
      <family val="2"/>
      <scheme val="minor"/>
    </font>
    <font>
      <sz val="10"/>
      <name val="Arial"/>
      <family val="2"/>
      <scheme val="minor"/>
    </font>
    <font>
      <sz val="8"/>
      <name val="Arial"/>
      <family val="2"/>
    </font>
    <font>
      <vertAlign val="subscript"/>
      <sz val="10"/>
      <name val="Calibri"/>
      <family val="2"/>
    </font>
    <font>
      <sz val="10"/>
      <color theme="0" tint="-0.499984740745262"/>
      <name val="Calibri"/>
      <family val="2"/>
    </font>
    <font>
      <vertAlign val="subscript"/>
      <sz val="9"/>
      <color theme="0" tint="-0.499984740745262"/>
      <name val="Calibri"/>
      <family val="2"/>
    </font>
    <font>
      <vertAlign val="subscript"/>
      <sz val="10"/>
      <color theme="0" tint="-0.499984740745262"/>
      <name val="Calibri"/>
      <family val="2"/>
    </font>
    <font>
      <b/>
      <i/>
      <sz val="9"/>
      <name val="Calibri"/>
      <family val="2"/>
    </font>
    <font>
      <sz val="10"/>
      <color theme="0" tint="-0.14999847407452621"/>
      <name val="Calibri"/>
      <family val="2"/>
    </font>
    <font>
      <i/>
      <sz val="10"/>
      <color rgb="FF000000"/>
      <name val="Calibri"/>
      <family val="2"/>
    </font>
    <font>
      <sz val="10"/>
      <color rgb="FF000000"/>
      <name val="Calibri"/>
      <family val="2"/>
    </font>
    <font>
      <sz val="9"/>
      <color theme="1"/>
      <name val="Arial"/>
      <family val="2"/>
      <scheme val="minor"/>
    </font>
    <font>
      <i/>
      <vertAlign val="subscript"/>
      <sz val="9"/>
      <name val="Calibri"/>
      <family val="2"/>
    </font>
    <font>
      <i/>
      <sz val="9"/>
      <color rgb="FF000000"/>
      <name val="Calibri"/>
      <family val="2"/>
    </font>
    <font>
      <b/>
      <i/>
      <sz val="9"/>
      <color rgb="FF000000"/>
      <name val="Calibri"/>
      <family val="2"/>
    </font>
    <font>
      <b/>
      <sz val="9"/>
      <color rgb="FF000000"/>
      <name val="Calibri"/>
      <family val="2"/>
    </font>
    <font>
      <sz val="9"/>
      <color rgb="FF000000"/>
      <name val="Calibri"/>
      <family val="2"/>
    </font>
  </fonts>
  <fills count="56">
    <fill>
      <patternFill patternType="none"/>
    </fill>
    <fill>
      <patternFill patternType="gray125"/>
    </fill>
    <fill>
      <patternFill patternType="solid">
        <fgColor indexed="9"/>
      </patternFill>
    </fill>
    <fill>
      <patternFill patternType="solid">
        <fgColor indexed="26"/>
      </patternFill>
    </fill>
    <fill>
      <patternFill patternType="solid">
        <fgColor indexed="22"/>
        <bgColor indexed="64"/>
      </patternFill>
    </fill>
    <fill>
      <patternFill patternType="darkTrellis"/>
    </fill>
    <fill>
      <patternFill patternType="solid">
        <fgColor indexed="9"/>
        <bgColor indexed="64"/>
      </patternFill>
    </fill>
    <fill>
      <patternFill patternType="solid">
        <fgColor indexed="26"/>
        <bgColor indexed="41"/>
      </patternFill>
    </fill>
    <fill>
      <patternFill patternType="solid">
        <fgColor indexed="26"/>
        <bgColor indexed="31"/>
      </patternFill>
    </fill>
    <fill>
      <patternFill patternType="solid">
        <fgColor indexed="22"/>
        <bgColor indexed="26"/>
      </patternFill>
    </fill>
    <fill>
      <patternFill patternType="solid">
        <fgColor indexed="42"/>
        <bgColor indexed="64"/>
      </patternFill>
    </fill>
    <fill>
      <patternFill patternType="solid">
        <fgColor indexed="43"/>
        <bgColor indexed="64"/>
      </patternFill>
    </fill>
    <fill>
      <patternFill patternType="solid">
        <fgColor indexed="20"/>
        <bgColor indexed="64"/>
      </patternFill>
    </fill>
    <fill>
      <patternFill patternType="solid">
        <fgColor indexed="44"/>
        <bgColor indexed="64"/>
      </patternFill>
    </fill>
    <fill>
      <patternFill patternType="solid">
        <fgColor rgb="FFFFC7CE"/>
      </patternFill>
    </fill>
    <fill>
      <patternFill patternType="solid">
        <fgColor theme="0" tint="-4.9989318521683403E-2"/>
        <bgColor indexed="64"/>
      </patternFill>
    </fill>
    <fill>
      <patternFill patternType="solid">
        <fgColor indexed="31"/>
      </patternFill>
    </fill>
    <fill>
      <patternFill patternType="solid">
        <fgColor indexed="47"/>
      </patternFill>
    </fill>
    <fill>
      <patternFill patternType="solid">
        <fgColor indexed="45"/>
      </patternFill>
    </fill>
    <fill>
      <patternFill patternType="solid">
        <fgColor indexed="29"/>
      </patternFill>
    </fill>
    <fill>
      <patternFill patternType="solid">
        <fgColor indexed="42"/>
      </patternFill>
    </fill>
    <fill>
      <patternFill patternType="solid">
        <fgColor indexed="46"/>
      </patternFill>
    </fill>
    <fill>
      <patternFill patternType="solid">
        <fgColor indexed="27"/>
      </patternFill>
    </fill>
    <fill>
      <patternFill patternType="solid">
        <fgColor indexed="44"/>
      </patternFill>
    </fill>
    <fill>
      <patternFill patternType="solid">
        <fgColor indexed="22"/>
      </patternFill>
    </fill>
    <fill>
      <patternFill patternType="solid">
        <fgColor indexed="11"/>
      </patternFill>
    </fill>
    <fill>
      <patternFill patternType="solid">
        <fgColor indexed="43"/>
      </patternFill>
    </fill>
    <fill>
      <patternFill patternType="solid">
        <fgColor indexed="51"/>
      </patternFill>
    </fill>
    <fill>
      <patternFill patternType="solid">
        <fgColor indexed="30"/>
      </patternFill>
    </fill>
    <fill>
      <patternFill patternType="solid">
        <fgColor indexed="49"/>
      </patternFill>
    </fill>
    <fill>
      <patternFill patternType="solid">
        <fgColor indexed="36"/>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4"/>
      </patternFill>
    </fill>
    <fill>
      <patternFill patternType="solid">
        <fgColor indexed="53"/>
      </patternFill>
    </fill>
    <fill>
      <patternFill patternType="solid">
        <fgColor indexed="55"/>
      </patternFill>
    </fill>
    <fill>
      <patternFill patternType="solid">
        <fgColor rgb="FF99CCFF"/>
        <bgColor indexed="64"/>
      </patternFill>
    </fill>
    <fill>
      <patternFill patternType="solid">
        <fgColor theme="0" tint="-0.14999847407452621"/>
        <bgColor indexed="64"/>
      </patternFill>
    </fill>
    <fill>
      <patternFill patternType="solid">
        <fgColor theme="8" tint="0.59999389629810485"/>
        <bgColor indexed="64"/>
      </patternFill>
    </fill>
    <fill>
      <patternFill patternType="solid">
        <fgColor rgb="FFFFFF99"/>
        <bgColor indexed="64"/>
      </patternFill>
    </fill>
    <fill>
      <patternFill patternType="solid">
        <fgColor rgb="FFD8E0E3"/>
        <bgColor indexed="64"/>
      </patternFill>
    </fill>
    <fill>
      <patternFill patternType="solid">
        <fgColor rgb="FF00538B"/>
        <bgColor indexed="64"/>
      </patternFill>
    </fill>
    <fill>
      <patternFill patternType="solid">
        <fgColor theme="0"/>
        <bgColor indexed="64"/>
      </patternFill>
    </fill>
    <fill>
      <patternFill patternType="solid">
        <fgColor rgb="FFCCFFCC"/>
        <bgColor indexed="64"/>
      </patternFill>
    </fill>
    <fill>
      <patternFill patternType="solid">
        <fgColor rgb="FFCCFFCC"/>
        <bgColor rgb="FF000000"/>
      </patternFill>
    </fill>
    <fill>
      <patternFill patternType="solid">
        <fgColor rgb="FFFFFF99"/>
        <bgColor rgb="FF000000"/>
      </patternFill>
    </fill>
    <fill>
      <patternFill patternType="solid">
        <fgColor theme="0" tint="-0.499984740745262"/>
        <bgColor indexed="64"/>
      </patternFill>
    </fill>
    <fill>
      <patternFill patternType="solid">
        <fgColor rgb="FFFFFF00"/>
        <bgColor indexed="64"/>
      </patternFill>
    </fill>
    <fill>
      <patternFill patternType="solid">
        <fgColor rgb="FFFFC000"/>
        <bgColor indexed="64"/>
      </patternFill>
    </fill>
    <fill>
      <patternFill patternType="solid">
        <fgColor theme="0" tint="-0.249977111117893"/>
        <bgColor indexed="64"/>
      </patternFill>
    </fill>
    <fill>
      <patternFill patternType="solid">
        <fgColor indexed="47"/>
        <bgColor indexed="64"/>
      </patternFill>
    </fill>
    <fill>
      <patternFill patternType="solid">
        <fgColor theme="5" tint="0.79998168889431442"/>
        <bgColor indexed="64"/>
      </patternFill>
    </fill>
    <fill>
      <patternFill patternType="solid">
        <fgColor theme="6" tint="0.79998168889431442"/>
        <bgColor indexed="64"/>
      </patternFill>
    </fill>
    <fill>
      <patternFill patternType="solid">
        <fgColor theme="7"/>
        <bgColor indexed="64"/>
      </patternFill>
    </fill>
  </fills>
  <borders count="74">
    <border>
      <left/>
      <right/>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22"/>
      </left>
      <right style="thin">
        <color indexed="22"/>
      </right>
      <top style="thin">
        <color indexed="22"/>
      </top>
      <bottom style="thin">
        <color indexed="22"/>
      </bottom>
      <diagonal/>
    </border>
    <border>
      <left/>
      <right/>
      <top/>
      <bottom style="thin">
        <color indexed="64"/>
      </bottom>
      <diagonal/>
    </border>
    <border>
      <left style="thin">
        <color indexed="8"/>
      </left>
      <right style="thin">
        <color indexed="8"/>
      </right>
      <top/>
      <bottom style="thin">
        <color indexed="8"/>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style="thin">
        <color indexed="8"/>
      </left>
      <right style="thin">
        <color indexed="8"/>
      </right>
      <top style="thin">
        <color indexed="8"/>
      </top>
      <bottom style="thin">
        <color indexed="8"/>
      </bottom>
      <diagonal/>
    </border>
    <border>
      <left/>
      <right/>
      <top/>
      <bottom style="thick">
        <color indexed="8"/>
      </bottom>
      <diagonal/>
    </border>
    <border>
      <left/>
      <right style="thick">
        <color indexed="8"/>
      </right>
      <top/>
      <bottom/>
      <diagonal/>
    </border>
    <border>
      <left style="thin">
        <color indexed="8"/>
      </left>
      <right style="thin">
        <color indexed="8"/>
      </right>
      <top/>
      <bottom/>
      <diagonal/>
    </border>
    <border>
      <left style="thin">
        <color indexed="8"/>
      </left>
      <right/>
      <top/>
      <bottom/>
      <diagonal/>
    </border>
    <border>
      <left style="thin">
        <color indexed="8"/>
      </left>
      <right/>
      <top style="thin">
        <color indexed="8"/>
      </top>
      <bottom style="thin">
        <color indexed="8"/>
      </bottom>
      <diagonal/>
    </border>
    <border>
      <left/>
      <right style="thin">
        <color indexed="8"/>
      </right>
      <top/>
      <bottom/>
      <diagonal/>
    </border>
    <border>
      <left/>
      <right style="thin">
        <color indexed="8"/>
      </right>
      <top style="thin">
        <color indexed="8"/>
      </top>
      <bottom style="thin">
        <color indexed="8"/>
      </bottom>
      <diagonal/>
    </border>
    <border>
      <left/>
      <right/>
      <top style="thin">
        <color indexed="8"/>
      </top>
      <bottom style="thin">
        <color indexed="8"/>
      </bottom>
      <diagonal/>
    </border>
    <border>
      <left style="thin">
        <color indexed="8"/>
      </left>
      <right style="thin">
        <color indexed="8"/>
      </right>
      <top style="thin">
        <color indexed="8"/>
      </top>
      <bottom/>
      <diagonal/>
    </border>
    <border>
      <left style="thin">
        <color indexed="8"/>
      </left>
      <right/>
      <top style="thin">
        <color indexed="8"/>
      </top>
      <bottom/>
      <diagonal/>
    </border>
    <border>
      <left/>
      <right/>
      <top style="thin">
        <color indexed="8"/>
      </top>
      <bottom/>
      <diagonal/>
    </border>
    <border>
      <left/>
      <right style="thin">
        <color indexed="8"/>
      </right>
      <top style="thin">
        <color indexed="8"/>
      </top>
      <bottom/>
      <diagonal/>
    </border>
    <border>
      <left style="thin">
        <color indexed="64"/>
      </left>
      <right/>
      <top/>
      <bottom/>
      <diagonal/>
    </border>
    <border>
      <left/>
      <right/>
      <top style="double">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bottom style="thin">
        <color indexed="64"/>
      </bottom>
      <diagonal/>
    </border>
    <border>
      <left/>
      <right/>
      <top style="medium">
        <color indexed="64"/>
      </top>
      <bottom style="thin">
        <color indexed="64"/>
      </bottom>
      <diagonal/>
    </border>
    <border>
      <left/>
      <right/>
      <top/>
      <bottom style="medium">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medium">
        <color indexed="30"/>
      </bottom>
      <diagonal/>
    </border>
    <border>
      <left/>
      <right/>
      <top/>
      <bottom style="medium">
        <color indexed="49"/>
      </bottom>
      <diagonal/>
    </border>
    <border>
      <left/>
      <right/>
      <top/>
      <bottom style="double">
        <color indexed="52"/>
      </bottom>
      <diagonal/>
    </border>
    <border>
      <left style="thin">
        <color indexed="63"/>
      </left>
      <right style="thin">
        <color indexed="63"/>
      </right>
      <top style="thin">
        <color indexed="63"/>
      </top>
      <bottom style="thin">
        <color indexed="63"/>
      </bottom>
      <diagonal/>
    </border>
    <border>
      <left/>
      <right/>
      <top style="double">
        <color indexed="0"/>
      </top>
      <bottom/>
      <diagonal/>
    </border>
    <border>
      <left style="medium">
        <color rgb="FF00A2E0"/>
      </left>
      <right/>
      <top style="medium">
        <color rgb="FF00A2E0"/>
      </top>
      <bottom style="medium">
        <color rgb="FF00A2E0"/>
      </bottom>
      <diagonal/>
    </border>
    <border>
      <left/>
      <right style="medium">
        <color rgb="FF00A2E0"/>
      </right>
      <top style="medium">
        <color rgb="FF00A2E0"/>
      </top>
      <bottom style="medium">
        <color rgb="FF00A2E0"/>
      </bottom>
      <diagonal/>
    </border>
    <border>
      <left style="medium">
        <color rgb="FF00A2E0"/>
      </left>
      <right/>
      <top/>
      <bottom/>
      <diagonal/>
    </border>
    <border>
      <left/>
      <right style="medium">
        <color rgb="FF00A2E0"/>
      </right>
      <top/>
      <bottom/>
      <diagonal/>
    </border>
    <border>
      <left style="medium">
        <color rgb="FF00A2E0"/>
      </left>
      <right/>
      <top/>
      <bottom style="medium">
        <color rgb="FF00A2E0"/>
      </bottom>
      <diagonal/>
    </border>
    <border>
      <left/>
      <right style="medium">
        <color rgb="FF00A2E0"/>
      </right>
      <top/>
      <bottom style="medium">
        <color rgb="FF00A2E0"/>
      </bottom>
      <diagonal/>
    </border>
    <border>
      <left/>
      <right style="medium">
        <color rgb="FF00A2E0"/>
      </right>
      <top style="medium">
        <color rgb="FF00A2E0"/>
      </top>
      <bottom/>
      <diagonal/>
    </border>
    <border>
      <left style="medium">
        <color rgb="FF00A2E0"/>
      </left>
      <right/>
      <top style="medium">
        <color rgb="FF00A2E0"/>
      </top>
      <bottom/>
      <diagonal/>
    </border>
    <border>
      <left/>
      <right/>
      <top/>
      <bottom style="medium">
        <color rgb="FF00A2E0"/>
      </bottom>
      <diagonal/>
    </border>
    <border>
      <left style="medium">
        <color indexed="64"/>
      </left>
      <right/>
      <top style="medium">
        <color indexed="64"/>
      </top>
      <bottom/>
      <diagonal/>
    </border>
    <border>
      <left/>
      <right/>
      <top style="medium">
        <color indexed="64"/>
      </top>
      <bottom/>
      <diagonal/>
    </border>
    <border>
      <left style="medium">
        <color indexed="64"/>
      </left>
      <right/>
      <top/>
      <bottom style="medium">
        <color indexed="64"/>
      </bottom>
      <diagonal/>
    </border>
    <border>
      <left style="medium">
        <color indexed="64"/>
      </left>
      <right/>
      <top style="medium">
        <color indexed="64"/>
      </top>
      <bottom style="double">
        <color indexed="64"/>
      </bottom>
      <diagonal/>
    </border>
    <border>
      <left/>
      <right/>
      <top style="medium">
        <color indexed="64"/>
      </top>
      <bottom style="double">
        <color indexed="64"/>
      </bottom>
      <diagonal/>
    </border>
    <border>
      <left/>
      <right style="medium">
        <color indexed="64"/>
      </right>
      <top style="medium">
        <color indexed="64"/>
      </top>
      <bottom style="double">
        <color indexed="64"/>
      </bottom>
      <diagonal/>
    </border>
    <border>
      <left style="medium">
        <color indexed="64"/>
      </left>
      <right/>
      <top/>
      <bottom/>
      <diagonal/>
    </border>
    <border>
      <left/>
      <right style="medium">
        <color indexed="64"/>
      </right>
      <top/>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bottom style="medium">
        <color indexed="64"/>
      </bottom>
      <diagonal/>
    </border>
    <border>
      <left style="thick">
        <color indexed="64"/>
      </left>
      <right/>
      <top/>
      <bottom style="thick">
        <color indexed="64"/>
      </bottom>
      <diagonal/>
    </border>
    <border>
      <left/>
      <right/>
      <top/>
      <bottom style="thick">
        <color indexed="64"/>
      </bottom>
      <diagonal/>
    </border>
    <border>
      <left/>
      <right style="thick">
        <color indexed="64"/>
      </right>
      <top/>
      <bottom style="thick">
        <color indexed="64"/>
      </bottom>
      <diagonal/>
    </border>
    <border>
      <left style="medium">
        <color rgb="FF00A2E0"/>
      </left>
      <right/>
      <top/>
      <bottom style="medium">
        <color rgb="FF00B0F0"/>
      </bottom>
      <diagonal/>
    </border>
    <border>
      <left/>
      <right style="medium">
        <color rgb="FF00B0F0"/>
      </right>
      <top/>
      <bottom/>
      <diagonal/>
    </border>
    <border>
      <left/>
      <right style="medium">
        <color rgb="FF00B0F0"/>
      </right>
      <top style="medium">
        <color rgb="FF00A2E0"/>
      </top>
      <bottom style="medium">
        <color rgb="FF00A2E0"/>
      </bottom>
      <diagonal/>
    </border>
    <border>
      <left/>
      <right style="medium">
        <color rgb="FF00B0F0"/>
      </right>
      <top/>
      <bottom style="medium">
        <color rgb="FF00A2E0"/>
      </bottom>
      <diagonal/>
    </border>
    <border>
      <left/>
      <right style="medium">
        <color rgb="FF00B0F0"/>
      </right>
      <top style="medium">
        <color rgb="FF00A2E0"/>
      </top>
      <bottom/>
      <diagonal/>
    </border>
    <border>
      <left/>
      <right style="medium">
        <color indexed="64"/>
      </right>
      <top style="medium">
        <color indexed="64"/>
      </top>
      <bottom/>
      <diagonal/>
    </border>
    <border>
      <left style="thin">
        <color indexed="64"/>
      </left>
      <right style="thin">
        <color indexed="64"/>
      </right>
      <top/>
      <bottom/>
      <diagonal/>
    </border>
  </borders>
  <cellStyleXfs count="554">
    <xf numFmtId="0" fontId="0" fillId="0" borderId="0"/>
    <xf numFmtId="0" fontId="42" fillId="2" borderId="0"/>
    <xf numFmtId="180" fontId="7" fillId="0" borderId="1" applyBorder="0"/>
    <xf numFmtId="180" fontId="34" fillId="0" borderId="1" applyBorder="0"/>
    <xf numFmtId="190" fontId="7" fillId="0" borderId="1" applyBorder="0"/>
    <xf numFmtId="180" fontId="7" fillId="0" borderId="1" applyBorder="0"/>
    <xf numFmtId="180" fontId="7" fillId="0" borderId="1" applyBorder="0"/>
    <xf numFmtId="180" fontId="7" fillId="0" borderId="1" applyBorder="0"/>
    <xf numFmtId="185" fontId="7" fillId="0" borderId="1" applyBorder="0"/>
    <xf numFmtId="194" fontId="7" fillId="0" borderId="1" applyBorder="0"/>
    <xf numFmtId="180" fontId="7" fillId="0" borderId="1" applyBorder="0"/>
    <xf numFmtId="180" fontId="7" fillId="0" borderId="1" applyBorder="0"/>
    <xf numFmtId="190" fontId="7" fillId="0" borderId="1" applyBorder="0"/>
    <xf numFmtId="195" fontId="7" fillId="0" borderId="1" applyBorder="0"/>
    <xf numFmtId="177" fontId="7" fillId="0" borderId="1" applyBorder="0"/>
    <xf numFmtId="177" fontId="34" fillId="0" borderId="1" applyBorder="0"/>
    <xf numFmtId="176" fontId="7" fillId="0" borderId="1" applyBorder="0"/>
    <xf numFmtId="177" fontId="7" fillId="0" borderId="1" applyBorder="0"/>
    <xf numFmtId="0" fontId="7" fillId="0" borderId="1" applyBorder="0"/>
    <xf numFmtId="177" fontId="7" fillId="0" borderId="1" applyBorder="0"/>
    <xf numFmtId="0" fontId="7" fillId="0" borderId="1" applyBorder="0"/>
    <xf numFmtId="177" fontId="7" fillId="0" borderId="1" applyBorder="0"/>
    <xf numFmtId="177" fontId="7" fillId="0" borderId="1" applyBorder="0"/>
    <xf numFmtId="177" fontId="7" fillId="0" borderId="1" applyBorder="0"/>
    <xf numFmtId="177" fontId="7" fillId="0" borderId="1" applyBorder="0"/>
    <xf numFmtId="177" fontId="7" fillId="0" borderId="1" applyBorder="0"/>
    <xf numFmtId="177" fontId="7" fillId="0" borderId="1" applyBorder="0"/>
    <xf numFmtId="192" fontId="7" fillId="0" borderId="1" applyBorder="0"/>
    <xf numFmtId="177" fontId="7" fillId="0" borderId="1" applyBorder="0"/>
    <xf numFmtId="49" fontId="18" fillId="0" borderId="2" applyNumberFormat="0" applyFont="0" applyFill="0" applyBorder="0" applyProtection="0">
      <alignment horizontal="left" vertical="center" indent="2"/>
    </xf>
    <xf numFmtId="183" fontId="7" fillId="0" borderId="1"/>
    <xf numFmtId="183" fontId="34" fillId="0" borderId="1"/>
    <xf numFmtId="183" fontId="7" fillId="0" borderId="1"/>
    <xf numFmtId="183" fontId="7" fillId="0" borderId="1"/>
    <xf numFmtId="183" fontId="7" fillId="0" borderId="1"/>
    <xf numFmtId="183" fontId="7" fillId="0" borderId="1"/>
    <xf numFmtId="196" fontId="7" fillId="0" borderId="1"/>
    <xf numFmtId="183" fontId="7" fillId="0" borderId="1"/>
    <xf numFmtId="184" fontId="7" fillId="0" borderId="1"/>
    <xf numFmtId="184" fontId="34" fillId="0" borderId="1"/>
    <xf numFmtId="184" fontId="7" fillId="0" borderId="1"/>
    <xf numFmtId="184" fontId="7" fillId="0" borderId="1"/>
    <xf numFmtId="184" fontId="7" fillId="0" borderId="1"/>
    <xf numFmtId="184" fontId="7" fillId="0" borderId="1"/>
    <xf numFmtId="184" fontId="7" fillId="0" borderId="1"/>
    <xf numFmtId="185" fontId="7" fillId="0" borderId="1"/>
    <xf numFmtId="185" fontId="34" fillId="0" borderId="1"/>
    <xf numFmtId="185" fontId="7" fillId="0" borderId="1"/>
    <xf numFmtId="185" fontId="7" fillId="0" borderId="1"/>
    <xf numFmtId="185" fontId="7" fillId="0" borderId="1"/>
    <xf numFmtId="185" fontId="7" fillId="0" borderId="1"/>
    <xf numFmtId="185" fontId="7" fillId="0" borderId="1"/>
    <xf numFmtId="49" fontId="18" fillId="0" borderId="3" applyNumberFormat="0" applyFont="0" applyFill="0" applyBorder="0" applyProtection="0">
      <alignment horizontal="left" vertical="center" indent="5"/>
    </xf>
    <xf numFmtId="186" fontId="7" fillId="0" borderId="1"/>
    <xf numFmtId="186" fontId="34" fillId="0" borderId="1"/>
    <xf numFmtId="186" fontId="7" fillId="0" borderId="1"/>
    <xf numFmtId="186" fontId="7" fillId="0" borderId="1"/>
    <xf numFmtId="186" fontId="7" fillId="0" borderId="1"/>
    <xf numFmtId="186" fontId="7" fillId="0" borderId="1"/>
    <xf numFmtId="186" fontId="7" fillId="0" borderId="1"/>
    <xf numFmtId="0" fontId="57" fillId="14" borderId="0" applyNumberFormat="0" applyBorder="0" applyAlignment="0" applyProtection="0"/>
    <xf numFmtId="4" fontId="19" fillId="0" borderId="4" applyFill="0" applyBorder="0" applyProtection="0">
      <alignment horizontal="right" vertical="center"/>
    </xf>
    <xf numFmtId="43" fontId="7" fillId="0" borderId="0" applyFont="0" applyFill="0" applyBorder="0" applyAlignment="0" applyProtection="0"/>
    <xf numFmtId="43" fontId="6"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3" fontId="7" fillId="0" borderId="0" applyFont="0" applyFill="0" applyBorder="0" applyAlignment="0" applyProtection="0"/>
    <xf numFmtId="188" fontId="32" fillId="0" borderId="0">
      <protection locked="0"/>
    </xf>
    <xf numFmtId="188" fontId="37" fillId="0" borderId="0">
      <protection locked="0"/>
    </xf>
    <xf numFmtId="188" fontId="37" fillId="0" borderId="0">
      <protection locked="0"/>
    </xf>
    <xf numFmtId="188" fontId="37" fillId="0" borderId="0">
      <protection locked="0"/>
    </xf>
    <xf numFmtId="44" fontId="7" fillId="0" borderId="0" applyFont="0" applyFill="0" applyBorder="0" applyAlignment="0" applyProtection="0"/>
    <xf numFmtId="44" fontId="7" fillId="0" borderId="0" applyFont="0" applyFill="0" applyBorder="0" applyAlignment="0" applyProtection="0"/>
    <xf numFmtId="44" fontId="7" fillId="0" borderId="0" applyFont="0" applyFill="0" applyBorder="0" applyAlignment="0" applyProtection="0"/>
    <xf numFmtId="171" fontId="7" fillId="0" borderId="0" applyFont="0" applyFill="0" applyBorder="0" applyAlignment="0" applyProtection="0"/>
    <xf numFmtId="188" fontId="32" fillId="0" borderId="0">
      <protection locked="0"/>
    </xf>
    <xf numFmtId="188" fontId="37" fillId="0" borderId="0">
      <protection locked="0"/>
    </xf>
    <xf numFmtId="188" fontId="37" fillId="0" borderId="0">
      <protection locked="0"/>
    </xf>
    <xf numFmtId="188" fontId="37" fillId="0" borderId="0">
      <protection locked="0"/>
    </xf>
    <xf numFmtId="0" fontId="7" fillId="0" borderId="0" applyFont="0" applyFill="0" applyBorder="0" applyAlignment="0" applyProtection="0"/>
    <xf numFmtId="188" fontId="32" fillId="0" borderId="0">
      <protection locked="0"/>
    </xf>
    <xf numFmtId="188" fontId="37" fillId="0" borderId="0">
      <protection locked="0"/>
    </xf>
    <xf numFmtId="188" fontId="37" fillId="0" borderId="0">
      <protection locked="0"/>
    </xf>
    <xf numFmtId="188" fontId="37" fillId="0" borderId="0">
      <protection locked="0"/>
    </xf>
    <xf numFmtId="2" fontId="7" fillId="0" borderId="0" applyFont="0" applyFill="0" applyBorder="0" applyAlignment="0" applyProtection="0"/>
    <xf numFmtId="188" fontId="32" fillId="0" borderId="0">
      <protection locked="0"/>
    </xf>
    <xf numFmtId="188" fontId="37" fillId="0" borderId="0">
      <protection locked="0"/>
    </xf>
    <xf numFmtId="188" fontId="37" fillId="0" borderId="0">
      <protection locked="0"/>
    </xf>
    <xf numFmtId="188" fontId="37" fillId="0" borderId="0">
      <protection locked="0"/>
    </xf>
    <xf numFmtId="176" fontId="26" fillId="0" borderId="0"/>
    <xf numFmtId="181" fontId="26" fillId="0" borderId="0"/>
    <xf numFmtId="177" fontId="26" fillId="0" borderId="0"/>
    <xf numFmtId="179" fontId="26" fillId="0" borderId="0"/>
    <xf numFmtId="189" fontId="26" fillId="0" borderId="0"/>
    <xf numFmtId="176" fontId="26" fillId="0" borderId="0"/>
    <xf numFmtId="177" fontId="26" fillId="0" borderId="0"/>
    <xf numFmtId="175" fontId="26" fillId="0" borderId="0"/>
    <xf numFmtId="189" fontId="26" fillId="0" borderId="0"/>
    <xf numFmtId="197" fontId="26" fillId="0" borderId="0"/>
    <xf numFmtId="180" fontId="26" fillId="0" borderId="0"/>
    <xf numFmtId="176" fontId="26" fillId="0" borderId="0"/>
    <xf numFmtId="191" fontId="26" fillId="0" borderId="0"/>
    <xf numFmtId="198" fontId="26" fillId="0" borderId="0"/>
    <xf numFmtId="0" fontId="26" fillId="0" borderId="0"/>
    <xf numFmtId="178" fontId="26" fillId="0" borderId="0"/>
    <xf numFmtId="176" fontId="26" fillId="0" borderId="0"/>
    <xf numFmtId="174" fontId="26" fillId="0" borderId="0"/>
    <xf numFmtId="181" fontId="26" fillId="0" borderId="0"/>
    <xf numFmtId="177" fontId="26" fillId="0" borderId="0"/>
    <xf numFmtId="193" fontId="26" fillId="0" borderId="0"/>
    <xf numFmtId="179" fontId="26" fillId="0" borderId="0"/>
    <xf numFmtId="0" fontId="13" fillId="0" borderId="0">
      <alignment horizontal="center" wrapText="1"/>
    </xf>
    <xf numFmtId="188" fontId="32" fillId="0" borderId="0">
      <protection locked="0"/>
    </xf>
    <xf numFmtId="188" fontId="37" fillId="0" borderId="0">
      <protection locked="0"/>
    </xf>
    <xf numFmtId="188" fontId="37" fillId="0" borderId="0">
      <protection locked="0"/>
    </xf>
    <xf numFmtId="188" fontId="37" fillId="0" borderId="0">
      <protection locked="0"/>
    </xf>
    <xf numFmtId="188" fontId="37" fillId="0" borderId="0">
      <protection locked="0"/>
    </xf>
    <xf numFmtId="188" fontId="37" fillId="0" borderId="0">
      <protection locked="0"/>
    </xf>
    <xf numFmtId="188" fontId="33" fillId="0" borderId="0">
      <protection locked="0"/>
    </xf>
    <xf numFmtId="188" fontId="43" fillId="0" borderId="0">
      <protection locked="0"/>
    </xf>
    <xf numFmtId="188" fontId="43" fillId="0" borderId="0">
      <protection locked="0"/>
    </xf>
    <xf numFmtId="188" fontId="43" fillId="0" borderId="0">
      <protection locked="0"/>
    </xf>
    <xf numFmtId="188" fontId="43" fillId="0" borderId="0">
      <protection locked="0"/>
    </xf>
    <xf numFmtId="188" fontId="43" fillId="0" borderId="0">
      <protection locked="0"/>
    </xf>
    <xf numFmtId="0" fontId="13" fillId="0" borderId="0">
      <alignment horizontal="center" wrapText="1"/>
    </xf>
    <xf numFmtId="0" fontId="44" fillId="0" borderId="0" applyNumberFormat="0" applyFill="0" applyBorder="0" applyAlignment="0" applyProtection="0"/>
    <xf numFmtId="0" fontId="27" fillId="0" borderId="0" applyNumberFormat="0" applyFill="0" applyBorder="0" applyAlignment="0" applyProtection="0"/>
    <xf numFmtId="0" fontId="20" fillId="0" borderId="0" applyNumberFormat="0" applyFill="0" applyBorder="0" applyAlignment="0" applyProtection="0"/>
    <xf numFmtId="0" fontId="35" fillId="0" borderId="0" applyNumberFormat="0" applyFill="0" applyBorder="0" applyAlignment="0" applyProtection="0">
      <alignment vertical="top"/>
      <protection locked="0"/>
    </xf>
    <xf numFmtId="0" fontId="25" fillId="0" borderId="0" applyNumberFormat="0" applyFill="0" applyBorder="0" applyAlignment="0" applyProtection="0">
      <alignment vertical="top"/>
      <protection locked="0"/>
    </xf>
    <xf numFmtId="0" fontId="25" fillId="0" borderId="0" applyNumberFormat="0" applyFill="0" applyBorder="0" applyAlignment="0" applyProtection="0">
      <alignment vertical="top"/>
      <protection locked="0"/>
    </xf>
    <xf numFmtId="0" fontId="25" fillId="0" borderId="0" applyNumberFormat="0" applyFill="0" applyBorder="0" applyAlignment="0" applyProtection="0">
      <alignment vertical="top"/>
      <protection locked="0"/>
    </xf>
    <xf numFmtId="0" fontId="45" fillId="0" borderId="0" applyNumberFormat="0" applyFill="0" applyBorder="0" applyAlignment="0" applyProtection="0">
      <alignment vertical="top"/>
      <protection locked="0"/>
    </xf>
    <xf numFmtId="0" fontId="25" fillId="0" borderId="0" applyNumberFormat="0" applyFill="0" applyBorder="0" applyAlignment="0" applyProtection="0">
      <alignment vertical="top"/>
      <protection locked="0"/>
    </xf>
    <xf numFmtId="0" fontId="7" fillId="0" borderId="0"/>
    <xf numFmtId="0" fontId="56" fillId="0" borderId="0"/>
    <xf numFmtId="0" fontId="7" fillId="0" borderId="0"/>
    <xf numFmtId="0" fontId="7" fillId="0" borderId="0"/>
    <xf numFmtId="0" fontId="7" fillId="0" borderId="0"/>
    <xf numFmtId="0" fontId="36" fillId="0" borderId="0"/>
    <xf numFmtId="0" fontId="6"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6" fillId="0" borderId="0"/>
    <xf numFmtId="0" fontId="7" fillId="0" borderId="0"/>
    <xf numFmtId="0" fontId="46" fillId="0" borderId="0"/>
    <xf numFmtId="0" fontId="7" fillId="0" borderId="0"/>
    <xf numFmtId="0" fontId="7" fillId="0" borderId="0"/>
    <xf numFmtId="0" fontId="6" fillId="0" borderId="0"/>
    <xf numFmtId="0" fontId="7" fillId="0" borderId="0"/>
    <xf numFmtId="0" fontId="6" fillId="0" borderId="0"/>
    <xf numFmtId="0" fontId="53" fillId="0" borderId="0"/>
    <xf numFmtId="0" fontId="47" fillId="0" borderId="0"/>
    <xf numFmtId="0" fontId="7" fillId="0" borderId="0">
      <alignment vertical="top"/>
    </xf>
    <xf numFmtId="0" fontId="7" fillId="0" borderId="0"/>
    <xf numFmtId="0" fontId="36" fillId="0" borderId="0"/>
    <xf numFmtId="0" fontId="47" fillId="0" borderId="0"/>
    <xf numFmtId="0" fontId="6" fillId="0" borderId="0"/>
    <xf numFmtId="0" fontId="36" fillId="0" borderId="0"/>
    <xf numFmtId="37" fontId="31" fillId="0" borderId="0"/>
    <xf numFmtId="0" fontId="7" fillId="0" borderId="0"/>
    <xf numFmtId="0" fontId="7" fillId="0" borderId="0"/>
    <xf numFmtId="0" fontId="9" fillId="0" borderId="0"/>
    <xf numFmtId="0" fontId="6" fillId="0" borderId="0"/>
    <xf numFmtId="0" fontId="47" fillId="0" borderId="0"/>
    <xf numFmtId="0" fontId="7" fillId="0" borderId="0"/>
    <xf numFmtId="0" fontId="7" fillId="0" borderId="0"/>
    <xf numFmtId="0" fontId="56" fillId="0" borderId="0"/>
    <xf numFmtId="0" fontId="47" fillId="0" borderId="0"/>
    <xf numFmtId="0" fontId="7" fillId="0" borderId="0"/>
    <xf numFmtId="0" fontId="58" fillId="0" borderId="0"/>
    <xf numFmtId="0" fontId="56" fillId="0" borderId="0"/>
    <xf numFmtId="0" fontId="7" fillId="0" borderId="0"/>
    <xf numFmtId="0" fontId="56" fillId="0" borderId="0"/>
    <xf numFmtId="0" fontId="7" fillId="0" borderId="0"/>
    <xf numFmtId="0" fontId="56" fillId="0" borderId="0"/>
    <xf numFmtId="0" fontId="7" fillId="0" borderId="0"/>
    <xf numFmtId="0" fontId="56" fillId="0" borderId="0"/>
    <xf numFmtId="4" fontId="18" fillId="0" borderId="2" applyFill="0" applyBorder="0" applyProtection="0">
      <alignment horizontal="right" vertical="center"/>
    </xf>
    <xf numFmtId="49" fontId="19" fillId="0" borderId="2" applyNumberFormat="0" applyFill="0" applyBorder="0" applyProtection="0">
      <alignment horizontal="left" vertical="center"/>
    </xf>
    <xf numFmtId="0" fontId="18" fillId="0" borderId="2" applyNumberFormat="0" applyFill="0" applyAlignment="0" applyProtection="0"/>
    <xf numFmtId="0" fontId="21" fillId="4" borderId="0" applyNumberFormat="0" applyFont="0" applyBorder="0" applyAlignment="0" applyProtection="0"/>
    <xf numFmtId="0" fontId="8" fillId="0" borderId="0"/>
    <xf numFmtId="0" fontId="6" fillId="3" borderId="5" applyNumberFormat="0" applyFont="0" applyAlignment="0" applyProtection="0"/>
    <xf numFmtId="0" fontId="6" fillId="3" borderId="5" applyNumberFormat="0" applyFont="0" applyAlignment="0" applyProtection="0"/>
    <xf numFmtId="0" fontId="6" fillId="3" borderId="5" applyNumberFormat="0" applyFont="0" applyAlignment="0" applyProtection="0"/>
    <xf numFmtId="0" fontId="6" fillId="3" borderId="5" applyNumberFormat="0" applyFont="0" applyAlignment="0" applyProtection="0"/>
    <xf numFmtId="0" fontId="6" fillId="3" borderId="5" applyNumberFormat="0" applyFont="0" applyAlignment="0" applyProtection="0"/>
    <xf numFmtId="0" fontId="6" fillId="3" borderId="5" applyNumberFormat="0" applyFont="0" applyAlignment="0" applyProtection="0"/>
    <xf numFmtId="0" fontId="6" fillId="3" borderId="5" applyNumberFormat="0" applyFont="0" applyAlignment="0" applyProtection="0"/>
    <xf numFmtId="0" fontId="6" fillId="3" borderId="5" applyNumberFormat="0" applyFont="0" applyAlignment="0" applyProtection="0"/>
    <xf numFmtId="0" fontId="6" fillId="3" borderId="5" applyNumberFormat="0" applyFont="0" applyAlignment="0" applyProtection="0"/>
    <xf numFmtId="0" fontId="6" fillId="3" borderId="5" applyNumberFormat="0" applyFont="0" applyAlignment="0" applyProtection="0"/>
    <xf numFmtId="0" fontId="6" fillId="3" borderId="5" applyNumberFormat="0" applyFont="0" applyAlignment="0" applyProtection="0"/>
    <xf numFmtId="0" fontId="6" fillId="3" borderId="5" applyNumberFormat="0" applyFont="0" applyAlignment="0" applyProtection="0"/>
    <xf numFmtId="0" fontId="6" fillId="3" borderId="5" applyNumberFormat="0" applyFont="0" applyAlignment="0" applyProtection="0"/>
    <xf numFmtId="0" fontId="6" fillId="3" borderId="5" applyNumberFormat="0" applyFont="0" applyAlignment="0" applyProtection="0"/>
    <xf numFmtId="0" fontId="6" fillId="3" borderId="5" applyNumberFormat="0" applyFont="0" applyAlignment="0" applyProtection="0"/>
    <xf numFmtId="0" fontId="6" fillId="3" borderId="5" applyNumberFormat="0" applyFont="0" applyAlignment="0" applyProtection="0"/>
    <xf numFmtId="0" fontId="6" fillId="3" borderId="5" applyNumberFormat="0" applyFont="0" applyAlignment="0" applyProtection="0"/>
    <xf numFmtId="0" fontId="6" fillId="3" borderId="5" applyNumberFormat="0" applyFont="0" applyAlignment="0" applyProtection="0"/>
    <xf numFmtId="0" fontId="6" fillId="3" borderId="5" applyNumberFormat="0" applyFont="0" applyAlignment="0" applyProtection="0"/>
    <xf numFmtId="0" fontId="6" fillId="3" borderId="5" applyNumberFormat="0" applyFont="0" applyAlignment="0" applyProtection="0"/>
    <xf numFmtId="0" fontId="6" fillId="3" borderId="5" applyNumberFormat="0" applyFont="0" applyAlignment="0" applyProtection="0"/>
    <xf numFmtId="0" fontId="6" fillId="3" borderId="5" applyNumberFormat="0" applyFont="0" applyAlignment="0" applyProtection="0"/>
    <xf numFmtId="0" fontId="6" fillId="3" borderId="5" applyNumberFormat="0" applyFont="0" applyAlignment="0" applyProtection="0"/>
    <xf numFmtId="0" fontId="6" fillId="3" borderId="5" applyNumberFormat="0" applyFont="0" applyAlignment="0" applyProtection="0"/>
    <xf numFmtId="0" fontId="6" fillId="3" borderId="5" applyNumberFormat="0" applyFont="0" applyAlignment="0" applyProtection="0"/>
    <xf numFmtId="0" fontId="6" fillId="3" borderId="5" applyNumberFormat="0" applyFont="0" applyAlignment="0" applyProtection="0"/>
    <xf numFmtId="0" fontId="6" fillId="3" borderId="5" applyNumberFormat="0" applyFont="0" applyAlignment="0" applyProtection="0"/>
    <xf numFmtId="187" fontId="18" fillId="0" borderId="6" applyBorder="0">
      <alignment horizontal="right"/>
    </xf>
    <xf numFmtId="170" fontId="18" fillId="5" borderId="2" applyNumberFormat="0" applyFont="0" applyBorder="0" applyAlignment="0" applyProtection="0">
      <alignment horizontal="right" vertical="center"/>
    </xf>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6"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0" fontId="48" fillId="6" borderId="0">
      <alignment horizontal="left" indent="7"/>
    </xf>
    <xf numFmtId="0" fontId="49" fillId="6" borderId="0">
      <alignment horizontal="left" indent="6"/>
    </xf>
    <xf numFmtId="0" fontId="14" fillId="7" borderId="2" applyNumberFormat="0" applyBorder="0" applyAlignment="0">
      <alignment horizontal="right"/>
    </xf>
    <xf numFmtId="0" fontId="50" fillId="8" borderId="0"/>
    <xf numFmtId="0" fontId="13" fillId="0" borderId="0" applyFill="0"/>
    <xf numFmtId="0" fontId="7" fillId="9" borderId="0" applyNumberFormat="0" applyFont="0" applyBorder="0" applyAlignment="0"/>
    <xf numFmtId="0" fontId="50" fillId="0" borderId="0" applyFill="0">
      <alignment horizontal="left" indent="2"/>
    </xf>
    <xf numFmtId="173" fontId="7" fillId="0" borderId="0" applyFont="0" applyFill="0" applyBorder="0" applyAlignment="0" applyProtection="0"/>
    <xf numFmtId="0" fontId="7" fillId="0" borderId="7" applyNumberFormat="0" applyFont="0" applyFill="0" applyAlignment="0" applyProtection="0"/>
    <xf numFmtId="0" fontId="7" fillId="0" borderId="8" applyNumberFormat="0" applyFont="0" applyFill="0" applyAlignment="0" applyProtection="0"/>
    <xf numFmtId="0" fontId="7" fillId="0" borderId="9" applyNumberFormat="0" applyFont="0" applyFill="0" applyAlignment="0" applyProtection="0"/>
    <xf numFmtId="0" fontId="7" fillId="0" borderId="10" applyNumberFormat="0" applyFont="0" applyFill="0" applyAlignment="0" applyProtection="0"/>
    <xf numFmtId="0" fontId="7" fillId="0" borderId="11" applyNumberFormat="0" applyFont="0" applyFill="0" applyAlignment="0" applyProtection="0"/>
    <xf numFmtId="0" fontId="7" fillId="2" borderId="0" applyNumberFormat="0" applyFont="0" applyBorder="0" applyAlignment="0" applyProtection="0"/>
    <xf numFmtId="0" fontId="7" fillId="0" borderId="12" applyNumberFormat="0" applyFont="0" applyFill="0" applyAlignment="0" applyProtection="0"/>
    <xf numFmtId="0" fontId="7" fillId="0" borderId="13" applyNumberFormat="0" applyFont="0" applyFill="0" applyAlignment="0" applyProtection="0"/>
    <xf numFmtId="46" fontId="7" fillId="0" borderId="0" applyFont="0" applyFill="0" applyBorder="0" applyAlignment="0" applyProtection="0"/>
    <xf numFmtId="0" fontId="17" fillId="0" borderId="0" applyNumberFormat="0" applyFill="0" applyBorder="0" applyAlignment="0" applyProtection="0"/>
    <xf numFmtId="0" fontId="7" fillId="0" borderId="14" applyNumberFormat="0" applyFont="0" applyFill="0" applyAlignment="0" applyProtection="0"/>
    <xf numFmtId="0" fontId="7" fillId="0" borderId="15" applyNumberFormat="0" applyFont="0" applyFill="0" applyAlignment="0" applyProtection="0"/>
    <xf numFmtId="0" fontId="7" fillId="0" borderId="5" applyNumberFormat="0" applyFont="0" applyFill="0" applyAlignment="0" applyProtection="0"/>
    <xf numFmtId="0" fontId="7" fillId="0" borderId="16" applyNumberFormat="0" applyFont="0" applyFill="0" applyAlignment="0" applyProtection="0"/>
    <xf numFmtId="0" fontId="7" fillId="0" borderId="5" applyNumberFormat="0" applyFont="0" applyFill="0" applyAlignment="0" applyProtection="0"/>
    <xf numFmtId="0" fontId="7" fillId="0" borderId="0" applyNumberFormat="0" applyFont="0" applyFill="0" applyBorder="0" applyProtection="0">
      <alignment horizontal="center"/>
    </xf>
    <xf numFmtId="0" fontId="16" fillId="0" borderId="0" applyNumberFormat="0" applyFill="0" applyBorder="0" applyAlignment="0" applyProtection="0"/>
    <xf numFmtId="0" fontId="22" fillId="0" borderId="0" applyNumberFormat="0" applyFill="0" applyBorder="0" applyAlignment="0" applyProtection="0"/>
    <xf numFmtId="0" fontId="23" fillId="0" borderId="0" applyNumberFormat="0" applyFill="0" applyBorder="0" applyProtection="0">
      <alignment horizontal="left"/>
    </xf>
    <xf numFmtId="0" fontId="7" fillId="2" borderId="0" applyNumberFormat="0" applyFont="0" applyBorder="0" applyAlignment="0" applyProtection="0"/>
    <xf numFmtId="0" fontId="24" fillId="0" borderId="0" applyNumberFormat="0" applyFill="0" applyBorder="0" applyAlignment="0" applyProtection="0"/>
    <xf numFmtId="0" fontId="17" fillId="0" borderId="0" applyNumberFormat="0" applyFill="0" applyBorder="0" applyAlignment="0" applyProtection="0"/>
    <xf numFmtId="0" fontId="7" fillId="0" borderId="17" applyNumberFormat="0" applyFont="0" applyFill="0" applyAlignment="0" applyProtection="0"/>
    <xf numFmtId="0" fontId="7" fillId="0" borderId="18" applyNumberFormat="0" applyFont="0" applyFill="0" applyAlignment="0" applyProtection="0"/>
    <xf numFmtId="172" fontId="7" fillId="0" borderId="0" applyFont="0" applyFill="0" applyBorder="0" applyAlignment="0" applyProtection="0"/>
    <xf numFmtId="0" fontId="7" fillId="0" borderId="19" applyNumberFormat="0" applyFont="0" applyFill="0" applyAlignment="0" applyProtection="0"/>
    <xf numFmtId="0" fontId="7" fillId="0" borderId="20" applyNumberFormat="0" applyFont="0" applyFill="0" applyAlignment="0" applyProtection="0"/>
    <xf numFmtId="0" fontId="7" fillId="0" borderId="21" applyNumberFormat="0" applyFont="0" applyFill="0" applyAlignment="0" applyProtection="0"/>
    <xf numFmtId="0" fontId="7" fillId="0" borderId="22" applyNumberFormat="0" applyFont="0" applyFill="0" applyAlignment="0" applyProtection="0"/>
    <xf numFmtId="0" fontId="7" fillId="0" borderId="23" applyNumberFormat="0" applyFont="0" applyFill="0" applyAlignment="0" applyProtection="0"/>
    <xf numFmtId="0" fontId="7" fillId="0" borderId="0">
      <alignment horizontal="left" wrapText="1"/>
    </xf>
    <xf numFmtId="0" fontId="38" fillId="0" borderId="0" applyNumberFormat="0" applyFill="0" applyBorder="0" applyProtection="0">
      <alignment horizontal="left"/>
    </xf>
    <xf numFmtId="0" fontId="38" fillId="0" borderId="0" applyNumberFormat="0" applyFill="0" applyBorder="0" applyProtection="0">
      <alignment horizontal="left"/>
    </xf>
    <xf numFmtId="0" fontId="39" fillId="0" borderId="0" applyNumberFormat="0" applyFill="0" applyBorder="0" applyProtection="0">
      <alignment horizontal="left"/>
    </xf>
    <xf numFmtId="0" fontId="39" fillId="0" borderId="0" applyNumberFormat="0" applyFill="0" applyBorder="0" applyProtection="0">
      <alignment horizontal="left"/>
    </xf>
    <xf numFmtId="0" fontId="40" fillId="0" borderId="0" applyNumberFormat="0" applyFill="0" applyBorder="0" applyProtection="0">
      <alignment horizontal="left"/>
    </xf>
    <xf numFmtId="0" fontId="40" fillId="0" borderId="0" applyNumberFormat="0" applyFill="0" applyBorder="0" applyProtection="0">
      <alignment horizontal="left"/>
    </xf>
    <xf numFmtId="0" fontId="39" fillId="0" borderId="0" applyNumberFormat="0" applyFill="0" applyBorder="0" applyProtection="0">
      <alignment horizontal="center"/>
    </xf>
    <xf numFmtId="0" fontId="39" fillId="0" borderId="0" applyNumberFormat="0" applyFill="0" applyBorder="0" applyProtection="0">
      <alignment horizontal="center"/>
    </xf>
    <xf numFmtId="169" fontId="7" fillId="0" borderId="0" applyFont="0" applyFill="0" applyBorder="0" applyProtection="0">
      <alignment horizontal="left"/>
    </xf>
    <xf numFmtId="199" fontId="7" fillId="0" borderId="0" applyFont="0" applyFill="0" applyBorder="0" applyProtection="0">
      <alignment horizontal="left"/>
    </xf>
    <xf numFmtId="0" fontId="7" fillId="0" borderId="0" applyNumberFormat="0" applyFont="0" applyFill="0" applyBorder="0" applyProtection="0">
      <alignment horizontal="center"/>
    </xf>
    <xf numFmtId="0" fontId="7" fillId="0" borderId="0" applyNumberFormat="0" applyFont="0" applyFill="0" applyBorder="0" applyProtection="0">
      <alignment horizontal="center"/>
    </xf>
    <xf numFmtId="38" fontId="7" fillId="0" borderId="0" applyFont="0" applyFill="0" applyBorder="0" applyAlignment="0" applyProtection="0"/>
    <xf numFmtId="38" fontId="7" fillId="0" borderId="0" applyFont="0" applyFill="0" applyBorder="0" applyAlignment="0" applyProtection="0"/>
    <xf numFmtId="10" fontId="7" fillId="0" borderId="0" applyFont="0" applyFill="0" applyBorder="0" applyAlignment="0" applyProtection="0"/>
    <xf numFmtId="0" fontId="41" fillId="0" borderId="24">
      <alignment horizontal="center"/>
    </xf>
    <xf numFmtId="0" fontId="51" fillId="0" borderId="6" applyBorder="0" applyAlignment="0">
      <alignment horizontal="centerContinuous" vertical="center" wrapText="1"/>
    </xf>
    <xf numFmtId="0" fontId="59"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27" fillId="0" borderId="0">
      <alignment wrapText="1"/>
    </xf>
    <xf numFmtId="0" fontId="52" fillId="0" borderId="0" applyNumberFormat="0" applyFill="0" applyBorder="0" applyAlignment="0" applyProtection="0"/>
    <xf numFmtId="0" fontId="27" fillId="0" borderId="0">
      <alignment wrapText="1"/>
    </xf>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27" fillId="0" borderId="0">
      <alignment wrapText="1"/>
    </xf>
    <xf numFmtId="0" fontId="27" fillId="0" borderId="0">
      <alignment wrapText="1"/>
    </xf>
    <xf numFmtId="0" fontId="27" fillId="0" borderId="0">
      <alignment wrapText="1"/>
    </xf>
    <xf numFmtId="0" fontId="27" fillId="0" borderId="0">
      <alignment wrapText="1"/>
    </xf>
    <xf numFmtId="0" fontId="27" fillId="0" borderId="0">
      <alignment wrapText="1"/>
    </xf>
    <xf numFmtId="0" fontId="27" fillId="0" borderId="0">
      <alignment wrapText="1"/>
    </xf>
    <xf numFmtId="0" fontId="27" fillId="0" borderId="0">
      <alignment wrapText="1"/>
    </xf>
    <xf numFmtId="0" fontId="27" fillId="0" borderId="0">
      <alignment wrapText="1"/>
    </xf>
    <xf numFmtId="0" fontId="52" fillId="0" borderId="0" applyNumberFormat="0" applyFill="0" applyBorder="0" applyAlignment="0" applyProtection="0"/>
    <xf numFmtId="0" fontId="52" fillId="0" borderId="0" applyNumberFormat="0" applyFill="0" applyBorder="0" applyAlignment="0" applyProtection="0"/>
    <xf numFmtId="0" fontId="27" fillId="0" borderId="0">
      <alignment wrapText="1"/>
    </xf>
    <xf numFmtId="0" fontId="27" fillId="0" borderId="0">
      <alignment wrapText="1"/>
    </xf>
    <xf numFmtId="0" fontId="27" fillId="0" borderId="0">
      <alignment wrapText="1"/>
    </xf>
    <xf numFmtId="0" fontId="27" fillId="0" borderId="0">
      <alignment wrapText="1"/>
    </xf>
    <xf numFmtId="0" fontId="27" fillId="0" borderId="0">
      <alignment wrapText="1"/>
    </xf>
    <xf numFmtId="0" fontId="27" fillId="0" borderId="0">
      <alignment wrapText="1"/>
    </xf>
    <xf numFmtId="0" fontId="52" fillId="0" borderId="0" applyNumberFormat="0" applyFill="0" applyBorder="0" applyAlignment="0" applyProtection="0"/>
    <xf numFmtId="0" fontId="52" fillId="0" borderId="0" applyNumberFormat="0" applyFill="0" applyBorder="0" applyAlignment="0" applyProtection="0"/>
    <xf numFmtId="0" fontId="27" fillId="0" borderId="0">
      <alignment wrapText="1"/>
    </xf>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188" fontId="32" fillId="0" borderId="25">
      <protection locked="0"/>
    </xf>
    <xf numFmtId="188" fontId="37" fillId="0" borderId="25">
      <protection locked="0"/>
    </xf>
    <xf numFmtId="188" fontId="37" fillId="0" borderId="25">
      <protection locked="0"/>
    </xf>
    <xf numFmtId="188" fontId="37" fillId="0" borderId="25">
      <protection locked="0"/>
    </xf>
    <xf numFmtId="188" fontId="37" fillId="0" borderId="25">
      <protection locked="0"/>
    </xf>
    <xf numFmtId="188" fontId="37" fillId="0" borderId="25">
      <protection locked="0"/>
    </xf>
    <xf numFmtId="0" fontId="27" fillId="0" borderId="0">
      <alignment wrapText="1"/>
    </xf>
    <xf numFmtId="180" fontId="7" fillId="0" borderId="1" applyBorder="0"/>
    <xf numFmtId="180" fontId="7" fillId="0" borderId="1" applyBorder="0"/>
    <xf numFmtId="180" fontId="7" fillId="0" borderId="1" applyBorder="0"/>
    <xf numFmtId="180" fontId="7" fillId="0" borderId="1" applyBorder="0"/>
    <xf numFmtId="180" fontId="7" fillId="0" borderId="1" applyBorder="0"/>
    <xf numFmtId="180" fontId="7" fillId="0" borderId="1" applyBorder="0"/>
    <xf numFmtId="0" fontId="6" fillId="16" borderId="0" applyNumberFormat="0" applyBorder="0" applyAlignment="0" applyProtection="0"/>
    <xf numFmtId="0" fontId="6" fillId="17" borderId="0" applyNumberFormat="0" applyBorder="0" applyAlignment="0" applyProtection="0"/>
    <xf numFmtId="0" fontId="6" fillId="18" borderId="0" applyNumberFormat="0" applyBorder="0" applyAlignment="0" applyProtection="0"/>
    <xf numFmtId="0" fontId="6" fillId="19" borderId="0" applyNumberFormat="0" applyBorder="0" applyAlignment="0" applyProtection="0"/>
    <xf numFmtId="0" fontId="6" fillId="20" borderId="0" applyNumberFormat="0" applyBorder="0" applyAlignment="0" applyProtection="0"/>
    <xf numFmtId="0" fontId="6" fillId="3" borderId="0" applyNumberFormat="0" applyBorder="0" applyAlignment="0" applyProtection="0"/>
    <xf numFmtId="0" fontId="6" fillId="21" borderId="0" applyNumberFormat="0" applyBorder="0" applyAlignment="0" applyProtection="0"/>
    <xf numFmtId="0" fontId="6" fillId="17" borderId="0" applyNumberFormat="0" applyBorder="0" applyAlignment="0" applyProtection="0"/>
    <xf numFmtId="0" fontId="6" fillId="22" borderId="0" applyNumberFormat="0" applyBorder="0" applyAlignment="0" applyProtection="0"/>
    <xf numFmtId="0" fontId="6" fillId="17" borderId="0" applyNumberFormat="0" applyBorder="0" applyAlignment="0" applyProtection="0"/>
    <xf numFmtId="0" fontId="6" fillId="3" borderId="0" applyNumberFormat="0" applyBorder="0" applyAlignment="0" applyProtection="0"/>
    <xf numFmtId="177" fontId="7" fillId="0" borderId="1" applyBorder="0"/>
    <xf numFmtId="177" fontId="7" fillId="0" borderId="1" applyBorder="0"/>
    <xf numFmtId="177" fontId="7" fillId="0" borderId="1" applyBorder="0"/>
    <xf numFmtId="177" fontId="7" fillId="0" borderId="1" applyBorder="0"/>
    <xf numFmtId="183" fontId="7" fillId="0" borderId="1"/>
    <xf numFmtId="183" fontId="7" fillId="0" borderId="1"/>
    <xf numFmtId="183" fontId="7" fillId="0" borderId="1"/>
    <xf numFmtId="0" fontId="6" fillId="23" borderId="0" applyNumberFormat="0" applyBorder="0" applyAlignment="0" applyProtection="0"/>
    <xf numFmtId="0" fontId="6" fillId="24" borderId="0" applyNumberFormat="0" applyBorder="0" applyAlignment="0" applyProtection="0"/>
    <xf numFmtId="0" fontId="6" fillId="19" borderId="0" applyNumberFormat="0" applyBorder="0" applyAlignment="0" applyProtection="0"/>
    <xf numFmtId="0" fontId="6" fillId="25" borderId="0" applyNumberFormat="0" applyBorder="0" applyAlignment="0" applyProtection="0"/>
    <xf numFmtId="0" fontId="6" fillId="26" borderId="0" applyNumberFormat="0" applyBorder="0" applyAlignment="0" applyProtection="0"/>
    <xf numFmtId="0" fontId="6" fillId="21" borderId="0" applyNumberFormat="0" applyBorder="0" applyAlignment="0" applyProtection="0"/>
    <xf numFmtId="0" fontId="6" fillId="24" borderId="0" applyNumberFormat="0" applyBorder="0" applyAlignment="0" applyProtection="0"/>
    <xf numFmtId="0" fontId="6" fillId="23" borderId="0" applyNumberFormat="0" applyBorder="0" applyAlignment="0" applyProtection="0"/>
    <xf numFmtId="0" fontId="6" fillId="27" borderId="0" applyNumberFormat="0" applyBorder="0" applyAlignment="0" applyProtection="0"/>
    <xf numFmtId="0" fontId="6" fillId="26" borderId="0" applyNumberFormat="0" applyBorder="0" applyAlignment="0" applyProtection="0"/>
    <xf numFmtId="184" fontId="7" fillId="0" borderId="1"/>
    <xf numFmtId="184" fontId="7" fillId="0" borderId="1"/>
    <xf numFmtId="184" fontId="7" fillId="0" borderId="1"/>
    <xf numFmtId="185" fontId="7" fillId="0" borderId="1"/>
    <xf numFmtId="185" fontId="7" fillId="0" borderId="1"/>
    <xf numFmtId="185" fontId="7" fillId="0" borderId="1"/>
    <xf numFmtId="0" fontId="61" fillId="28" borderId="0" applyNumberFormat="0" applyBorder="0" applyAlignment="0" applyProtection="0"/>
    <xf numFmtId="0" fontId="61" fillId="29" borderId="0" applyNumberFormat="0" applyBorder="0" applyAlignment="0" applyProtection="0"/>
    <xf numFmtId="0" fontId="61" fillId="19" borderId="0" applyNumberFormat="0" applyBorder="0" applyAlignment="0" applyProtection="0"/>
    <xf numFmtId="0" fontId="61" fillId="25" borderId="0" applyNumberFormat="0" applyBorder="0" applyAlignment="0" applyProtection="0"/>
    <xf numFmtId="0" fontId="61" fillId="26" borderId="0" applyNumberFormat="0" applyBorder="0" applyAlignment="0" applyProtection="0"/>
    <xf numFmtId="0" fontId="61" fillId="30" borderId="0" applyNumberFormat="0" applyBorder="0" applyAlignment="0" applyProtection="0"/>
    <xf numFmtId="0" fontId="61" fillId="24" borderId="0" applyNumberFormat="0" applyBorder="0" applyAlignment="0" applyProtection="0"/>
    <xf numFmtId="0" fontId="61" fillId="29" borderId="0" applyNumberFormat="0" applyBorder="0" applyAlignment="0" applyProtection="0"/>
    <xf numFmtId="0" fontId="61" fillId="31" borderId="0" applyNumberFormat="0" applyBorder="0" applyAlignment="0" applyProtection="0"/>
    <xf numFmtId="0" fontId="61" fillId="19" borderId="0" applyNumberFormat="0" applyBorder="0" applyAlignment="0" applyProtection="0"/>
    <xf numFmtId="186" fontId="7" fillId="0" borderId="1"/>
    <xf numFmtId="186" fontId="7" fillId="0" borderId="1"/>
    <xf numFmtId="186" fontId="7" fillId="0" borderId="1"/>
    <xf numFmtId="0" fontId="61" fillId="32" borderId="0" applyNumberFormat="0" applyBorder="0" applyAlignment="0" applyProtection="0"/>
    <xf numFmtId="0" fontId="61" fillId="29" borderId="0" applyNumberFormat="0" applyBorder="0" applyAlignment="0" applyProtection="0"/>
    <xf numFmtId="0" fontId="61" fillId="33" borderId="0" applyNumberFormat="0" applyBorder="0" applyAlignment="0" applyProtection="0"/>
    <xf numFmtId="0" fontId="61" fillId="34" borderId="0" applyNumberFormat="0" applyBorder="0" applyAlignment="0" applyProtection="0"/>
    <xf numFmtId="0" fontId="61" fillId="30" borderId="0" applyNumberFormat="0" applyBorder="0" applyAlignment="0" applyProtection="0"/>
    <xf numFmtId="0" fontId="61" fillId="35" borderId="0" applyNumberFormat="0" applyBorder="0" applyAlignment="0" applyProtection="0"/>
    <xf numFmtId="0" fontId="61" fillId="29" borderId="0" applyNumberFormat="0" applyBorder="0" applyAlignment="0" applyProtection="0"/>
    <xf numFmtId="0" fontId="61" fillId="36" borderId="0" applyNumberFormat="0" applyBorder="0" applyAlignment="0" applyProtection="0"/>
    <xf numFmtId="0" fontId="60" fillId="21" borderId="0" applyNumberFormat="0" applyBorder="0" applyAlignment="0" applyProtection="0"/>
    <xf numFmtId="0" fontId="62" fillId="18" borderId="0" applyNumberFormat="0" applyBorder="0" applyAlignment="0" applyProtection="0"/>
    <xf numFmtId="0" fontId="57" fillId="14" borderId="0" applyNumberFormat="0" applyBorder="0" applyAlignment="0" applyProtection="0"/>
    <xf numFmtId="0" fontId="63" fillId="24" borderId="37" applyNumberFormat="0" applyAlignment="0" applyProtection="0"/>
    <xf numFmtId="0" fontId="63" fillId="2" borderId="37" applyNumberFormat="0" applyAlignment="0" applyProtection="0"/>
    <xf numFmtId="0" fontId="64" fillId="37" borderId="38" applyNumberFormat="0" applyAlignment="0" applyProtection="0"/>
    <xf numFmtId="43" fontId="5" fillId="0" borderId="0" applyFont="0" applyFill="0" applyBorder="0" applyAlignment="0" applyProtection="0"/>
    <xf numFmtId="43" fontId="26" fillId="0" borderId="0" applyFont="0" applyFill="0" applyBorder="0" applyAlignment="0" applyProtection="0"/>
    <xf numFmtId="43" fontId="17" fillId="0" borderId="0" applyFont="0" applyFill="0" applyBorder="0" applyAlignment="0" applyProtection="0"/>
    <xf numFmtId="43" fontId="7" fillId="0" borderId="0" applyFont="0" applyFill="0" applyBorder="0" applyAlignment="0" applyProtection="0"/>
    <xf numFmtId="188" fontId="37" fillId="0" borderId="0">
      <protection locked="0"/>
    </xf>
    <xf numFmtId="188" fontId="37" fillId="0" borderId="0">
      <protection locked="0"/>
    </xf>
    <xf numFmtId="5" fontId="7" fillId="0" borderId="0" applyFont="0" applyFill="0" applyBorder="0" applyAlignment="0" applyProtection="0"/>
    <xf numFmtId="188" fontId="37" fillId="0" borderId="0">
      <protection locked="0"/>
    </xf>
    <xf numFmtId="188" fontId="37" fillId="0" borderId="0">
      <protection locked="0"/>
    </xf>
    <xf numFmtId="14" fontId="7" fillId="0" borderId="0" applyFont="0" applyFill="0" applyBorder="0" applyAlignment="0" applyProtection="0"/>
    <xf numFmtId="188" fontId="37" fillId="0" borderId="0">
      <protection locked="0"/>
    </xf>
    <xf numFmtId="188" fontId="37" fillId="0" borderId="0">
      <protection locked="0"/>
    </xf>
    <xf numFmtId="0" fontId="65" fillId="0" borderId="0" applyNumberFormat="0" applyFill="0" applyBorder="0" applyAlignment="0" applyProtection="0"/>
    <xf numFmtId="188" fontId="37" fillId="0" borderId="0">
      <protection locked="0"/>
    </xf>
    <xf numFmtId="188" fontId="37" fillId="0" borderId="0">
      <protection locked="0"/>
    </xf>
    <xf numFmtId="202" fontId="26" fillId="0" borderId="0"/>
    <xf numFmtId="202" fontId="26" fillId="0" borderId="0"/>
    <xf numFmtId="0" fontId="66" fillId="20" borderId="0" applyNumberFormat="0" applyBorder="0" applyAlignment="0" applyProtection="0"/>
    <xf numFmtId="0" fontId="44" fillId="0" borderId="0" applyNumberFormat="0" applyFont="0" applyFill="0" applyAlignment="0" applyProtection="0"/>
    <xf numFmtId="188" fontId="37" fillId="0" borderId="0">
      <protection locked="0"/>
    </xf>
    <xf numFmtId="188" fontId="37" fillId="0" borderId="0">
      <protection locked="0"/>
    </xf>
    <xf numFmtId="188" fontId="37" fillId="0" borderId="0">
      <protection locked="0"/>
    </xf>
    <xf numFmtId="0" fontId="44" fillId="0" borderId="0" applyNumberFormat="0" applyFont="0" applyFill="0" applyAlignment="0" applyProtection="0"/>
    <xf numFmtId="0" fontId="44" fillId="0" borderId="0" applyNumberFormat="0" applyFont="0" applyFill="0" applyAlignment="0" applyProtection="0"/>
    <xf numFmtId="0" fontId="44" fillId="0" borderId="0" applyNumberFormat="0" applyFont="0" applyFill="0" applyAlignment="0" applyProtection="0"/>
    <xf numFmtId="0" fontId="44" fillId="0" borderId="0" applyNumberFormat="0" applyFont="0" applyFill="0" applyAlignment="0" applyProtection="0"/>
    <xf numFmtId="0" fontId="44" fillId="0" borderId="0" applyNumberFormat="0" applyFont="0" applyFill="0" applyAlignment="0" applyProtection="0"/>
    <xf numFmtId="0" fontId="13" fillId="0" borderId="0">
      <alignment horizontal="center" wrapText="1"/>
    </xf>
    <xf numFmtId="0" fontId="13" fillId="0" borderId="0">
      <alignment horizontal="center" wrapText="1"/>
    </xf>
    <xf numFmtId="0" fontId="13" fillId="0" borderId="0">
      <alignment horizontal="center" wrapText="1"/>
    </xf>
    <xf numFmtId="0" fontId="13" fillId="0" borderId="0">
      <alignment horizontal="center" wrapText="1"/>
    </xf>
    <xf numFmtId="0" fontId="13" fillId="0" borderId="0">
      <alignment horizontal="center" wrapText="1"/>
    </xf>
    <xf numFmtId="0" fontId="13" fillId="0" borderId="0">
      <alignment horizontal="center" wrapText="1"/>
    </xf>
    <xf numFmtId="0" fontId="13" fillId="0" borderId="0">
      <alignment horizontal="center" wrapText="1"/>
    </xf>
    <xf numFmtId="0" fontId="13" fillId="0" borderId="0">
      <alignment horizontal="center" wrapText="1"/>
    </xf>
    <xf numFmtId="0" fontId="13" fillId="0" borderId="0">
      <alignment horizontal="center" wrapText="1"/>
    </xf>
    <xf numFmtId="0" fontId="27" fillId="0" borderId="0" applyNumberFormat="0" applyFont="0" applyFill="0" applyAlignment="0" applyProtection="0"/>
    <xf numFmtId="188" fontId="43" fillId="0" borderId="0">
      <protection locked="0"/>
    </xf>
    <xf numFmtId="188" fontId="43" fillId="0" borderId="0">
      <protection locked="0"/>
    </xf>
    <xf numFmtId="188" fontId="43" fillId="0" borderId="0">
      <protection locked="0"/>
    </xf>
    <xf numFmtId="0" fontId="27" fillId="0" borderId="0" applyNumberFormat="0" applyFont="0" applyFill="0" applyAlignment="0" applyProtection="0"/>
    <xf numFmtId="0" fontId="27" fillId="0" borderId="0" applyNumberFormat="0" applyFont="0" applyFill="0" applyAlignment="0" applyProtection="0"/>
    <xf numFmtId="0" fontId="27" fillId="0" borderId="0" applyNumberFormat="0" applyFont="0" applyFill="0" applyAlignment="0" applyProtection="0"/>
    <xf numFmtId="0" fontId="27" fillId="0" borderId="0" applyNumberFormat="0" applyFont="0" applyFill="0" applyAlignment="0" applyProtection="0"/>
    <xf numFmtId="0" fontId="27" fillId="0" borderId="0" applyNumberFormat="0" applyFont="0" applyFill="0" applyAlignment="0" applyProtection="0"/>
    <xf numFmtId="0" fontId="67" fillId="0" borderId="39" applyNumberFormat="0" applyFill="0" applyAlignment="0" applyProtection="0"/>
    <xf numFmtId="0" fontId="75" fillId="0" borderId="40" applyNumberFormat="0" applyFill="0" applyAlignment="0" applyProtection="0"/>
    <xf numFmtId="0" fontId="67" fillId="0" borderId="0" applyNumberFormat="0" applyFill="0" applyBorder="0" applyAlignment="0" applyProtection="0"/>
    <xf numFmtId="0" fontId="75" fillId="0" borderId="0" applyNumberFormat="0" applyFill="0" applyBorder="0" applyAlignment="0" applyProtection="0"/>
    <xf numFmtId="0" fontId="13" fillId="0" borderId="0">
      <alignment horizontal="center" wrapText="1"/>
    </xf>
    <xf numFmtId="0" fontId="13" fillId="0" borderId="0">
      <alignment horizontal="center" wrapText="1"/>
    </xf>
    <xf numFmtId="0" fontId="13" fillId="0" borderId="0">
      <alignment horizontal="center" wrapText="1"/>
    </xf>
    <xf numFmtId="0" fontId="13" fillId="0" borderId="0">
      <alignment horizontal="center" wrapText="1"/>
    </xf>
    <xf numFmtId="0" fontId="73" fillId="0" borderId="0" applyNumberFormat="0" applyFill="0" applyBorder="0" applyAlignment="0" applyProtection="0">
      <alignment vertical="top"/>
      <protection locked="0"/>
    </xf>
    <xf numFmtId="0" fontId="68" fillId="17" borderId="37" applyNumberFormat="0" applyAlignment="0" applyProtection="0"/>
    <xf numFmtId="0" fontId="68" fillId="26" borderId="37" applyNumberFormat="0" applyAlignment="0" applyProtection="0"/>
    <xf numFmtId="0" fontId="69" fillId="0" borderId="41" applyNumberFormat="0" applyFill="0" applyAlignment="0" applyProtection="0"/>
    <xf numFmtId="0" fontId="70" fillId="26" borderId="0" applyNumberFormat="0" applyBorder="0" applyAlignment="0" applyProtection="0"/>
    <xf numFmtId="0" fontId="27" fillId="0" borderId="0">
      <alignment wrapText="1"/>
    </xf>
    <xf numFmtId="0" fontId="27" fillId="0" borderId="0">
      <alignment wrapText="1"/>
    </xf>
    <xf numFmtId="37" fontId="74" fillId="0" borderId="0"/>
    <xf numFmtId="0" fontId="6" fillId="0" borderId="0"/>
    <xf numFmtId="0" fontId="5" fillId="0" borderId="0"/>
    <xf numFmtId="0" fontId="6" fillId="0" borderId="0"/>
    <xf numFmtId="0" fontId="7" fillId="0" borderId="0" applyFill="0"/>
    <xf numFmtId="0" fontId="6" fillId="0" borderId="0"/>
    <xf numFmtId="0" fontId="58" fillId="0" borderId="0"/>
    <xf numFmtId="0" fontId="36" fillId="0" borderId="0"/>
    <xf numFmtId="0" fontId="7" fillId="0" borderId="0"/>
    <xf numFmtId="0" fontId="26" fillId="0" borderId="0"/>
    <xf numFmtId="0" fontId="5" fillId="0" borderId="0"/>
    <xf numFmtId="37" fontId="74" fillId="0" borderId="0"/>
    <xf numFmtId="0" fontId="7" fillId="0" borderId="0"/>
    <xf numFmtId="0" fontId="7" fillId="0" borderId="0"/>
    <xf numFmtId="37" fontId="74" fillId="0" borderId="0"/>
    <xf numFmtId="0" fontId="36" fillId="0" borderId="0"/>
    <xf numFmtId="0" fontId="74" fillId="3" borderId="5" applyNumberFormat="0" applyFont="0" applyAlignment="0" applyProtection="0"/>
    <xf numFmtId="0" fontId="7" fillId="3" borderId="5" applyNumberFormat="0" applyFont="0" applyAlignment="0" applyProtection="0"/>
    <xf numFmtId="0" fontId="7" fillId="3" borderId="5" applyNumberFormat="0" applyFont="0" applyAlignment="0" applyProtection="0"/>
    <xf numFmtId="0" fontId="71" fillId="24" borderId="42" applyNumberFormat="0" applyAlignment="0" applyProtection="0"/>
    <xf numFmtId="0" fontId="71" fillId="2" borderId="42" applyNumberFormat="0" applyAlignment="0" applyProtection="0"/>
    <xf numFmtId="9" fontId="6" fillId="0" borderId="0" applyFont="0" applyFill="0" applyBorder="0" applyAlignment="0" applyProtection="0"/>
    <xf numFmtId="0" fontId="27" fillId="0" borderId="0">
      <alignment wrapText="1"/>
    </xf>
    <xf numFmtId="0" fontId="7" fillId="0" borderId="43" applyNumberFormat="0" applyFont="0" applyBorder="0" applyAlignment="0" applyProtection="0"/>
    <xf numFmtId="188" fontId="37" fillId="0" borderId="25">
      <protection locked="0"/>
    </xf>
    <xf numFmtId="188" fontId="37" fillId="0" borderId="25">
      <protection locked="0"/>
    </xf>
    <xf numFmtId="188" fontId="37" fillId="0" borderId="25">
      <protection locked="0"/>
    </xf>
    <xf numFmtId="0" fontId="7" fillId="0" borderId="43" applyNumberFormat="0" applyFont="0" applyBorder="0" applyAlignment="0" applyProtection="0"/>
    <xf numFmtId="0" fontId="7" fillId="0" borderId="43" applyNumberFormat="0" applyFont="0" applyBorder="0" applyAlignment="0" applyProtection="0"/>
    <xf numFmtId="0" fontId="7" fillId="0" borderId="43" applyNumberFormat="0" applyFont="0" applyBorder="0" applyAlignment="0" applyProtection="0"/>
    <xf numFmtId="0" fontId="7" fillId="0" borderId="43" applyNumberFormat="0" applyFont="0" applyBorder="0" applyAlignment="0" applyProtection="0"/>
    <xf numFmtId="0" fontId="7" fillId="0" borderId="43" applyNumberFormat="0" applyFont="0" applyBorder="0" applyAlignment="0" applyProtection="0"/>
    <xf numFmtId="0" fontId="72" fillId="0" borderId="0" applyNumberFormat="0" applyFill="0" applyBorder="0" applyAlignment="0" applyProtection="0"/>
    <xf numFmtId="0" fontId="27" fillId="0" borderId="0">
      <alignment wrapText="1"/>
    </xf>
    <xf numFmtId="0" fontId="27" fillId="0" borderId="0">
      <alignment wrapText="1"/>
    </xf>
    <xf numFmtId="0" fontId="27" fillId="0" borderId="0">
      <alignment wrapText="1"/>
    </xf>
    <xf numFmtId="43" fontId="58" fillId="0" borderId="0" applyFont="0" applyFill="0" applyBorder="0" applyAlignment="0" applyProtection="0"/>
    <xf numFmtId="0" fontId="26" fillId="0" borderId="0"/>
    <xf numFmtId="0" fontId="76" fillId="0" borderId="0" applyNumberFormat="0" applyFill="0" applyBorder="0" applyAlignment="0" applyProtection="0"/>
    <xf numFmtId="0" fontId="4" fillId="0" borderId="0"/>
    <xf numFmtId="0" fontId="58" fillId="0" borderId="0"/>
    <xf numFmtId="0" fontId="27" fillId="0" borderId="0">
      <alignment wrapText="1"/>
    </xf>
    <xf numFmtId="0" fontId="4" fillId="0" borderId="0"/>
    <xf numFmtId="0" fontId="27" fillId="0" borderId="0">
      <alignment wrapText="1"/>
    </xf>
    <xf numFmtId="0" fontId="27" fillId="0" borderId="0">
      <alignment wrapText="1"/>
    </xf>
    <xf numFmtId="0" fontId="27" fillId="0" borderId="0">
      <alignment wrapText="1"/>
    </xf>
    <xf numFmtId="0" fontId="27" fillId="0" borderId="0">
      <alignment wrapText="1"/>
    </xf>
    <xf numFmtId="0" fontId="27" fillId="0" borderId="0">
      <alignment wrapText="1"/>
    </xf>
    <xf numFmtId="0" fontId="7" fillId="0" borderId="0"/>
    <xf numFmtId="0" fontId="7" fillId="0" borderId="0"/>
    <xf numFmtId="9" fontId="7" fillId="0" borderId="0" applyFont="0" applyFill="0" applyBorder="0" applyAlignment="0" applyProtection="0"/>
    <xf numFmtId="0" fontId="7" fillId="0" borderId="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0" fontId="7" fillId="0" borderId="0"/>
    <xf numFmtId="0" fontId="7" fillId="0" borderId="0"/>
    <xf numFmtId="0" fontId="7" fillId="0" borderId="0"/>
    <xf numFmtId="0" fontId="7" fillId="0" borderId="0"/>
    <xf numFmtId="0" fontId="3" fillId="0" borderId="0"/>
    <xf numFmtId="0" fontId="3" fillId="0" borderId="0"/>
    <xf numFmtId="0" fontId="26" fillId="0" borderId="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3" fillId="0" borderId="0" applyFont="0" applyFill="0" applyBorder="0" applyAlignment="0" applyProtection="0"/>
    <xf numFmtId="9" fontId="7" fillId="0" borderId="0" applyFont="0" applyFill="0" applyBorder="0" applyAlignment="0" applyProtection="0"/>
    <xf numFmtId="0" fontId="36" fillId="0" borderId="0"/>
    <xf numFmtId="208" fontId="7" fillId="0" borderId="0" applyFill="0" applyBorder="0" applyAlignment="0" applyProtection="0"/>
    <xf numFmtId="0" fontId="36" fillId="0" borderId="0"/>
    <xf numFmtId="0" fontId="18" fillId="0" borderId="0"/>
    <xf numFmtId="43" fontId="18" fillId="0" borderId="0" applyFont="0" applyFill="0" applyBorder="0" applyAlignment="0" applyProtection="0"/>
    <xf numFmtId="209" fontId="130" fillId="0" borderId="0"/>
    <xf numFmtId="0" fontId="7" fillId="0" borderId="0"/>
    <xf numFmtId="0" fontId="3" fillId="0" borderId="0"/>
    <xf numFmtId="9" fontId="7" fillId="0" borderId="0" applyFont="0" applyFill="0" applyBorder="0" applyAlignment="0" applyProtection="0"/>
    <xf numFmtId="0" fontId="7" fillId="0" borderId="0"/>
    <xf numFmtId="43" fontId="7" fillId="0" borderId="0" applyFont="0" applyFill="0" applyBorder="0" applyAlignment="0" applyProtection="0"/>
    <xf numFmtId="0" fontId="2" fillId="0" borderId="0"/>
    <xf numFmtId="0" fontId="7" fillId="0" borderId="0"/>
  </cellStyleXfs>
  <cellXfs count="627">
    <xf numFmtId="0" fontId="0" fillId="0" borderId="0" xfId="0"/>
    <xf numFmtId="0" fontId="8" fillId="0" borderId="0" xfId="0" applyFont="1"/>
    <xf numFmtId="0" fontId="15" fillId="0" borderId="0" xfId="0" applyFont="1"/>
    <xf numFmtId="0" fontId="14" fillId="0" borderId="0" xfId="0" applyFont="1"/>
    <xf numFmtId="0" fontId="14" fillId="0" borderId="0" xfId="0" applyFont="1" applyAlignment="1">
      <alignment horizontal="center"/>
    </xf>
    <xf numFmtId="0" fontId="8" fillId="0" borderId="0" xfId="0" applyFont="1" applyAlignment="1">
      <alignment horizontal="left" indent="1"/>
    </xf>
    <xf numFmtId="0" fontId="0" fillId="0" borderId="0" xfId="0" applyAlignment="1">
      <alignment horizontal="center"/>
    </xf>
    <xf numFmtId="0" fontId="8" fillId="0" borderId="0" xfId="0" applyFont="1" applyAlignment="1">
      <alignment horizontal="center"/>
    </xf>
    <xf numFmtId="2" fontId="8" fillId="0" borderId="0" xfId="0" applyNumberFormat="1" applyFont="1"/>
    <xf numFmtId="164" fontId="8" fillId="0" borderId="0" xfId="62" applyNumberFormat="1" applyFont="1"/>
    <xf numFmtId="3" fontId="14" fillId="0" borderId="0" xfId="0" applyNumberFormat="1" applyFont="1" applyAlignment="1">
      <alignment horizontal="center"/>
    </xf>
    <xf numFmtId="168" fontId="14" fillId="0" borderId="0" xfId="0" applyNumberFormat="1" applyFont="1" applyAlignment="1">
      <alignment horizontal="center"/>
    </xf>
    <xf numFmtId="0" fontId="8" fillId="0" borderId="0" xfId="0" applyFont="1" applyAlignment="1">
      <alignment horizontal="left" indent="2"/>
    </xf>
    <xf numFmtId="0" fontId="8" fillId="0" borderId="0" xfId="0" applyFont="1" applyAlignment="1">
      <alignment wrapText="1"/>
    </xf>
    <xf numFmtId="3" fontId="8" fillId="0" borderId="0" xfId="0" applyNumberFormat="1" applyFont="1"/>
    <xf numFmtId="167" fontId="8" fillId="0" borderId="0" xfId="0" applyNumberFormat="1" applyFont="1"/>
    <xf numFmtId="2" fontId="8" fillId="0" borderId="0" xfId="227" applyNumberFormat="1" applyFont="1"/>
    <xf numFmtId="4" fontId="14" fillId="0" borderId="0" xfId="0" applyNumberFormat="1" applyFont="1" applyAlignment="1">
      <alignment horizontal="center"/>
    </xf>
    <xf numFmtId="167" fontId="14" fillId="0" borderId="0" xfId="0" applyNumberFormat="1" applyFont="1" applyAlignment="1">
      <alignment horizontal="center"/>
    </xf>
    <xf numFmtId="0" fontId="0" fillId="0" borderId="0" xfId="0" applyAlignment="1">
      <alignment wrapText="1"/>
    </xf>
    <xf numFmtId="3" fontId="8" fillId="0" borderId="0" xfId="0" applyNumberFormat="1" applyFont="1" applyAlignment="1">
      <alignment horizontal="center"/>
    </xf>
    <xf numFmtId="1" fontId="8" fillId="0" borderId="0" xfId="0" applyNumberFormat="1" applyFont="1" applyAlignment="1">
      <alignment horizontal="center"/>
    </xf>
    <xf numFmtId="170" fontId="14" fillId="0" borderId="0" xfId="0" applyNumberFormat="1" applyFont="1" applyAlignment="1">
      <alignment horizontal="center"/>
    </xf>
    <xf numFmtId="0" fontId="12" fillId="0" borderId="0" xfId="0" applyFont="1"/>
    <xf numFmtId="0" fontId="0" fillId="0" borderId="0" xfId="0" quotePrefix="1" applyAlignment="1">
      <alignment horizontal="center"/>
    </xf>
    <xf numFmtId="0" fontId="28" fillId="0" borderId="0" xfId="0" applyFont="1"/>
    <xf numFmtId="0" fontId="28" fillId="0" borderId="0" xfId="0" applyFont="1" applyAlignment="1">
      <alignment horizontal="center"/>
    </xf>
    <xf numFmtId="164" fontId="8" fillId="0" borderId="0" xfId="62" applyNumberFormat="1" applyFont="1" applyAlignment="1">
      <alignment horizontal="center"/>
    </xf>
    <xf numFmtId="164" fontId="7" fillId="0" borderId="0" xfId="62" applyNumberFormat="1"/>
    <xf numFmtId="164" fontId="7" fillId="0" borderId="0" xfId="62" applyNumberFormat="1" applyAlignment="1">
      <alignment horizontal="center"/>
    </xf>
    <xf numFmtId="164" fontId="0" fillId="0" borderId="0" xfId="0" applyNumberFormat="1"/>
    <xf numFmtId="3" fontId="14" fillId="0" borderId="0" xfId="0" applyNumberFormat="1" applyFont="1"/>
    <xf numFmtId="166" fontId="14" fillId="0" borderId="0" xfId="0" applyNumberFormat="1" applyFont="1" applyAlignment="1">
      <alignment horizontal="center"/>
    </xf>
    <xf numFmtId="0" fontId="13" fillId="0" borderId="0" xfId="0" applyFont="1" applyAlignment="1">
      <alignment wrapText="1"/>
    </xf>
    <xf numFmtId="0" fontId="8" fillId="0" borderId="0" xfId="0" applyFont="1" applyAlignment="1">
      <alignment horizontal="center" wrapText="1"/>
    </xf>
    <xf numFmtId="0" fontId="29" fillId="0" borderId="0" xfId="0" applyFont="1"/>
    <xf numFmtId="168" fontId="8" fillId="0" borderId="0" xfId="0" applyNumberFormat="1" applyFont="1" applyAlignment="1">
      <alignment horizontal="center" wrapText="1"/>
    </xf>
    <xf numFmtId="168" fontId="8" fillId="0" borderId="0" xfId="0" applyNumberFormat="1" applyFont="1" applyAlignment="1">
      <alignment horizontal="center"/>
    </xf>
    <xf numFmtId="201" fontId="14" fillId="0" borderId="0" xfId="0" applyNumberFormat="1" applyFont="1"/>
    <xf numFmtId="0" fontId="76" fillId="0" borderId="0" xfId="508"/>
    <xf numFmtId="0" fontId="78" fillId="0" borderId="0" xfId="0" applyFont="1"/>
    <xf numFmtId="0" fontId="77" fillId="0" borderId="0" xfId="0" applyFont="1"/>
    <xf numFmtId="0" fontId="79" fillId="0" borderId="0" xfId="0" applyFont="1"/>
    <xf numFmtId="0" fontId="80" fillId="0" borderId="0" xfId="0" applyFont="1"/>
    <xf numFmtId="3" fontId="79" fillId="0" borderId="0" xfId="0" applyNumberFormat="1" applyFont="1" applyAlignment="1">
      <alignment horizontal="center" wrapText="1"/>
    </xf>
    <xf numFmtId="4" fontId="80" fillId="0" borderId="2" xfId="0" applyNumberFormat="1" applyFont="1" applyBorder="1"/>
    <xf numFmtId="3" fontId="79" fillId="0" borderId="2" xfId="0" applyNumberFormat="1" applyFont="1" applyBorder="1" applyAlignment="1">
      <alignment horizontal="right"/>
    </xf>
    <xf numFmtId="168" fontId="79" fillId="0" borderId="0" xfId="0" quotePrefix="1" applyNumberFormat="1" applyFont="1" applyAlignment="1">
      <alignment horizontal="center" wrapText="1"/>
    </xf>
    <xf numFmtId="4" fontId="79" fillId="0" borderId="2" xfId="0" applyNumberFormat="1" applyFont="1" applyBorder="1" applyAlignment="1">
      <alignment horizontal="right"/>
    </xf>
    <xf numFmtId="4" fontId="79" fillId="0" borderId="2" xfId="0" applyNumberFormat="1" applyFont="1" applyBorder="1"/>
    <xf numFmtId="0" fontId="82" fillId="38" borderId="0" xfId="0" applyFont="1" applyFill="1"/>
    <xf numFmtId="0" fontId="83" fillId="38" borderId="0" xfId="0" applyFont="1" applyFill="1" applyAlignment="1">
      <alignment horizontal="center" wrapText="1"/>
    </xf>
    <xf numFmtId="0" fontId="82" fillId="0" borderId="0" xfId="0" applyFont="1"/>
    <xf numFmtId="0" fontId="84" fillId="0" borderId="0" xfId="0" applyFont="1" applyAlignment="1">
      <alignment horizontal="right"/>
    </xf>
    <xf numFmtId="0" fontId="84" fillId="0" borderId="0" xfId="0" applyFont="1" applyAlignment="1">
      <alignment horizontal="right" wrapText="1"/>
    </xf>
    <xf numFmtId="0" fontId="78" fillId="0" borderId="0" xfId="0" applyFont="1" applyAlignment="1">
      <alignment horizontal="center" wrapText="1"/>
    </xf>
    <xf numFmtId="0" fontId="79" fillId="0" borderId="0" xfId="0" applyFont="1" applyAlignment="1">
      <alignment wrapText="1"/>
    </xf>
    <xf numFmtId="3" fontId="78" fillId="0" borderId="0" xfId="0" applyNumberFormat="1" applyFont="1"/>
    <xf numFmtId="0" fontId="78" fillId="0" borderId="0" xfId="0" applyFont="1" applyAlignment="1">
      <alignment horizontal="center"/>
    </xf>
    <xf numFmtId="3" fontId="78" fillId="0" borderId="0" xfId="0" applyNumberFormat="1" applyFont="1" applyAlignment="1">
      <alignment horizontal="center"/>
    </xf>
    <xf numFmtId="3" fontId="77" fillId="0" borderId="0" xfId="0" applyNumberFormat="1" applyFont="1" applyAlignment="1">
      <alignment horizontal="center"/>
    </xf>
    <xf numFmtId="0" fontId="78" fillId="0" borderId="0" xfId="0" applyFont="1" applyAlignment="1">
      <alignment horizontal="left" indent="3"/>
    </xf>
    <xf numFmtId="0" fontId="85" fillId="0" borderId="0" xfId="0" applyFont="1"/>
    <xf numFmtId="165" fontId="87" fillId="0" borderId="0" xfId="0" applyNumberFormat="1" applyFont="1" applyAlignment="1">
      <alignment horizontal="center"/>
    </xf>
    <xf numFmtId="0" fontId="87" fillId="0" borderId="0" xfId="0" applyFont="1" applyAlignment="1">
      <alignment horizontal="center"/>
    </xf>
    <xf numFmtId="164" fontId="78" fillId="0" borderId="0" xfId="62" applyNumberFormat="1" applyFont="1" applyAlignment="1">
      <alignment horizontal="center"/>
    </xf>
    <xf numFmtId="164" fontId="78" fillId="0" borderId="0" xfId="62" applyNumberFormat="1" applyFont="1"/>
    <xf numFmtId="164" fontId="79" fillId="0" borderId="0" xfId="62" applyNumberFormat="1" applyFont="1"/>
    <xf numFmtId="0" fontId="80" fillId="0" borderId="2" xfId="0" applyFont="1" applyBorder="1" applyAlignment="1">
      <alignment horizontal="center" wrapText="1"/>
    </xf>
    <xf numFmtId="0" fontId="87" fillId="0" borderId="0" xfId="0" applyFont="1"/>
    <xf numFmtId="3" fontId="79" fillId="0" borderId="2" xfId="0" applyNumberFormat="1" applyFont="1" applyBorder="1"/>
    <xf numFmtId="0" fontId="88" fillId="0" borderId="0" xfId="0" applyFont="1"/>
    <xf numFmtId="3" fontId="79" fillId="0" borderId="0" xfId="0" applyNumberFormat="1" applyFont="1"/>
    <xf numFmtId="0" fontId="81" fillId="0" borderId="0" xfId="0" applyFont="1"/>
    <xf numFmtId="0" fontId="83" fillId="0" borderId="0" xfId="0" applyFont="1" applyAlignment="1">
      <alignment horizontal="center" wrapText="1"/>
    </xf>
    <xf numFmtId="0" fontId="80" fillId="0" borderId="0" xfId="0" applyFont="1" applyAlignment="1">
      <alignment horizontal="left" vertical="center"/>
    </xf>
    <xf numFmtId="0" fontId="80" fillId="0" borderId="0" xfId="0" applyFont="1" applyAlignment="1">
      <alignment horizontal="left" vertical="center" wrapText="1"/>
    </xf>
    <xf numFmtId="0" fontId="80" fillId="0" borderId="2" xfId="0" applyFont="1" applyBorder="1" applyAlignment="1">
      <alignment horizontal="center" vertical="center" wrapText="1"/>
    </xf>
    <xf numFmtId="0" fontId="80" fillId="0" borderId="2" xfId="0" applyFont="1" applyBorder="1" applyAlignment="1">
      <alignment horizontal="center" vertical="center"/>
    </xf>
    <xf numFmtId="0" fontId="79" fillId="0" borderId="2" xfId="0" applyFont="1" applyBorder="1" applyAlignment="1">
      <alignment horizontal="left" vertical="center" wrapText="1"/>
    </xf>
    <xf numFmtId="164" fontId="79" fillId="0" borderId="2" xfId="62" applyNumberFormat="1" applyFont="1" applyBorder="1"/>
    <xf numFmtId="164" fontId="79" fillId="0" borderId="2" xfId="62" applyNumberFormat="1" applyFont="1" applyBorder="1" applyAlignment="1">
      <alignment horizontal="right"/>
    </xf>
    <xf numFmtId="164" fontId="79" fillId="11" borderId="2" xfId="62" applyNumberFormat="1" applyFont="1" applyFill="1" applyBorder="1"/>
    <xf numFmtId="0" fontId="89" fillId="38" borderId="0" xfId="0" applyFont="1" applyFill="1"/>
    <xf numFmtId="0" fontId="84" fillId="0" borderId="0" xfId="0" applyFont="1"/>
    <xf numFmtId="164" fontId="84" fillId="0" borderId="0" xfId="0" applyNumberFormat="1" applyFont="1"/>
    <xf numFmtId="0" fontId="90" fillId="0" borderId="0" xfId="292" applyFont="1" applyAlignment="1">
      <alignment horizontal="left"/>
    </xf>
    <xf numFmtId="0" fontId="80" fillId="0" borderId="0" xfId="292" applyFont="1" applyAlignment="1">
      <alignment wrapText="1"/>
    </xf>
    <xf numFmtId="0" fontId="80" fillId="0" borderId="2" xfId="117" applyFont="1" applyBorder="1">
      <alignment horizontal="center" wrapText="1"/>
    </xf>
    <xf numFmtId="0" fontId="80" fillId="15" borderId="2" xfId="117" applyFont="1" applyFill="1" applyBorder="1">
      <alignment horizontal="center" wrapText="1"/>
    </xf>
    <xf numFmtId="0" fontId="79" fillId="0" borderId="2" xfId="0" applyFont="1" applyBorder="1" applyAlignment="1">
      <alignment horizontal="left"/>
    </xf>
    <xf numFmtId="0" fontId="91" fillId="0" borderId="0" xfId="0" applyFont="1"/>
    <xf numFmtId="0" fontId="80" fillId="0" borderId="2" xfId="0" applyFont="1" applyBorder="1" applyAlignment="1">
      <alignment horizontal="center"/>
    </xf>
    <xf numFmtId="0" fontId="80" fillId="0" borderId="2" xfId="0" applyFont="1" applyBorder="1"/>
    <xf numFmtId="0" fontId="92" fillId="0" borderId="0" xfId="0" applyFont="1" applyAlignment="1">
      <alignment horizontal="left" indent="1"/>
    </xf>
    <xf numFmtId="41" fontId="92" fillId="0" borderId="0" xfId="62" applyNumberFormat="1" applyFont="1"/>
    <xf numFmtId="0" fontId="79" fillId="0" borderId="2" xfId="0" applyFont="1" applyBorder="1" applyAlignment="1">
      <alignment horizontal="left" indent="1"/>
    </xf>
    <xf numFmtId="0" fontId="92" fillId="0" borderId="0" xfId="0" applyFont="1"/>
    <xf numFmtId="0" fontId="78" fillId="0" borderId="2" xfId="0" applyFont="1" applyBorder="1"/>
    <xf numFmtId="0" fontId="94" fillId="0" borderId="0" xfId="0" applyFont="1"/>
    <xf numFmtId="168" fontId="80" fillId="0" borderId="0" xfId="0" applyNumberFormat="1" applyFont="1"/>
    <xf numFmtId="4" fontId="79" fillId="0" borderId="0" xfId="0" applyNumberFormat="1" applyFont="1"/>
    <xf numFmtId="0" fontId="79" fillId="0" borderId="2" xfId="0" applyFont="1" applyBorder="1"/>
    <xf numFmtId="2" fontId="79" fillId="0" borderId="2" xfId="0" applyNumberFormat="1" applyFont="1" applyBorder="1"/>
    <xf numFmtId="179" fontId="79" fillId="11" borderId="2" xfId="0" applyNumberFormat="1" applyFont="1" applyFill="1" applyBorder="1"/>
    <xf numFmtId="0" fontId="95" fillId="0" borderId="0" xfId="0" applyFont="1"/>
    <xf numFmtId="0" fontId="82" fillId="13" borderId="0" xfId="0" applyFont="1" applyFill="1"/>
    <xf numFmtId="0" fontId="82" fillId="13" borderId="0" xfId="0" applyFont="1" applyFill="1" applyAlignment="1">
      <alignment horizontal="center" wrapText="1"/>
    </xf>
    <xf numFmtId="0" fontId="97" fillId="0" borderId="0" xfId="0" applyFont="1" applyAlignment="1">
      <alignment horizontal="right"/>
    </xf>
    <xf numFmtId="0" fontId="97" fillId="0" borderId="0" xfId="0" applyFont="1" applyAlignment="1">
      <alignment horizontal="right" wrapText="1"/>
    </xf>
    <xf numFmtId="0" fontId="80" fillId="0" borderId="0" xfId="197" applyFont="1" applyAlignment="1">
      <alignment horizontal="left" wrapText="1"/>
    </xf>
    <xf numFmtId="0" fontId="80" fillId="0" borderId="0" xfId="197" applyFont="1" applyAlignment="1">
      <alignment horizontal="left"/>
    </xf>
    <xf numFmtId="0" fontId="79" fillId="0" borderId="0" xfId="197" applyFont="1"/>
    <xf numFmtId="0" fontId="80" fillId="0" borderId="0" xfId="197" applyFont="1" applyAlignment="1">
      <alignment horizontal="center"/>
    </xf>
    <xf numFmtId="9" fontId="79" fillId="0" borderId="2" xfId="227" applyFont="1" applyBorder="1"/>
    <xf numFmtId="0" fontId="80" fillId="0" borderId="0" xfId="197" quotePrefix="1" applyFont="1" applyAlignment="1">
      <alignment horizontal="center" vertical="top"/>
    </xf>
    <xf numFmtId="0" fontId="96" fillId="0" borderId="0" xfId="0" applyFont="1"/>
    <xf numFmtId="0" fontId="82" fillId="0" borderId="0" xfId="0" applyFont="1" applyAlignment="1">
      <alignment horizontal="center" wrapText="1"/>
    </xf>
    <xf numFmtId="43" fontId="79" fillId="0" borderId="2" xfId="62" applyFont="1" applyBorder="1"/>
    <xf numFmtId="0" fontId="13" fillId="39" borderId="6" xfId="0" applyFont="1" applyFill="1" applyBorder="1" applyAlignment="1">
      <alignment horizontal="left"/>
    </xf>
    <xf numFmtId="0" fontId="80" fillId="0" borderId="0" xfId="0" applyFont="1" applyAlignment="1">
      <alignment wrapText="1"/>
    </xf>
    <xf numFmtId="0" fontId="80" fillId="11" borderId="2" xfId="0" applyFont="1" applyFill="1" applyBorder="1" applyAlignment="1">
      <alignment horizontal="center" wrapText="1"/>
    </xf>
    <xf numFmtId="0" fontId="80" fillId="11" borderId="4" xfId="0" applyFont="1" applyFill="1" applyBorder="1" applyAlignment="1">
      <alignment horizontal="center" wrapText="1"/>
    </xf>
    <xf numFmtId="0" fontId="80" fillId="10" borderId="2" xfId="0" applyFont="1" applyFill="1" applyBorder="1" applyAlignment="1">
      <alignment horizontal="center" wrapText="1"/>
    </xf>
    <xf numFmtId="3" fontId="99" fillId="0" borderId="0" xfId="0" applyNumberFormat="1" applyFont="1"/>
    <xf numFmtId="0" fontId="100" fillId="0" borderId="0" xfId="0" applyFont="1"/>
    <xf numFmtId="0" fontId="100" fillId="0" borderId="0" xfId="0" applyFont="1" applyAlignment="1">
      <alignment wrapText="1"/>
    </xf>
    <xf numFmtId="0" fontId="79" fillId="0" borderId="26" xfId="0" applyFont="1" applyBorder="1" applyAlignment="1">
      <alignment wrapText="1"/>
    </xf>
    <xf numFmtId="165" fontId="79" fillId="11" borderId="2" xfId="0" applyNumberFormat="1" applyFont="1" applyFill="1" applyBorder="1" applyAlignment="1">
      <alignment wrapText="1"/>
    </xf>
    <xf numFmtId="0" fontId="85" fillId="0" borderId="0" xfId="0" applyFont="1" applyAlignment="1">
      <alignment horizontal="left" indent="1"/>
    </xf>
    <xf numFmtId="165" fontId="85" fillId="11" borderId="2" xfId="0" applyNumberFormat="1" applyFont="1" applyFill="1" applyBorder="1" applyAlignment="1">
      <alignment wrapText="1"/>
    </xf>
    <xf numFmtId="0" fontId="85" fillId="0" borderId="0" xfId="0" applyFont="1" applyAlignment="1">
      <alignment wrapText="1"/>
    </xf>
    <xf numFmtId="0" fontId="85" fillId="0" borderId="29" xfId="0" applyFont="1" applyBorder="1" applyAlignment="1">
      <alignment horizontal="left" indent="1"/>
    </xf>
    <xf numFmtId="165" fontId="79" fillId="0" borderId="0" xfId="0" applyNumberFormat="1" applyFont="1" applyAlignment="1">
      <alignment wrapText="1"/>
    </xf>
    <xf numFmtId="0" fontId="79" fillId="0" borderId="2" xfId="0" applyFont="1" applyBorder="1" applyAlignment="1">
      <alignment wrapText="1"/>
    </xf>
    <xf numFmtId="0" fontId="79" fillId="0" borderId="2" xfId="0" applyFont="1" applyBorder="1" applyAlignment="1">
      <alignment horizontal="left" wrapText="1"/>
    </xf>
    <xf numFmtId="0" fontId="80" fillId="10" borderId="4" xfId="0" applyFont="1" applyFill="1" applyBorder="1" applyAlignment="1">
      <alignment horizontal="center" wrapText="1"/>
    </xf>
    <xf numFmtId="0" fontId="102" fillId="0" borderId="0" xfId="0" applyFont="1" applyAlignment="1">
      <alignment wrapText="1"/>
    </xf>
    <xf numFmtId="43" fontId="102" fillId="0" borderId="0" xfId="77" applyNumberFormat="1" applyFont="1" applyAlignment="1">
      <alignment wrapText="1"/>
    </xf>
    <xf numFmtId="0" fontId="103" fillId="0" borderId="0" xfId="508" applyFont="1"/>
    <xf numFmtId="0" fontId="87" fillId="0" borderId="0" xfId="0" applyFont="1" applyAlignment="1">
      <alignment wrapText="1"/>
    </xf>
    <xf numFmtId="3" fontId="104" fillId="0" borderId="0" xfId="0" applyNumberFormat="1" applyFont="1"/>
    <xf numFmtId="0" fontId="80" fillId="11" borderId="2" xfId="0" applyFont="1" applyFill="1" applyBorder="1" applyAlignment="1">
      <alignment horizontal="center" vertical="center" wrapText="1"/>
    </xf>
    <xf numFmtId="49" fontId="79" fillId="0" borderId="0" xfId="95" applyNumberFormat="1" applyFont="1"/>
    <xf numFmtId="164" fontId="79" fillId="41" borderId="2" xfId="62" applyNumberFormat="1" applyFont="1" applyFill="1" applyBorder="1"/>
    <xf numFmtId="164" fontId="79" fillId="11" borderId="2" xfId="62" applyNumberFormat="1" applyFont="1" applyFill="1" applyBorder="1" applyAlignment="1">
      <alignment wrapText="1"/>
    </xf>
    <xf numFmtId="165" fontId="87" fillId="0" borderId="0" xfId="0" applyNumberFormat="1" applyFont="1" applyAlignment="1">
      <alignment wrapText="1"/>
    </xf>
    <xf numFmtId="0" fontId="78" fillId="0" borderId="0" xfId="0" applyFont="1" applyAlignment="1">
      <alignment wrapText="1"/>
    </xf>
    <xf numFmtId="0" fontId="78" fillId="0" borderId="2" xfId="0" applyFont="1" applyBorder="1" applyAlignment="1">
      <alignment wrapText="1"/>
    </xf>
    <xf numFmtId="0" fontId="80" fillId="0" borderId="0" xfId="0" applyFont="1" applyAlignment="1">
      <alignment horizontal="center" wrapText="1"/>
    </xf>
    <xf numFmtId="0" fontId="80" fillId="0" borderId="0" xfId="0" applyFont="1" applyAlignment="1">
      <alignment horizontal="center"/>
    </xf>
    <xf numFmtId="3" fontId="80" fillId="0" borderId="0" xfId="0" applyNumberFormat="1" applyFont="1" applyAlignment="1">
      <alignment horizontal="center"/>
    </xf>
    <xf numFmtId="3" fontId="80" fillId="0" borderId="0" xfId="0" applyNumberFormat="1" applyFont="1"/>
    <xf numFmtId="166" fontId="80" fillId="0" borderId="0" xfId="0" applyNumberFormat="1" applyFont="1" applyAlignment="1">
      <alignment horizontal="center"/>
    </xf>
    <xf numFmtId="4" fontId="80" fillId="0" borderId="0" xfId="0" applyNumberFormat="1" applyFont="1" applyAlignment="1">
      <alignment horizontal="center"/>
    </xf>
    <xf numFmtId="201" fontId="80" fillId="0" borderId="0" xfId="0" applyNumberFormat="1" applyFont="1"/>
    <xf numFmtId="0" fontId="79" fillId="0" borderId="29" xfId="0" applyFont="1" applyBorder="1" applyAlignment="1">
      <alignment wrapText="1"/>
    </xf>
    <xf numFmtId="3" fontId="79" fillId="0" borderId="2" xfId="62" applyNumberFormat="1" applyFont="1" applyBorder="1" applyAlignment="1">
      <alignment horizontal="right"/>
    </xf>
    <xf numFmtId="3" fontId="79" fillId="0" borderId="0" xfId="0" applyNumberFormat="1" applyFont="1" applyAlignment="1">
      <alignment horizontal="right"/>
    </xf>
    <xf numFmtId="0" fontId="80" fillId="0" borderId="2" xfId="0" applyFont="1" applyBorder="1" applyAlignment="1">
      <alignment wrapText="1"/>
    </xf>
    <xf numFmtId="0" fontId="29" fillId="39" borderId="6" xfId="0" applyFont="1" applyFill="1" applyBorder="1"/>
    <xf numFmtId="0" fontId="29" fillId="39" borderId="6" xfId="0" applyFont="1" applyFill="1" applyBorder="1" applyAlignment="1">
      <alignment horizontal="center"/>
    </xf>
    <xf numFmtId="0" fontId="81" fillId="12" borderId="0" xfId="0" applyFont="1" applyFill="1"/>
    <xf numFmtId="0" fontId="79" fillId="12" borderId="0" xfId="0" applyFont="1" applyFill="1"/>
    <xf numFmtId="0" fontId="79" fillId="12" borderId="0" xfId="0" applyFont="1" applyFill="1" applyAlignment="1">
      <alignment horizontal="center"/>
    </xf>
    <xf numFmtId="0" fontId="80" fillId="4" borderId="33" xfId="0" applyFont="1" applyFill="1" applyBorder="1"/>
    <xf numFmtId="0" fontId="80" fillId="0" borderId="1" xfId="0" applyFont="1" applyBorder="1"/>
    <xf numFmtId="43" fontId="80" fillId="0" borderId="36" xfId="0" applyNumberFormat="1" applyFont="1" applyBorder="1" applyAlignment="1">
      <alignment horizontal="right"/>
    </xf>
    <xf numFmtId="43" fontId="79" fillId="0" borderId="0" xfId="0" applyNumberFormat="1" applyFont="1" applyAlignment="1">
      <alignment horizontal="right"/>
    </xf>
    <xf numFmtId="43" fontId="79" fillId="0" borderId="24" xfId="0" applyNumberFormat="1" applyFont="1" applyBorder="1"/>
    <xf numFmtId="43" fontId="79" fillId="0" borderId="0" xfId="0" applyNumberFormat="1" applyFont="1"/>
    <xf numFmtId="43" fontId="79" fillId="0" borderId="28" xfId="0" applyNumberFormat="1" applyFont="1" applyBorder="1"/>
    <xf numFmtId="43" fontId="79" fillId="0" borderId="6" xfId="0" applyNumberFormat="1" applyFont="1" applyBorder="1"/>
    <xf numFmtId="0" fontId="80" fillId="0" borderId="33" xfId="0" applyFont="1" applyBorder="1"/>
    <xf numFmtId="43" fontId="80" fillId="0" borderId="27" xfId="0" applyNumberFormat="1" applyFont="1" applyBorder="1"/>
    <xf numFmtId="43" fontId="80" fillId="0" borderId="26" xfId="0" applyNumberFormat="1" applyFont="1" applyBorder="1"/>
    <xf numFmtId="43" fontId="80" fillId="0" borderId="33" xfId="0" applyNumberFormat="1" applyFont="1" applyBorder="1"/>
    <xf numFmtId="0" fontId="80" fillId="0" borderId="33" xfId="0" applyFont="1" applyBorder="1" applyAlignment="1">
      <alignment horizontal="center" vertical="center"/>
    </xf>
    <xf numFmtId="0" fontId="80" fillId="0" borderId="0" xfId="0" applyFont="1" applyAlignment="1">
      <alignment horizontal="center" vertical="center"/>
    </xf>
    <xf numFmtId="43" fontId="80" fillId="0" borderId="34" xfId="0" applyNumberFormat="1" applyFont="1" applyBorder="1" applyAlignment="1">
      <alignment horizontal="right"/>
    </xf>
    <xf numFmtId="43" fontId="80" fillId="0" borderId="29" xfId="0" applyNumberFormat="1" applyFont="1" applyBorder="1" applyAlignment="1">
      <alignment horizontal="right"/>
    </xf>
    <xf numFmtId="43" fontId="80" fillId="0" borderId="0" xfId="0" applyNumberFormat="1" applyFont="1" applyAlignment="1">
      <alignment horizontal="right"/>
    </xf>
    <xf numFmtId="0" fontId="79" fillId="0" borderId="0" xfId="0" applyFont="1" applyAlignment="1">
      <alignment horizontal="left" indent="1"/>
    </xf>
    <xf numFmtId="43" fontId="79" fillId="0" borderId="24" xfId="0" applyNumberFormat="1" applyFont="1" applyBorder="1" applyAlignment="1">
      <alignment horizontal="right"/>
    </xf>
    <xf numFmtId="43" fontId="79" fillId="0" borderId="1" xfId="0" applyNumberFormat="1" applyFont="1" applyBorder="1" applyAlignment="1">
      <alignment horizontal="right"/>
    </xf>
    <xf numFmtId="0" fontId="79" fillId="0" borderId="6" xfId="0" applyFont="1" applyBorder="1" applyAlignment="1">
      <alignment horizontal="left" indent="1"/>
    </xf>
    <xf numFmtId="43" fontId="79" fillId="0" borderId="28" xfId="0" applyNumberFormat="1" applyFont="1" applyBorder="1" applyAlignment="1">
      <alignment horizontal="right"/>
    </xf>
    <xf numFmtId="43" fontId="79" fillId="0" borderId="6" xfId="0" applyNumberFormat="1" applyFont="1" applyBorder="1" applyAlignment="1">
      <alignment horizontal="right"/>
    </xf>
    <xf numFmtId="43" fontId="79" fillId="0" borderId="30" xfId="0" applyNumberFormat="1" applyFont="1" applyBorder="1" applyAlignment="1">
      <alignment horizontal="right"/>
    </xf>
    <xf numFmtId="43" fontId="80" fillId="0" borderId="34" xfId="0" applyNumberFormat="1" applyFont="1" applyBorder="1"/>
    <xf numFmtId="43" fontId="80" fillId="0" borderId="29" xfId="0" applyNumberFormat="1" applyFont="1" applyBorder="1"/>
    <xf numFmtId="43" fontId="80" fillId="0" borderId="34" xfId="62" applyFont="1" applyBorder="1" applyAlignment="1">
      <alignment horizontal="center"/>
    </xf>
    <xf numFmtId="43" fontId="80" fillId="0" borderId="29" xfId="62" applyFont="1" applyBorder="1" applyAlignment="1">
      <alignment horizontal="center"/>
    </xf>
    <xf numFmtId="43" fontId="80" fillId="0" borderId="29" xfId="0" applyNumberFormat="1" applyFont="1" applyBorder="1" applyAlignment="1">
      <alignment horizontal="center"/>
    </xf>
    <xf numFmtId="43" fontId="80" fillId="0" borderId="34" xfId="0" applyNumberFormat="1" applyFont="1" applyBorder="1" applyAlignment="1">
      <alignment horizontal="center"/>
    </xf>
    <xf numFmtId="43" fontId="80" fillId="0" borderId="36" xfId="0" applyNumberFormat="1" applyFont="1" applyBorder="1" applyAlignment="1">
      <alignment horizontal="center"/>
    </xf>
    <xf numFmtId="0" fontId="79" fillId="0" borderId="1" xfId="0" applyFont="1" applyBorder="1" applyAlignment="1">
      <alignment horizontal="left" indent="1"/>
    </xf>
    <xf numFmtId="43" fontId="79" fillId="0" borderId="24" xfId="62" applyFont="1" applyBorder="1" applyAlignment="1">
      <alignment horizontal="center"/>
    </xf>
    <xf numFmtId="43" fontId="79" fillId="0" borderId="0" xfId="62" applyFont="1" applyAlignment="1">
      <alignment horizontal="center"/>
    </xf>
    <xf numFmtId="43" fontId="79" fillId="0" borderId="0" xfId="0" applyNumberFormat="1" applyFont="1" applyAlignment="1">
      <alignment horizontal="center"/>
    </xf>
    <xf numFmtId="43" fontId="79" fillId="0" borderId="24" xfId="0" applyNumberFormat="1" applyFont="1" applyBorder="1" applyAlignment="1">
      <alignment horizontal="center"/>
    </xf>
    <xf numFmtId="43" fontId="79" fillId="0" borderId="1" xfId="0" applyNumberFormat="1" applyFont="1" applyBorder="1" applyAlignment="1">
      <alignment horizontal="center"/>
    </xf>
    <xf numFmtId="0" fontId="79" fillId="0" borderId="30" xfId="0" applyFont="1" applyBorder="1" applyAlignment="1">
      <alignment horizontal="left" indent="1"/>
    </xf>
    <xf numFmtId="43" fontId="79" fillId="0" borderId="28" xfId="62" applyFont="1" applyBorder="1" applyAlignment="1">
      <alignment horizontal="center"/>
    </xf>
    <xf numFmtId="43" fontId="79" fillId="0" borderId="6" xfId="62" applyFont="1" applyBorder="1" applyAlignment="1">
      <alignment horizontal="center"/>
    </xf>
    <xf numFmtId="43" fontId="79" fillId="0" borderId="6" xfId="0" applyNumberFormat="1" applyFont="1" applyBorder="1" applyAlignment="1">
      <alignment horizontal="center"/>
    </xf>
    <xf numFmtId="43" fontId="79" fillId="0" borderId="28" xfId="0" applyNumberFormat="1" applyFont="1" applyBorder="1" applyAlignment="1">
      <alignment horizontal="center"/>
    </xf>
    <xf numFmtId="43" fontId="79" fillId="0" borderId="30" xfId="0" applyNumberFormat="1" applyFont="1" applyBorder="1" applyAlignment="1">
      <alignment horizontal="center"/>
    </xf>
    <xf numFmtId="43" fontId="79" fillId="0" borderId="1" xfId="0" applyNumberFormat="1" applyFont="1" applyBorder="1"/>
    <xf numFmtId="43" fontId="80" fillId="0" borderId="36" xfId="0" applyNumberFormat="1" applyFont="1" applyBorder="1"/>
    <xf numFmtId="43" fontId="80" fillId="0" borderId="0" xfId="0" applyNumberFormat="1" applyFont="1"/>
    <xf numFmtId="43" fontId="79" fillId="0" borderId="30" xfId="0" applyNumberFormat="1" applyFont="1" applyBorder="1"/>
    <xf numFmtId="200" fontId="79" fillId="0" borderId="0" xfId="0" applyNumberFormat="1" applyFont="1"/>
    <xf numFmtId="0" fontId="79" fillId="0" borderId="2" xfId="0" applyFont="1" applyBorder="1" applyAlignment="1">
      <alignment horizontal="center" wrapText="1"/>
    </xf>
    <xf numFmtId="0" fontId="80" fillId="39" borderId="0" xfId="0" applyFont="1" applyFill="1"/>
    <xf numFmtId="0" fontId="79" fillId="39" borderId="0" xfId="0" applyFont="1" applyFill="1"/>
    <xf numFmtId="0" fontId="79" fillId="0" borderId="29" xfId="0" applyFont="1" applyBorder="1" applyAlignment="1">
      <alignment horizontal="left"/>
    </xf>
    <xf numFmtId="0" fontId="79" fillId="0" borderId="29" xfId="0" applyFont="1" applyBorder="1"/>
    <xf numFmtId="0" fontId="79" fillId="0" borderId="0" xfId="0" applyFont="1" applyAlignment="1">
      <alignment horizontal="left" indent="3"/>
    </xf>
    <xf numFmtId="0" fontId="79" fillId="0" borderId="4" xfId="0" applyFont="1" applyBorder="1" applyAlignment="1">
      <alignment wrapText="1"/>
    </xf>
    <xf numFmtId="0" fontId="80" fillId="40" borderId="2" xfId="0" applyFont="1" applyFill="1" applyBorder="1" applyAlignment="1">
      <alignment wrapText="1"/>
    </xf>
    <xf numFmtId="0" fontId="79" fillId="0" borderId="6" xfId="0" applyFont="1" applyBorder="1" applyAlignment="1">
      <alignment wrapText="1"/>
    </xf>
    <xf numFmtId="0" fontId="79" fillId="0" borderId="6" xfId="0" applyFont="1" applyBorder="1"/>
    <xf numFmtId="0" fontId="79" fillId="39" borderId="6" xfId="0" applyFont="1" applyFill="1" applyBorder="1"/>
    <xf numFmtId="0" fontId="79" fillId="0" borderId="29" xfId="0" applyFont="1" applyBorder="1" applyAlignment="1">
      <alignment horizontal="center"/>
    </xf>
    <xf numFmtId="3" fontId="79" fillId="0" borderId="29" xfId="0" applyNumberFormat="1" applyFont="1" applyBorder="1" applyAlignment="1">
      <alignment horizontal="center" wrapText="1"/>
    </xf>
    <xf numFmtId="3" fontId="79" fillId="0" borderId="2" xfId="0" applyNumberFormat="1" applyFont="1" applyBorder="1" applyAlignment="1">
      <alignment horizontal="center"/>
    </xf>
    <xf numFmtId="166" fontId="79" fillId="0" borderId="24" xfId="0" applyNumberFormat="1" applyFont="1" applyBorder="1" applyAlignment="1">
      <alignment horizontal="center"/>
    </xf>
    <xf numFmtId="4" fontId="79" fillId="0" borderId="2" xfId="0" applyNumberFormat="1" applyFont="1" applyBorder="1" applyAlignment="1">
      <alignment horizontal="center"/>
    </xf>
    <xf numFmtId="167" fontId="79" fillId="0" borderId="0" xfId="0" applyNumberFormat="1" applyFont="1"/>
    <xf numFmtId="3" fontId="79" fillId="0" borderId="0" xfId="0" applyNumberFormat="1" applyFont="1" applyAlignment="1">
      <alignment horizontal="center"/>
    </xf>
    <xf numFmtId="166" fontId="79" fillId="0" borderId="0" xfId="0" applyNumberFormat="1" applyFont="1" applyAlignment="1">
      <alignment horizontal="center"/>
    </xf>
    <xf numFmtId="0" fontId="80" fillId="40" borderId="0" xfId="0" applyFont="1" applyFill="1"/>
    <xf numFmtId="3" fontId="80" fillId="40" borderId="0" xfId="0" applyNumberFormat="1" applyFont="1" applyFill="1"/>
    <xf numFmtId="0" fontId="80" fillId="40" borderId="0" xfId="0" applyFont="1" applyFill="1" applyAlignment="1">
      <alignment horizontal="center"/>
    </xf>
    <xf numFmtId="3" fontId="80" fillId="40" borderId="0" xfId="0" applyNumberFormat="1" applyFont="1" applyFill="1" applyAlignment="1">
      <alignment horizontal="center"/>
    </xf>
    <xf numFmtId="166" fontId="80" fillId="40" borderId="0" xfId="0" applyNumberFormat="1" applyFont="1" applyFill="1" applyAlignment="1">
      <alignment horizontal="center"/>
    </xf>
    <xf numFmtId="4" fontId="80" fillId="40" borderId="2" xfId="0" applyNumberFormat="1" applyFont="1" applyFill="1" applyBorder="1" applyAlignment="1">
      <alignment horizontal="center"/>
    </xf>
    <xf numFmtId="168" fontId="80" fillId="0" borderId="6" xfId="0" applyNumberFormat="1" applyFont="1" applyBorder="1" applyAlignment="1">
      <alignment horizontal="center"/>
    </xf>
    <xf numFmtId="0" fontId="80" fillId="0" borderId="6" xfId="0" applyFont="1" applyBorder="1"/>
    <xf numFmtId="3" fontId="80" fillId="0" borderId="6" xfId="0" applyNumberFormat="1" applyFont="1" applyBorder="1" applyAlignment="1">
      <alignment horizontal="center"/>
    </xf>
    <xf numFmtId="168" fontId="80" fillId="0" borderId="0" xfId="0" applyNumberFormat="1" applyFont="1" applyAlignment="1">
      <alignment horizontal="center"/>
    </xf>
    <xf numFmtId="168" fontId="79" fillId="0" borderId="29" xfId="0" quotePrefix="1" applyNumberFormat="1" applyFont="1" applyBorder="1" applyAlignment="1">
      <alignment horizontal="center" wrapText="1"/>
    </xf>
    <xf numFmtId="0" fontId="79" fillId="40" borderId="0" xfId="0" applyFont="1" applyFill="1"/>
    <xf numFmtId="168" fontId="79" fillId="0" borderId="6" xfId="0" applyNumberFormat="1" applyFont="1" applyBorder="1" applyAlignment="1">
      <alignment horizontal="center"/>
    </xf>
    <xf numFmtId="0" fontId="78" fillId="11" borderId="2" xfId="0" applyFont="1" applyFill="1" applyBorder="1" applyAlignment="1">
      <alignment wrapText="1"/>
    </xf>
    <xf numFmtId="1" fontId="78" fillId="10" borderId="2" xfId="0" applyNumberFormat="1" applyFont="1" applyFill="1" applyBorder="1" applyAlignment="1">
      <alignment wrapText="1"/>
    </xf>
    <xf numFmtId="0" fontId="78" fillId="11" borderId="2" xfId="0" applyFont="1" applyFill="1" applyBorder="1" applyAlignment="1">
      <alignment horizontal="right" wrapText="1"/>
    </xf>
    <xf numFmtId="9" fontId="78" fillId="11" borderId="2" xfId="227" applyFont="1" applyFill="1" applyBorder="1"/>
    <xf numFmtId="43" fontId="78" fillId="0" borderId="0" xfId="0" applyNumberFormat="1" applyFont="1"/>
    <xf numFmtId="0" fontId="77" fillId="0" borderId="0" xfId="0" applyFont="1" applyAlignment="1">
      <alignment wrapText="1"/>
    </xf>
    <xf numFmtId="0" fontId="78" fillId="11" borderId="2" xfId="0" applyFont="1" applyFill="1" applyBorder="1"/>
    <xf numFmtId="0" fontId="78" fillId="10" borderId="2" xfId="0" applyFont="1" applyFill="1" applyBorder="1" applyAlignment="1">
      <alignment wrapText="1"/>
    </xf>
    <xf numFmtId="0" fontId="7" fillId="42" borderId="0" xfId="0" applyFont="1" applyFill="1" applyAlignment="1">
      <alignment wrapText="1"/>
    </xf>
    <xf numFmtId="0" fontId="107" fillId="44" borderId="46" xfId="0" applyFont="1" applyFill="1" applyBorder="1" applyAlignment="1">
      <alignment horizontal="left" vertical="center"/>
    </xf>
    <xf numFmtId="0" fontId="108" fillId="44" borderId="47" xfId="0" applyFont="1" applyFill="1" applyBorder="1" applyAlignment="1">
      <alignment vertical="center" wrapText="1"/>
    </xf>
    <xf numFmtId="0" fontId="7" fillId="44" borderId="47" xfId="0" applyFont="1" applyFill="1" applyBorder="1" applyAlignment="1">
      <alignment wrapText="1"/>
    </xf>
    <xf numFmtId="0" fontId="107" fillId="44" borderId="48" xfId="0" applyFont="1" applyFill="1" applyBorder="1" applyAlignment="1">
      <alignment horizontal="left" vertical="center"/>
    </xf>
    <xf numFmtId="0" fontId="7" fillId="44" borderId="49" xfId="0" applyFont="1" applyFill="1" applyBorder="1" applyAlignment="1">
      <alignment wrapText="1"/>
    </xf>
    <xf numFmtId="0" fontId="109" fillId="43" borderId="48" xfId="0" applyFont="1" applyFill="1" applyBorder="1"/>
    <xf numFmtId="0" fontId="109" fillId="43" borderId="49" xfId="0" applyFont="1" applyFill="1" applyBorder="1" applyAlignment="1">
      <alignment horizontal="left" vertical="center" wrapText="1"/>
    </xf>
    <xf numFmtId="0" fontId="7" fillId="44" borderId="47" xfId="0" applyFont="1" applyFill="1" applyBorder="1" applyAlignment="1">
      <alignment vertical="center" wrapText="1"/>
    </xf>
    <xf numFmtId="0" fontId="7" fillId="44" borderId="47" xfId="0" applyFont="1" applyFill="1" applyBorder="1"/>
    <xf numFmtId="0" fontId="7" fillId="44" borderId="49" xfId="0" applyFont="1" applyFill="1" applyBorder="1"/>
    <xf numFmtId="0" fontId="110" fillId="11" borderId="0" xfId="0" applyFont="1" applyFill="1" applyAlignment="1">
      <alignment wrapText="1"/>
    </xf>
    <xf numFmtId="0" fontId="105" fillId="43" borderId="51" xfId="0" applyFont="1" applyFill="1" applyBorder="1"/>
    <xf numFmtId="0" fontId="105" fillId="43" borderId="50" xfId="0" applyFont="1" applyFill="1" applyBorder="1"/>
    <xf numFmtId="0" fontId="107" fillId="44" borderId="46" xfId="508" applyFont="1" applyFill="1" applyBorder="1" applyAlignment="1">
      <alignment horizontal="left" vertical="center"/>
    </xf>
    <xf numFmtId="0" fontId="7" fillId="45" borderId="52" xfId="0" applyFont="1" applyFill="1" applyBorder="1"/>
    <xf numFmtId="0" fontId="7" fillId="42" borderId="47" xfId="0" applyFont="1" applyFill="1" applyBorder="1" applyAlignment="1">
      <alignment wrapText="1"/>
    </xf>
    <xf numFmtId="0" fontId="90" fillId="0" borderId="0" xfId="0" applyFont="1"/>
    <xf numFmtId="0" fontId="90" fillId="0" borderId="0" xfId="0" applyFont="1" applyAlignment="1">
      <alignment horizontal="centerContinuous"/>
    </xf>
    <xf numFmtId="0" fontId="80" fillId="0" borderId="35" xfId="0" applyFont="1" applyBorder="1" applyAlignment="1">
      <alignment horizontal="center"/>
    </xf>
    <xf numFmtId="3" fontId="79" fillId="47" borderId="2" xfId="0" applyNumberFormat="1" applyFont="1" applyFill="1" applyBorder="1" applyAlignment="1">
      <alignment horizontal="right"/>
    </xf>
    <xf numFmtId="4" fontId="79" fillId="46" borderId="2" xfId="0" applyNumberFormat="1" applyFont="1" applyFill="1" applyBorder="1" applyAlignment="1">
      <alignment horizontal="right"/>
    </xf>
    <xf numFmtId="166" fontId="13" fillId="45" borderId="2" xfId="0" applyNumberFormat="1" applyFont="1" applyFill="1" applyBorder="1"/>
    <xf numFmtId="43" fontId="8" fillId="0" borderId="0" xfId="62" applyFont="1"/>
    <xf numFmtId="4" fontId="0" fillId="0" borderId="0" xfId="0" applyNumberFormat="1"/>
    <xf numFmtId="182" fontId="79" fillId="0" borderId="2" xfId="62" applyNumberFormat="1" applyFont="1" applyBorder="1"/>
    <xf numFmtId="3" fontId="87" fillId="0" borderId="2" xfId="0" applyNumberFormat="1" applyFont="1" applyBorder="1"/>
    <xf numFmtId="164" fontId="79" fillId="10" borderId="2" xfId="62" applyNumberFormat="1" applyFont="1" applyFill="1" applyBorder="1"/>
    <xf numFmtId="164" fontId="79" fillId="10" borderId="2" xfId="62" applyNumberFormat="1" applyFont="1" applyFill="1" applyBorder="1" applyAlignment="1">
      <alignment wrapText="1"/>
    </xf>
    <xf numFmtId="166" fontId="79" fillId="46" borderId="2" xfId="0" applyNumberFormat="1" applyFont="1" applyFill="1" applyBorder="1" applyAlignment="1">
      <alignment horizontal="right"/>
    </xf>
    <xf numFmtId="0" fontId="8" fillId="0" borderId="0" xfId="0" applyFont="1" applyAlignment="1">
      <alignment horizontal="left" indent="3"/>
    </xf>
    <xf numFmtId="3" fontId="8" fillId="0" borderId="0" xfId="0" applyNumberFormat="1" applyFont="1" applyAlignment="1">
      <alignment horizontal="center" wrapText="1"/>
    </xf>
    <xf numFmtId="166" fontId="8" fillId="0" borderId="0" xfId="0" applyNumberFormat="1" applyFont="1" applyAlignment="1">
      <alignment horizontal="center"/>
    </xf>
    <xf numFmtId="0" fontId="14" fillId="0" borderId="0" xfId="0" applyFont="1" applyAlignment="1">
      <alignment horizontal="left" indent="1"/>
    </xf>
    <xf numFmtId="0" fontId="111" fillId="12" borderId="0" xfId="0" applyFont="1" applyFill="1"/>
    <xf numFmtId="0" fontId="112" fillId="0" borderId="0" xfId="0" applyFont="1"/>
    <xf numFmtId="0" fontId="111" fillId="0" borderId="0" xfId="0" applyFont="1"/>
    <xf numFmtId="0" fontId="115" fillId="0" borderId="0" xfId="155" applyFont="1"/>
    <xf numFmtId="0" fontId="116" fillId="0" borderId="0" xfId="155" applyFont="1"/>
    <xf numFmtId="0" fontId="117" fillId="51" borderId="56" xfId="155" applyFont="1" applyFill="1" applyBorder="1" applyAlignment="1">
      <alignment horizontal="left" readingOrder="1"/>
    </xf>
    <xf numFmtId="0" fontId="118" fillId="0" borderId="0" xfId="155" applyFont="1"/>
    <xf numFmtId="0" fontId="119" fillId="0" borderId="0" xfId="155" applyFont="1" applyAlignment="1">
      <alignment horizontal="left" indent="2"/>
    </xf>
    <xf numFmtId="0" fontId="122" fillId="0" borderId="0" xfId="155" applyFont="1"/>
    <xf numFmtId="0" fontId="26" fillId="0" borderId="0" xfId="155" applyFont="1"/>
    <xf numFmtId="0" fontId="26" fillId="0" borderId="32" xfId="155" applyFont="1" applyBorder="1" applyAlignment="1">
      <alignment vertical="top" wrapText="1"/>
    </xf>
    <xf numFmtId="0" fontId="51" fillId="0" borderId="54" xfId="155" applyFont="1" applyBorder="1" applyAlignment="1">
      <alignment wrapText="1"/>
    </xf>
    <xf numFmtId="0" fontId="26" fillId="0" borderId="32" xfId="155" applyFont="1" applyBorder="1" applyAlignment="1">
      <alignment vertical="top"/>
    </xf>
    <xf numFmtId="0" fontId="7" fillId="0" borderId="0" xfId="155"/>
    <xf numFmtId="0" fontId="13" fillId="0" borderId="0" xfId="155" applyFont="1"/>
    <xf numFmtId="22" fontId="7" fillId="0" borderId="0" xfId="155" applyNumberFormat="1"/>
    <xf numFmtId="14" fontId="7" fillId="0" borderId="0" xfId="155" applyNumberFormat="1"/>
    <xf numFmtId="0" fontId="13" fillId="4" borderId="57" xfId="155" applyFont="1" applyFill="1" applyBorder="1"/>
    <xf numFmtId="0" fontId="7" fillId="4" borderId="57" xfId="155" applyFill="1" applyBorder="1"/>
    <xf numFmtId="0" fontId="7" fillId="4" borderId="58" xfId="155" applyFill="1" applyBorder="1"/>
    <xf numFmtId="0" fontId="7" fillId="0" borderId="59" xfId="155" applyBorder="1"/>
    <xf numFmtId="43" fontId="7" fillId="0" borderId="0" xfId="155" applyNumberFormat="1"/>
    <xf numFmtId="8" fontId="7" fillId="0" borderId="0" xfId="155" applyNumberFormat="1"/>
    <xf numFmtId="0" fontId="7" fillId="0" borderId="60" xfId="155" applyBorder="1"/>
    <xf numFmtId="0" fontId="12" fillId="4" borderId="61" xfId="155" applyFont="1" applyFill="1" applyBorder="1" applyAlignment="1">
      <alignment horizontal="center"/>
    </xf>
    <xf numFmtId="0" fontId="12" fillId="4" borderId="31" xfId="155" applyFont="1" applyFill="1" applyBorder="1" applyAlignment="1">
      <alignment horizontal="center"/>
    </xf>
    <xf numFmtId="0" fontId="12" fillId="4" borderId="62" xfId="155" applyFont="1" applyFill="1" applyBorder="1" applyAlignment="1">
      <alignment horizontal="center"/>
    </xf>
    <xf numFmtId="0" fontId="12" fillId="0" borderId="0" xfId="155" applyFont="1" applyAlignment="1">
      <alignment horizontal="center"/>
    </xf>
    <xf numFmtId="0" fontId="7" fillId="0" borderId="59" xfId="155" applyBorder="1" applyAlignment="1">
      <alignment horizontal="left" indent="1"/>
    </xf>
    <xf numFmtId="0" fontId="7" fillId="0" borderId="0" xfId="155" applyAlignment="1">
      <alignment horizontal="center"/>
    </xf>
    <xf numFmtId="43" fontId="7" fillId="0" borderId="60" xfId="155" applyNumberFormat="1" applyBorder="1"/>
    <xf numFmtId="9" fontId="7" fillId="0" borderId="59" xfId="155" applyNumberFormat="1" applyBorder="1" applyAlignment="1">
      <alignment horizontal="left" indent="1"/>
    </xf>
    <xf numFmtId="9" fontId="7" fillId="0" borderId="0" xfId="155" applyNumberFormat="1" applyAlignment="1">
      <alignment horizontal="center"/>
    </xf>
    <xf numFmtId="0" fontId="7" fillId="0" borderId="55" xfId="155" applyBorder="1" applyAlignment="1">
      <alignment horizontal="left" indent="1"/>
    </xf>
    <xf numFmtId="0" fontId="7" fillId="0" borderId="32" xfId="155" applyBorder="1" applyAlignment="1">
      <alignment horizontal="center"/>
    </xf>
    <xf numFmtId="43" fontId="7" fillId="0" borderId="63" xfId="155" applyNumberFormat="1" applyBorder="1"/>
    <xf numFmtId="0" fontId="7" fillId="0" borderId="0" xfId="155" applyAlignment="1">
      <alignment horizontal="left"/>
    </xf>
    <xf numFmtId="0" fontId="12" fillId="4" borderId="61" xfId="155" applyFont="1" applyFill="1" applyBorder="1" applyAlignment="1">
      <alignment horizontal="left"/>
    </xf>
    <xf numFmtId="43" fontId="7" fillId="0" borderId="60" xfId="520" applyNumberFormat="1" applyBorder="1"/>
    <xf numFmtId="43" fontId="7" fillId="0" borderId="63" xfId="520" applyNumberFormat="1" applyBorder="1"/>
    <xf numFmtId="0" fontId="7" fillId="0" borderId="55" xfId="155" applyBorder="1"/>
    <xf numFmtId="0" fontId="7" fillId="0" borderId="32" xfId="155" applyBorder="1"/>
    <xf numFmtId="0" fontId="7" fillId="0" borderId="63" xfId="155" applyBorder="1"/>
    <xf numFmtId="0" fontId="7" fillId="0" borderId="64" xfId="155" applyBorder="1"/>
    <xf numFmtId="0" fontId="7" fillId="0" borderId="65" xfId="155" applyBorder="1"/>
    <xf numFmtId="0" fontId="7" fillId="0" borderId="66" xfId="155" applyBorder="1"/>
    <xf numFmtId="0" fontId="51" fillId="0" borderId="32" xfId="155" applyFont="1" applyBorder="1" applyAlignment="1">
      <alignment vertical="top" wrapText="1"/>
    </xf>
    <xf numFmtId="0" fontId="51" fillId="0" borderId="32" xfId="155" applyFont="1" applyBorder="1" applyAlignment="1">
      <alignment horizontal="center" wrapText="1"/>
    </xf>
    <xf numFmtId="0" fontId="26" fillId="0" borderId="32" xfId="155" applyFont="1" applyBorder="1" applyAlignment="1">
      <alignment horizontal="right" wrapText="1"/>
    </xf>
    <xf numFmtId="0" fontId="51" fillId="0" borderId="32" xfId="155" applyFont="1" applyBorder="1" applyAlignment="1">
      <alignment horizontal="right" vertical="top" wrapText="1"/>
    </xf>
    <xf numFmtId="43" fontId="26" fillId="52" borderId="32" xfId="413" applyFont="1" applyFill="1" applyBorder="1" applyAlignment="1">
      <alignment horizontal="center" vertical="top" wrapText="1"/>
    </xf>
    <xf numFmtId="43" fontId="26" fillId="0" borderId="32" xfId="413" applyFont="1" applyBorder="1" applyAlignment="1">
      <alignment horizontal="center" vertical="top" wrapText="1"/>
    </xf>
    <xf numFmtId="43" fontId="26" fillId="0" borderId="32" xfId="155" applyNumberFormat="1" applyFont="1" applyBorder="1" applyAlignment="1">
      <alignment horizontal="center" vertical="top" wrapText="1"/>
    </xf>
    <xf numFmtId="0" fontId="7" fillId="0" borderId="0" xfId="521"/>
    <xf numFmtId="9" fontId="7" fillId="0" borderId="60" xfId="520" applyBorder="1"/>
    <xf numFmtId="9" fontId="7" fillId="0" borderId="63" xfId="520" applyBorder="1"/>
    <xf numFmtId="9" fontId="26" fillId="0" borderId="32" xfId="155" applyNumberFormat="1" applyFont="1" applyBorder="1" applyAlignment="1">
      <alignment horizontal="center" vertical="top" wrapText="1"/>
    </xf>
    <xf numFmtId="0" fontId="89" fillId="12" borderId="0" xfId="0" applyFont="1" applyFill="1"/>
    <xf numFmtId="43" fontId="79" fillId="0" borderId="34" xfId="0" applyNumberFormat="1" applyFont="1" applyBorder="1" applyAlignment="1">
      <alignment horizontal="right"/>
    </xf>
    <xf numFmtId="43" fontId="79" fillId="0" borderId="29" xfId="0" applyNumberFormat="1" applyFont="1" applyBorder="1" applyAlignment="1">
      <alignment horizontal="right"/>
    </xf>
    <xf numFmtId="43" fontId="80" fillId="0" borderId="1" xfId="0" applyNumberFormat="1" applyFont="1" applyBorder="1"/>
    <xf numFmtId="43" fontId="80" fillId="0" borderId="30" xfId="0" applyNumberFormat="1" applyFont="1" applyBorder="1"/>
    <xf numFmtId="43" fontId="80" fillId="0" borderId="1" xfId="62" applyFont="1" applyBorder="1" applyAlignment="1">
      <alignment horizontal="center"/>
    </xf>
    <xf numFmtId="0" fontId="125" fillId="48" borderId="54" xfId="156" applyFont="1" applyFill="1" applyBorder="1" applyAlignment="1">
      <alignment horizontal="center"/>
    </xf>
    <xf numFmtId="14" fontId="125" fillId="48" borderId="54" xfId="156" applyNumberFormat="1" applyFont="1" applyFill="1" applyBorder="1"/>
    <xf numFmtId="0" fontId="124" fillId="0" borderId="0" xfId="0" applyFont="1"/>
    <xf numFmtId="0" fontId="125" fillId="48" borderId="32" xfId="156" applyFont="1" applyFill="1" applyBorder="1"/>
    <xf numFmtId="0" fontId="26" fillId="50" borderId="0" xfId="156" applyFont="1" applyFill="1"/>
    <xf numFmtId="0" fontId="7" fillId="42" borderId="0" xfId="155" applyFill="1" applyAlignment="1">
      <alignment wrapText="1"/>
    </xf>
    <xf numFmtId="0" fontId="107" fillId="44" borderId="46" xfId="155" applyFont="1" applyFill="1" applyBorder="1" applyAlignment="1">
      <alignment vertical="center" wrapText="1"/>
    </xf>
    <xf numFmtId="0" fontId="107" fillId="44" borderId="67" xfId="155" applyFont="1" applyFill="1" applyBorder="1" applyAlignment="1">
      <alignment vertical="center" wrapText="1"/>
    </xf>
    <xf numFmtId="0" fontId="7" fillId="44" borderId="49" xfId="155" applyFill="1" applyBorder="1" applyAlignment="1">
      <alignment vertical="center" wrapText="1"/>
    </xf>
    <xf numFmtId="0" fontId="126" fillId="0" borderId="0" xfId="0" applyFont="1" applyAlignment="1">
      <alignment horizontal="left" indent="1"/>
    </xf>
    <xf numFmtId="1" fontId="8" fillId="4" borderId="2" xfId="0" applyNumberFormat="1" applyFont="1" applyFill="1" applyBorder="1"/>
    <xf numFmtId="206" fontId="8" fillId="4" borderId="2" xfId="0" applyNumberFormat="1" applyFont="1" applyFill="1" applyBorder="1"/>
    <xf numFmtId="169" fontId="8" fillId="4" borderId="2" xfId="0" applyNumberFormat="1" applyFont="1" applyFill="1" applyBorder="1"/>
    <xf numFmtId="0" fontId="8" fillId="4" borderId="2" xfId="0" applyFont="1" applyFill="1" applyBorder="1"/>
    <xf numFmtId="2" fontId="8" fillId="4" borderId="2" xfId="0" applyNumberFormat="1" applyFont="1" applyFill="1" applyBorder="1" applyAlignment="1">
      <alignment horizontal="right"/>
    </xf>
    <xf numFmtId="0" fontId="8" fillId="4" borderId="2" xfId="0" applyFont="1" applyFill="1" applyBorder="1" applyAlignment="1">
      <alignment horizontal="right"/>
    </xf>
    <xf numFmtId="43" fontId="8" fillId="4" borderId="2" xfId="62" applyFont="1" applyFill="1" applyBorder="1" applyAlignment="1">
      <alignment horizontal="right"/>
    </xf>
    <xf numFmtId="0" fontId="8" fillId="0" borderId="0" xfId="0" applyFont="1" applyAlignment="1">
      <alignment horizontal="left"/>
    </xf>
    <xf numFmtId="0" fontId="26" fillId="48" borderId="53" xfId="156" applyFont="1" applyFill="1" applyBorder="1"/>
    <xf numFmtId="0" fontId="26" fillId="48" borderId="54" xfId="156" applyFont="1" applyFill="1" applyBorder="1"/>
    <xf numFmtId="14" fontId="7" fillId="48" borderId="54" xfId="156" applyNumberFormat="1" applyFill="1" applyBorder="1" applyAlignment="1">
      <alignment horizontal="left"/>
    </xf>
    <xf numFmtId="0" fontId="26" fillId="48" borderId="55" xfId="156" applyFont="1" applyFill="1" applyBorder="1"/>
    <xf numFmtId="0" fontId="26" fillId="48" borderId="32" xfId="156" applyFont="1" applyFill="1" applyBorder="1"/>
    <xf numFmtId="0" fontId="7" fillId="48" borderId="32" xfId="518" applyFill="1" applyBorder="1"/>
    <xf numFmtId="0" fontId="26" fillId="0" borderId="0" xfId="156" applyFont="1"/>
    <xf numFmtId="0" fontId="51" fillId="0" borderId="32" xfId="519" applyFont="1" applyBorder="1" applyAlignment="1">
      <alignment horizontal="center" wrapText="1"/>
    </xf>
    <xf numFmtId="0" fontId="51" fillId="0" borderId="32" xfId="156" quotePrefix="1" applyFont="1" applyBorder="1" applyAlignment="1">
      <alignment horizontal="center" wrapText="1"/>
    </xf>
    <xf numFmtId="1" fontId="26" fillId="0" borderId="0" xfId="156" quotePrefix="1" applyNumberFormat="1" applyFont="1"/>
    <xf numFmtId="0" fontId="26" fillId="0" borderId="0" xfId="227" applyNumberFormat="1" applyFont="1"/>
    <xf numFmtId="0" fontId="26" fillId="49" borderId="0" xfId="227" applyNumberFormat="1" applyFont="1" applyFill="1"/>
    <xf numFmtId="9" fontId="26" fillId="50" borderId="0" xfId="227" applyFont="1" applyFill="1"/>
    <xf numFmtId="43" fontId="26" fillId="0" borderId="0" xfId="62" applyFont="1"/>
    <xf numFmtId="9" fontId="26" fillId="0" borderId="0" xfId="62" applyNumberFormat="1" applyFont="1"/>
    <xf numFmtId="204" fontId="18" fillId="0" borderId="0" xfId="63" applyNumberFormat="1" applyFont="1"/>
    <xf numFmtId="205" fontId="18" fillId="0" borderId="0" xfId="519" applyNumberFormat="1" applyFont="1" applyAlignment="1">
      <alignment wrapText="1"/>
    </xf>
    <xf numFmtId="0" fontId="26" fillId="0" borderId="0" xfId="156" quotePrefix="1" applyFont="1"/>
    <xf numFmtId="9" fontId="26" fillId="0" borderId="0" xfId="227" applyFont="1"/>
    <xf numFmtId="3" fontId="26" fillId="0" borderId="0" xfId="227" applyNumberFormat="1" applyFont="1"/>
    <xf numFmtId="3" fontId="26" fillId="49" borderId="0" xfId="227" applyNumberFormat="1" applyFont="1" applyFill="1"/>
    <xf numFmtId="0" fontId="26" fillId="0" borderId="0" xfId="156" applyFont="1" applyAlignment="1">
      <alignment vertical="top" wrapText="1"/>
    </xf>
    <xf numFmtId="164" fontId="18" fillId="0" borderId="0" xfId="63" applyNumberFormat="1" applyFont="1"/>
    <xf numFmtId="164" fontId="18" fillId="0" borderId="0" xfId="519" applyNumberFormat="1" applyFont="1" applyAlignment="1">
      <alignment wrapText="1"/>
    </xf>
    <xf numFmtId="203" fontId="26" fillId="50" borderId="0" xfId="227" applyNumberFormat="1" applyFont="1" applyFill="1"/>
    <xf numFmtId="3" fontId="26" fillId="0" borderId="0" xfId="156" quotePrefix="1" applyNumberFormat="1" applyFont="1"/>
    <xf numFmtId="204" fontId="18" fillId="0" borderId="0" xfId="63" applyNumberFormat="1" applyFont="1" applyAlignment="1">
      <alignment horizontal="center"/>
    </xf>
    <xf numFmtId="205" fontId="18" fillId="0" borderId="0" xfId="519" applyNumberFormat="1" applyFont="1" applyAlignment="1">
      <alignment horizontal="center" wrapText="1"/>
    </xf>
    <xf numFmtId="0" fontId="95" fillId="0" borderId="0" xfId="0" applyFont="1" applyAlignment="1">
      <alignment wrapText="1"/>
    </xf>
    <xf numFmtId="43" fontId="95" fillId="0" borderId="0" xfId="0" applyNumberFormat="1" applyFont="1" applyAlignment="1">
      <alignment horizontal="right"/>
    </xf>
    <xf numFmtId="164" fontId="79" fillId="0" borderId="2" xfId="62" applyNumberFormat="1" applyFont="1" applyFill="1" applyBorder="1"/>
    <xf numFmtId="164" fontId="79" fillId="0" borderId="2" xfId="62" applyNumberFormat="1" applyFont="1" applyFill="1" applyBorder="1" applyAlignment="1">
      <alignment horizontal="right"/>
    </xf>
    <xf numFmtId="164" fontId="79" fillId="0" borderId="0" xfId="0" applyNumberFormat="1" applyFont="1"/>
    <xf numFmtId="164" fontId="80" fillId="11" borderId="2" xfId="62" applyNumberFormat="1" applyFont="1" applyFill="1" applyBorder="1"/>
    <xf numFmtId="0" fontId="115" fillId="0" borderId="0" xfId="0" applyFont="1"/>
    <xf numFmtId="0" fontId="79" fillId="0" borderId="0" xfId="0" applyFont="1" applyAlignment="1">
      <alignment horizontal="center"/>
    </xf>
    <xf numFmtId="0" fontId="79" fillId="0" borderId="0" xfId="0" applyFont="1" applyAlignment="1">
      <alignment horizontal="center" wrapText="1"/>
    </xf>
    <xf numFmtId="0" fontId="79" fillId="0" borderId="6" xfId="0" applyFont="1" applyBorder="1" applyAlignment="1">
      <alignment horizontal="center"/>
    </xf>
    <xf numFmtId="165" fontId="28" fillId="0" borderId="0" xfId="0" applyNumberFormat="1" applyFont="1" applyAlignment="1">
      <alignment horizontal="center"/>
    </xf>
    <xf numFmtId="165" fontId="23" fillId="0" borderId="0" xfId="0" applyNumberFormat="1" applyFont="1" applyAlignment="1">
      <alignment horizontal="center"/>
    </xf>
    <xf numFmtId="0" fontId="80" fillId="0" borderId="27" xfId="0" applyFont="1" applyBorder="1" applyAlignment="1">
      <alignment horizontal="center" wrapText="1"/>
    </xf>
    <xf numFmtId="0" fontId="80" fillId="0" borderId="33" xfId="0" applyFont="1" applyBorder="1" applyAlignment="1">
      <alignment horizontal="center" wrapText="1"/>
    </xf>
    <xf numFmtId="0" fontId="51" fillId="0" borderId="32" xfId="156" applyFont="1" applyBorder="1" applyAlignment="1">
      <alignment horizontal="center" wrapText="1"/>
    </xf>
    <xf numFmtId="0" fontId="51" fillId="0" borderId="0" xfId="156" applyFont="1" applyAlignment="1">
      <alignment horizontal="center"/>
    </xf>
    <xf numFmtId="0" fontId="80" fillId="0" borderId="0" xfId="95" applyNumberFormat="1" applyFont="1" applyAlignment="1">
      <alignment horizontal="left"/>
    </xf>
    <xf numFmtId="170" fontId="79" fillId="0" borderId="2" xfId="0" applyNumberFormat="1" applyFont="1" applyBorder="1"/>
    <xf numFmtId="164" fontId="79" fillId="0" borderId="0" xfId="62" applyNumberFormat="1" applyFont="1" applyFill="1"/>
    <xf numFmtId="203" fontId="79" fillId="0" borderId="0" xfId="227" applyNumberFormat="1" applyFont="1" applyFill="1"/>
    <xf numFmtId="0" fontId="80" fillId="0" borderId="33" xfId="0" applyFont="1" applyBorder="1" applyAlignment="1">
      <alignment vertical="center"/>
    </xf>
    <xf numFmtId="0" fontId="80" fillId="0" borderId="27" xfId="0" applyFont="1" applyBorder="1" applyAlignment="1">
      <alignment horizontal="center" vertical="center" wrapText="1"/>
    </xf>
    <xf numFmtId="0" fontId="80" fillId="0" borderId="33" xfId="0" applyFont="1" applyBorder="1" applyAlignment="1">
      <alignment horizontal="center" vertical="center" wrapText="1"/>
    </xf>
    <xf numFmtId="0" fontId="112" fillId="0" borderId="0" xfId="0" applyFont="1" applyAlignment="1">
      <alignment vertical="center"/>
    </xf>
    <xf numFmtId="168" fontId="14" fillId="0" borderId="0" xfId="0" applyNumberFormat="1" applyFont="1"/>
    <xf numFmtId="207" fontId="80" fillId="0" borderId="0" xfId="227" applyNumberFormat="1" applyFont="1" applyAlignment="1">
      <alignment horizontal="center"/>
    </xf>
    <xf numFmtId="10" fontId="80" fillId="0" borderId="0" xfId="227" applyNumberFormat="1" applyFont="1" applyAlignment="1">
      <alignment horizontal="center"/>
    </xf>
    <xf numFmtId="49" fontId="7" fillId="44" borderId="68" xfId="0" applyNumberFormat="1" applyFont="1" applyFill="1" applyBorder="1" applyAlignment="1">
      <alignment horizontal="left" vertical="center" wrapText="1"/>
    </xf>
    <xf numFmtId="0" fontId="108" fillId="44" borderId="68" xfId="0" applyFont="1" applyFill="1" applyBorder="1" applyAlignment="1">
      <alignment vertical="center" wrapText="1"/>
    </xf>
    <xf numFmtId="0" fontId="7" fillId="44" borderId="68" xfId="0" applyFont="1" applyFill="1" applyBorder="1" applyAlignment="1">
      <alignment wrapText="1"/>
    </xf>
    <xf numFmtId="0" fontId="7" fillId="44" borderId="70" xfId="0" applyFont="1" applyFill="1" applyBorder="1" applyAlignment="1">
      <alignment wrapText="1"/>
    </xf>
    <xf numFmtId="0" fontId="7" fillId="44" borderId="71" xfId="0" applyFont="1" applyFill="1" applyBorder="1" applyAlignment="1">
      <alignment vertical="center" wrapText="1"/>
    </xf>
    <xf numFmtId="0" fontId="7" fillId="44" borderId="68" xfId="0" applyFont="1" applyFill="1" applyBorder="1" applyAlignment="1">
      <alignment vertical="center" wrapText="1"/>
    </xf>
    <xf numFmtId="0" fontId="7" fillId="44" borderId="70" xfId="0" applyFont="1" applyFill="1" applyBorder="1" applyAlignment="1">
      <alignment vertical="center" wrapText="1"/>
    </xf>
    <xf numFmtId="0" fontId="106" fillId="43" borderId="69" xfId="0" applyFont="1" applyFill="1" applyBorder="1" applyAlignment="1">
      <alignment horizontal="center" wrapText="1"/>
    </xf>
    <xf numFmtId="0" fontId="106" fillId="43" borderId="45" xfId="0" applyFont="1" applyFill="1" applyBorder="1" applyAlignment="1">
      <alignment horizontal="center" wrapText="1"/>
    </xf>
    <xf numFmtId="164" fontId="79" fillId="45" borderId="2" xfId="62" applyNumberFormat="1" applyFont="1" applyFill="1" applyBorder="1"/>
    <xf numFmtId="165" fontId="85" fillId="41" borderId="2" xfId="0" applyNumberFormat="1" applyFont="1" applyFill="1" applyBorder="1" applyAlignment="1">
      <alignment wrapText="1"/>
    </xf>
    <xf numFmtId="164" fontId="79" fillId="41" borderId="2" xfId="62" applyNumberFormat="1" applyFont="1" applyFill="1" applyBorder="1" applyAlignment="1">
      <alignment wrapText="1"/>
    </xf>
    <xf numFmtId="43" fontId="79" fillId="0" borderId="0" xfId="0" applyNumberFormat="1" applyFont="1" applyAlignment="1">
      <alignment wrapText="1"/>
    </xf>
    <xf numFmtId="164" fontId="79" fillId="45" borderId="2" xfId="0" applyNumberFormat="1" applyFont="1" applyFill="1" applyBorder="1" applyAlignment="1">
      <alignment horizontal="center" wrapText="1"/>
    </xf>
    <xf numFmtId="164" fontId="79" fillId="41" borderId="2" xfId="62" applyNumberFormat="1" applyFont="1" applyFill="1" applyBorder="1" applyAlignment="1">
      <alignment horizontal="right"/>
    </xf>
    <xf numFmtId="170" fontId="79" fillId="0" borderId="0" xfId="0" applyNumberFormat="1" applyFont="1" applyAlignment="1">
      <alignment horizontal="right"/>
    </xf>
    <xf numFmtId="0" fontId="2" fillId="0" borderId="0" xfId="552"/>
    <xf numFmtId="0" fontId="132" fillId="0" borderId="0" xfId="552" applyFont="1"/>
    <xf numFmtId="0" fontId="133" fillId="0" borderId="0" xfId="552" applyFont="1"/>
    <xf numFmtId="0" fontId="131" fillId="0" borderId="53" xfId="552" applyFont="1" applyBorder="1"/>
    <xf numFmtId="0" fontId="132" fillId="0" borderId="54" xfId="552" applyFont="1" applyBorder="1"/>
    <xf numFmtId="0" fontId="2" fillId="0" borderId="54" xfId="552" applyBorder="1"/>
    <xf numFmtId="0" fontId="2" fillId="0" borderId="72" xfId="552" applyBorder="1"/>
    <xf numFmtId="0" fontId="2" fillId="0" borderId="59" xfId="552" applyBorder="1" applyAlignment="1">
      <alignment horizontal="right"/>
    </xf>
    <xf numFmtId="0" fontId="2" fillId="0" borderId="59" xfId="552" applyBorder="1"/>
    <xf numFmtId="0" fontId="134" fillId="0" borderId="59" xfId="552" applyFont="1" applyBorder="1" applyAlignment="1">
      <alignment horizontal="right"/>
    </xf>
    <xf numFmtId="0" fontId="134" fillId="0" borderId="59" xfId="552" applyFont="1" applyBorder="1"/>
    <xf numFmtId="0" fontId="131" fillId="0" borderId="55" xfId="552" applyFont="1" applyBorder="1" applyAlignment="1">
      <alignment horizontal="right"/>
    </xf>
    <xf numFmtId="0" fontId="132" fillId="0" borderId="32" xfId="552" applyFont="1" applyBorder="1"/>
    <xf numFmtId="0" fontId="138" fillId="0" borderId="0" xfId="552" applyFont="1"/>
    <xf numFmtId="0" fontId="131" fillId="0" borderId="59" xfId="552" applyFont="1" applyBorder="1"/>
    <xf numFmtId="2" fontId="2" fillId="0" borderId="0" xfId="552" applyNumberFormat="1"/>
    <xf numFmtId="2" fontId="2" fillId="0" borderId="60" xfId="552" applyNumberFormat="1" applyBorder="1"/>
    <xf numFmtId="4" fontId="2" fillId="0" borderId="0" xfId="552" applyNumberFormat="1"/>
    <xf numFmtId="4" fontId="2" fillId="0" borderId="60" xfId="552" applyNumberFormat="1" applyBorder="1"/>
    <xf numFmtId="2" fontId="2" fillId="0" borderId="32" xfId="552" applyNumberFormat="1" applyBorder="1"/>
    <xf numFmtId="2" fontId="2" fillId="0" borderId="63" xfId="552" applyNumberFormat="1" applyBorder="1"/>
    <xf numFmtId="4" fontId="2" fillId="0" borderId="32" xfId="552" applyNumberFormat="1" applyBorder="1"/>
    <xf numFmtId="4" fontId="2" fillId="0" borderId="63" xfId="552" applyNumberFormat="1" applyBorder="1"/>
    <xf numFmtId="0" fontId="14" fillId="0" borderId="2" xfId="0" applyFont="1" applyBorder="1" applyAlignment="1">
      <alignment vertical="center" wrapText="1"/>
    </xf>
    <xf numFmtId="0" fontId="14" fillId="0" borderId="2" xfId="0" applyFont="1" applyBorder="1" applyAlignment="1">
      <alignment horizontal="center" vertical="center" wrapText="1"/>
    </xf>
    <xf numFmtId="0" fontId="14" fillId="15" borderId="24" xfId="0" applyFont="1" applyFill="1" applyBorder="1"/>
    <xf numFmtId="0" fontId="8" fillId="15" borderId="0" xfId="0" applyFont="1" applyFill="1" applyAlignment="1">
      <alignment horizontal="center"/>
    </xf>
    <xf numFmtId="0" fontId="8" fillId="15" borderId="1" xfId="0" applyFont="1" applyFill="1" applyBorder="1" applyAlignment="1">
      <alignment horizontal="center"/>
    </xf>
    <xf numFmtId="0" fontId="8" fillId="0" borderId="2" xfId="0" applyFont="1" applyBorder="1"/>
    <xf numFmtId="2" fontId="8" fillId="0" borderId="2" xfId="0" applyNumberFormat="1" applyFont="1" applyBorder="1" applyAlignment="1">
      <alignment horizontal="center"/>
    </xf>
    <xf numFmtId="165" fontId="8" fillId="0" borderId="2" xfId="0" applyNumberFormat="1" applyFont="1" applyBorder="1" applyAlignment="1">
      <alignment horizontal="center"/>
    </xf>
    <xf numFmtId="0" fontId="8" fillId="0" borderId="2" xfId="0" applyFont="1" applyBorder="1" applyAlignment="1">
      <alignment horizontal="center"/>
    </xf>
    <xf numFmtId="0" fontId="7" fillId="0" borderId="0" xfId="0" applyFont="1"/>
    <xf numFmtId="43" fontId="0" fillId="0" borderId="0" xfId="0" applyNumberFormat="1"/>
    <xf numFmtId="9" fontId="0" fillId="0" borderId="0" xfId="227" applyFont="1"/>
    <xf numFmtId="0" fontId="0" fillId="0" borderId="0" xfId="0" applyAlignment="1">
      <alignment horizontal="right"/>
    </xf>
    <xf numFmtId="4" fontId="0" fillId="0" borderId="0" xfId="0" applyNumberFormat="1" applyAlignment="1">
      <alignment horizontal="right"/>
    </xf>
    <xf numFmtId="0" fontId="7" fillId="53" borderId="0" xfId="0" applyFont="1" applyFill="1"/>
    <xf numFmtId="0" fontId="0" fillId="53" borderId="0" xfId="0" applyFill="1"/>
    <xf numFmtId="2" fontId="0" fillId="0" borderId="0" xfId="0" applyNumberFormat="1"/>
    <xf numFmtId="1" fontId="0" fillId="0" borderId="0" xfId="0" applyNumberFormat="1"/>
    <xf numFmtId="203" fontId="0" fillId="0" borderId="0" xfId="227" applyNumberFormat="1" applyFont="1"/>
    <xf numFmtId="0" fontId="26" fillId="0" borderId="6" xfId="156" applyFont="1" applyBorder="1"/>
    <xf numFmtId="0" fontId="26" fillId="0" borderId="6" xfId="156" quotePrefix="1" applyFont="1" applyBorder="1"/>
    <xf numFmtId="9" fontId="26" fillId="0" borderId="6" xfId="227" applyFont="1" applyBorder="1"/>
    <xf numFmtId="9" fontId="26" fillId="49" borderId="6" xfId="227" applyFont="1" applyFill="1" applyBorder="1"/>
    <xf numFmtId="0" fontId="26" fillId="50" borderId="6" xfId="156" applyFont="1" applyFill="1" applyBorder="1"/>
    <xf numFmtId="9" fontId="26" fillId="50" borderId="6" xfId="227" applyFont="1" applyFill="1" applyBorder="1"/>
    <xf numFmtId="43" fontId="26" fillId="0" borderId="6" xfId="62" applyFont="1" applyBorder="1"/>
    <xf numFmtId="9" fontId="26" fillId="0" borderId="6" xfId="62" applyNumberFormat="1" applyFont="1" applyBorder="1"/>
    <xf numFmtId="204" fontId="18" fillId="0" borderId="6" xfId="63" applyNumberFormat="1" applyFont="1" applyBorder="1"/>
    <xf numFmtId="205" fontId="18" fillId="0" borderId="6" xfId="519" applyNumberFormat="1" applyFont="1" applyBorder="1" applyAlignment="1">
      <alignment wrapText="1"/>
    </xf>
    <xf numFmtId="2" fontId="26" fillId="0" borderId="6" xfId="156" quotePrefix="1" applyNumberFormat="1" applyFont="1" applyBorder="1"/>
    <xf numFmtId="2" fontId="26" fillId="0" borderId="6" xfId="227" applyNumberFormat="1" applyFont="1" applyBorder="1"/>
    <xf numFmtId="0" fontId="26" fillId="49" borderId="6" xfId="227" applyNumberFormat="1" applyFont="1" applyFill="1" applyBorder="1"/>
    <xf numFmtId="0" fontId="82" fillId="38" borderId="0" xfId="0" applyFont="1" applyFill="1" applyAlignment="1">
      <alignment horizontal="center" wrapText="1"/>
    </xf>
    <xf numFmtId="0" fontId="79" fillId="38" borderId="0" xfId="0" applyFont="1" applyFill="1"/>
    <xf numFmtId="0" fontId="79" fillId="13" borderId="0" xfId="0" applyFont="1" applyFill="1"/>
    <xf numFmtId="0" fontId="0" fillId="38" borderId="0" xfId="0" applyFill="1"/>
    <xf numFmtId="0" fontId="0" fillId="38" borderId="0" xfId="0" applyFill="1" applyAlignment="1">
      <alignment horizontal="center"/>
    </xf>
    <xf numFmtId="0" fontId="79" fillId="0" borderId="73" xfId="0" applyFont="1" applyBorder="1" applyAlignment="1">
      <alignment wrapText="1"/>
    </xf>
    <xf numFmtId="0" fontId="79" fillId="0" borderId="24" xfId="0" applyFont="1" applyBorder="1" applyAlignment="1">
      <alignment wrapText="1"/>
    </xf>
    <xf numFmtId="164" fontId="99" fillId="41" borderId="2" xfId="62" applyNumberFormat="1" applyFont="1" applyFill="1" applyBorder="1"/>
    <xf numFmtId="0" fontId="104" fillId="0" borderId="0" xfId="0" applyFont="1"/>
    <xf numFmtId="0" fontId="79" fillId="0" borderId="29" xfId="0" applyFont="1" applyBorder="1" applyAlignment="1">
      <alignment horizontal="left" vertical="center" wrapText="1"/>
    </xf>
    <xf numFmtId="0" fontId="79" fillId="0" borderId="0" xfId="0" applyFont="1" applyAlignment="1">
      <alignment horizontal="left"/>
    </xf>
    <xf numFmtId="174" fontId="79" fillId="0" borderId="0" xfId="155" applyNumberFormat="1" applyFont="1"/>
    <xf numFmtId="178" fontId="79" fillId="0" borderId="0" xfId="0" applyNumberFormat="1" applyFont="1"/>
    <xf numFmtId="178" fontId="79" fillId="41" borderId="2" xfId="0" applyNumberFormat="1" applyFont="1" applyFill="1" applyBorder="1"/>
    <xf numFmtId="174" fontId="79" fillId="41" borderId="2" xfId="155" applyNumberFormat="1" applyFont="1" applyFill="1" applyBorder="1"/>
    <xf numFmtId="165" fontId="79" fillId="41" borderId="2" xfId="0" applyNumberFormat="1" applyFont="1" applyFill="1" applyBorder="1"/>
    <xf numFmtId="0" fontId="29" fillId="38" borderId="0" xfId="0" applyFont="1" applyFill="1"/>
    <xf numFmtId="0" fontId="30" fillId="38" borderId="0" xfId="0" applyFont="1" applyFill="1" applyAlignment="1">
      <alignment horizontal="center" wrapText="1"/>
    </xf>
    <xf numFmtId="46" fontId="87" fillId="0" borderId="0" xfId="0" applyNumberFormat="1" applyFont="1"/>
    <xf numFmtId="165" fontId="79" fillId="41" borderId="2" xfId="0" applyNumberFormat="1" applyFont="1" applyFill="1" applyBorder="1" applyAlignment="1">
      <alignment wrapText="1"/>
    </xf>
    <xf numFmtId="0" fontId="80" fillId="0" borderId="28" xfId="0" applyFont="1" applyBorder="1" applyAlignment="1">
      <alignment wrapText="1"/>
    </xf>
    <xf numFmtId="9" fontId="87" fillId="0" borderId="0" xfId="227" applyFont="1" applyAlignment="1">
      <alignment wrapText="1"/>
    </xf>
    <xf numFmtId="207" fontId="87" fillId="0" borderId="0" xfId="227" applyNumberFormat="1" applyFont="1" applyAlignment="1">
      <alignment wrapText="1"/>
    </xf>
    <xf numFmtId="0" fontId="79" fillId="0" borderId="26" xfId="0" applyFont="1" applyBorder="1" applyAlignment="1">
      <alignment horizontal="left" wrapText="1" indent="1"/>
    </xf>
    <xf numFmtId="210" fontId="79" fillId="11" borderId="2" xfId="0" applyNumberFormat="1" applyFont="1" applyFill="1" applyBorder="1" applyAlignment="1">
      <alignment wrapText="1"/>
    </xf>
    <xf numFmtId="0" fontId="80" fillId="0" borderId="0" xfId="0" applyFont="1" applyAlignment="1">
      <alignment horizontal="left"/>
    </xf>
    <xf numFmtId="0" fontId="85" fillId="50" borderId="0" xfId="0" applyFont="1" applyFill="1" applyAlignment="1">
      <alignment horizontal="left" indent="1"/>
    </xf>
    <xf numFmtId="204" fontId="79" fillId="0" borderId="34" xfId="0" applyNumberFormat="1" applyFont="1" applyBorder="1" applyAlignment="1">
      <alignment horizontal="right"/>
    </xf>
    <xf numFmtId="2" fontId="78" fillId="41" borderId="2" xfId="227" applyNumberFormat="1" applyFont="1" applyFill="1" applyBorder="1"/>
    <xf numFmtId="9" fontId="78" fillId="41" borderId="2" xfId="227" applyFont="1" applyFill="1" applyBorder="1"/>
    <xf numFmtId="0" fontId="79" fillId="0" borderId="33" xfId="0" applyFont="1" applyBorder="1" applyAlignment="1">
      <alignment wrapText="1"/>
    </xf>
    <xf numFmtId="164" fontId="8" fillId="0" borderId="2" xfId="62" applyNumberFormat="1" applyFont="1" applyBorder="1"/>
    <xf numFmtId="0" fontId="80" fillId="39" borderId="6" xfId="0" applyFont="1" applyFill="1" applyBorder="1"/>
    <xf numFmtId="0" fontId="79" fillId="0" borderId="6" xfId="0" applyFont="1" applyBorder="1" applyAlignment="1">
      <alignment horizontal="center" wrapText="1"/>
    </xf>
    <xf numFmtId="167" fontId="79" fillId="41" borderId="2" xfId="0" applyNumberFormat="1" applyFont="1" applyFill="1" applyBorder="1"/>
    <xf numFmtId="165" fontId="79" fillId="45" borderId="2" xfId="0" applyNumberFormat="1" applyFont="1" applyFill="1" applyBorder="1"/>
    <xf numFmtId="0" fontId="141" fillId="0" borderId="0" xfId="0" applyFont="1" applyAlignment="1">
      <alignment wrapText="1"/>
    </xf>
    <xf numFmtId="168" fontId="79" fillId="0" borderId="2" xfId="0" applyNumberFormat="1" applyFont="1" applyBorder="1"/>
    <xf numFmtId="43" fontId="141" fillId="0" borderId="0" xfId="62" applyFont="1" applyFill="1" applyBorder="1" applyAlignment="1">
      <alignment wrapText="1"/>
    </xf>
    <xf numFmtId="0" fontId="80" fillId="39" borderId="2" xfId="0" applyFont="1" applyFill="1" applyBorder="1" applyAlignment="1">
      <alignment wrapText="1"/>
    </xf>
    <xf numFmtId="0" fontId="7" fillId="54" borderId="0" xfId="0" applyFont="1" applyFill="1"/>
    <xf numFmtId="168" fontId="80" fillId="0" borderId="2" xfId="0" applyNumberFormat="1" applyFont="1" applyBorder="1"/>
    <xf numFmtId="213" fontId="79" fillId="0" borderId="0" xfId="62" applyNumberFormat="1" applyFont="1" applyAlignment="1">
      <alignment horizontal="center"/>
    </xf>
    <xf numFmtId="211" fontId="80" fillId="0" borderId="1" xfId="0" applyNumberFormat="1" applyFont="1" applyBorder="1"/>
    <xf numFmtId="212" fontId="79" fillId="0" borderId="0" xfId="62" applyNumberFormat="1" applyFont="1"/>
    <xf numFmtId="212" fontId="95" fillId="0" borderId="0" xfId="62" applyNumberFormat="1" applyFont="1" applyAlignment="1">
      <alignment horizontal="right"/>
    </xf>
    <xf numFmtId="212" fontId="95" fillId="0" borderId="0" xfId="62" applyNumberFormat="1" applyFont="1"/>
    <xf numFmtId="212" fontId="111" fillId="0" borderId="0" xfId="62" applyNumberFormat="1" applyFont="1"/>
    <xf numFmtId="211" fontId="80" fillId="0" borderId="30" xfId="0" applyNumberFormat="1" applyFont="1" applyBorder="1"/>
    <xf numFmtId="201" fontId="2" fillId="0" borderId="0" xfId="552" applyNumberFormat="1"/>
    <xf numFmtId="215" fontId="2" fillId="0" borderId="0" xfId="552" applyNumberFormat="1"/>
    <xf numFmtId="4" fontId="1" fillId="0" borderId="0" xfId="552" applyNumberFormat="1" applyFont="1"/>
    <xf numFmtId="200" fontId="80" fillId="0" borderId="30" xfId="0" applyNumberFormat="1" applyFont="1" applyBorder="1"/>
    <xf numFmtId="214" fontId="79" fillId="0" borderId="2" xfId="0" applyNumberFormat="1" applyFont="1" applyBorder="1"/>
    <xf numFmtId="200" fontId="79" fillId="45" borderId="2" xfId="0" applyNumberFormat="1" applyFont="1" applyFill="1" applyBorder="1"/>
    <xf numFmtId="0" fontId="7" fillId="0" borderId="0" xfId="553"/>
    <xf numFmtId="205" fontId="7" fillId="0" borderId="0" xfId="155" applyNumberFormat="1"/>
    <xf numFmtId="4" fontId="1" fillId="0" borderId="60" xfId="552" applyNumberFormat="1" applyFont="1" applyBorder="1"/>
    <xf numFmtId="0" fontId="1" fillId="0" borderId="59" xfId="552" applyFont="1" applyBorder="1"/>
    <xf numFmtId="215" fontId="1" fillId="0" borderId="60" xfId="552" applyNumberFormat="1" applyFont="1" applyBorder="1"/>
    <xf numFmtId="0" fontId="104" fillId="0" borderId="35" xfId="0" applyFont="1" applyBorder="1"/>
    <xf numFmtId="46" fontId="79" fillId="0" borderId="0" xfId="0" applyNumberFormat="1" applyFont="1"/>
    <xf numFmtId="0" fontId="29" fillId="39" borderId="0" xfId="0" applyFont="1" applyFill="1"/>
    <xf numFmtId="215" fontId="1" fillId="0" borderId="0" xfId="552" applyNumberFormat="1" applyFont="1"/>
    <xf numFmtId="0" fontId="145" fillId="0" borderId="0" xfId="0" applyFont="1"/>
    <xf numFmtId="204" fontId="0" fillId="55" borderId="0" xfId="0" applyNumberFormat="1" applyFill="1"/>
    <xf numFmtId="203" fontId="0" fillId="55" borderId="0" xfId="227" applyNumberFormat="1" applyFont="1" applyFill="1"/>
    <xf numFmtId="9" fontId="0" fillId="55" borderId="0" xfId="227" applyFont="1" applyFill="1"/>
    <xf numFmtId="0" fontId="144" fillId="0" borderId="0" xfId="0" applyFont="1"/>
    <xf numFmtId="0" fontId="86" fillId="0" borderId="0" xfId="0" applyFont="1"/>
    <xf numFmtId="0" fontId="146" fillId="0" borderId="0" xfId="0" applyFont="1"/>
    <xf numFmtId="43" fontId="80" fillId="0" borderId="0" xfId="62" applyFont="1" applyAlignment="1">
      <alignment horizontal="center"/>
    </xf>
    <xf numFmtId="43" fontId="79" fillId="0" borderId="0" xfId="62" applyFont="1"/>
    <xf numFmtId="0" fontId="80" fillId="53" borderId="2" xfId="0" applyFont="1" applyFill="1" applyBorder="1" applyAlignment="1">
      <alignment horizontal="center" wrapText="1"/>
    </xf>
    <xf numFmtId="164" fontId="79" fillId="53" borderId="2" xfId="62" applyNumberFormat="1" applyFont="1" applyFill="1" applyBorder="1"/>
    <xf numFmtId="43" fontId="8" fillId="0" borderId="0" xfId="62" applyFont="1" applyAlignment="1">
      <alignment horizontal="center"/>
    </xf>
    <xf numFmtId="164" fontId="80" fillId="0" borderId="2" xfId="62" applyNumberFormat="1" applyFont="1" applyFill="1" applyBorder="1"/>
    <xf numFmtId="43" fontId="141" fillId="0" borderId="0" xfId="62" applyFont="1" applyAlignment="1">
      <alignment horizontal="left"/>
    </xf>
    <xf numFmtId="43" fontId="95" fillId="0" borderId="29" xfId="62" applyFont="1" applyBorder="1" applyAlignment="1">
      <alignment horizontal="right"/>
    </xf>
    <xf numFmtId="0" fontId="79" fillId="0" borderId="0" xfId="0" applyFont="1" applyAlignment="1">
      <alignment vertical="center" wrapText="1"/>
    </xf>
    <xf numFmtId="43" fontId="0" fillId="0" borderId="0" xfId="62" applyFont="1"/>
    <xf numFmtId="43" fontId="79" fillId="0" borderId="0" xfId="62" applyFont="1" applyAlignment="1">
      <alignment horizontal="right"/>
    </xf>
    <xf numFmtId="43" fontId="148" fillId="0" borderId="0" xfId="62" applyFont="1"/>
    <xf numFmtId="43" fontId="87" fillId="0" borderId="0" xfId="62" applyFont="1" applyAlignment="1">
      <alignment vertical="top"/>
    </xf>
    <xf numFmtId="43" fontId="87" fillId="0" borderId="0" xfId="62" applyFont="1"/>
    <xf numFmtId="43" fontId="79" fillId="0" borderId="0" xfId="62" applyFont="1" applyBorder="1"/>
    <xf numFmtId="43" fontId="28" fillId="0" borderId="0" xfId="62" applyFont="1"/>
    <xf numFmtId="0" fontId="101" fillId="0" borderId="0" xfId="292" applyFont="1" applyFill="1" applyAlignment="1">
      <alignment horizontal="centerContinuous" wrapText="1"/>
    </xf>
    <xf numFmtId="181" fontId="79" fillId="0" borderId="0" xfId="0" applyNumberFormat="1" applyFont="1" applyAlignment="1">
      <alignment wrapText="1"/>
    </xf>
    <xf numFmtId="0" fontId="80" fillId="0" borderId="0" xfId="0" applyFont="1" applyAlignment="1">
      <alignment vertical="center"/>
    </xf>
    <xf numFmtId="210" fontId="79" fillId="41" borderId="2" xfId="0" applyNumberFormat="1" applyFont="1" applyFill="1" applyBorder="1" applyAlignment="1">
      <alignment wrapText="1"/>
    </xf>
    <xf numFmtId="0" fontId="150" fillId="0" borderId="0" xfId="0" applyFont="1"/>
    <xf numFmtId="0" fontId="153" fillId="0" borderId="0" xfId="0" applyFont="1"/>
    <xf numFmtId="43" fontId="13" fillId="0" borderId="0" xfId="62" applyFont="1" applyAlignment="1">
      <alignment horizontal="right"/>
    </xf>
    <xf numFmtId="43" fontId="79" fillId="46" borderId="2" xfId="62" applyFont="1" applyFill="1" applyBorder="1" applyAlignment="1">
      <alignment horizontal="right"/>
    </xf>
    <xf numFmtId="0" fontId="105" fillId="43" borderId="44" xfId="0" applyFont="1" applyFill="1" applyBorder="1" applyAlignment="1">
      <alignment horizontal="center" vertical="center"/>
    </xf>
    <xf numFmtId="0" fontId="105" fillId="43" borderId="69" xfId="0" applyFont="1" applyFill="1" applyBorder="1" applyAlignment="1">
      <alignment horizontal="center" vertical="center"/>
    </xf>
    <xf numFmtId="0" fontId="105" fillId="43" borderId="51" xfId="0" applyFont="1" applyFill="1" applyBorder="1" applyAlignment="1">
      <alignment horizontal="center"/>
    </xf>
    <xf numFmtId="0" fontId="105" fillId="43" borderId="50" xfId="0" applyFont="1" applyFill="1" applyBorder="1" applyAlignment="1">
      <alignment horizontal="center"/>
    </xf>
    <xf numFmtId="0" fontId="80" fillId="4" borderId="26" xfId="0" applyFont="1" applyFill="1" applyBorder="1" applyAlignment="1">
      <alignment horizontal="center"/>
    </xf>
    <xf numFmtId="0" fontId="80" fillId="4" borderId="27" xfId="0" applyFont="1" applyFill="1" applyBorder="1" applyAlignment="1">
      <alignment horizontal="center"/>
    </xf>
    <xf numFmtId="0" fontId="80" fillId="4" borderId="33" xfId="0" applyFont="1" applyFill="1" applyBorder="1" applyAlignment="1">
      <alignment horizontal="center"/>
    </xf>
    <xf numFmtId="0" fontId="80" fillId="4" borderId="26" xfId="0" quotePrefix="1" applyFont="1" applyFill="1" applyBorder="1" applyAlignment="1">
      <alignment horizontal="center"/>
    </xf>
    <xf numFmtId="165" fontId="86" fillId="0" borderId="0" xfId="0" applyNumberFormat="1" applyFont="1" applyAlignment="1">
      <alignment horizontal="center"/>
    </xf>
    <xf numFmtId="0" fontId="79" fillId="39" borderId="6" xfId="0" applyFont="1" applyFill="1" applyBorder="1" applyAlignment="1">
      <alignment horizontal="center"/>
    </xf>
    <xf numFmtId="0" fontId="79" fillId="0" borderId="0" xfId="0" applyFont="1" applyAlignment="1">
      <alignment horizontal="center" wrapText="1"/>
    </xf>
    <xf numFmtId="0" fontId="79" fillId="0" borderId="6" xfId="0" applyFont="1" applyBorder="1" applyAlignment="1">
      <alignment horizontal="center"/>
    </xf>
    <xf numFmtId="0" fontId="79" fillId="0" borderId="29" xfId="0" applyFont="1" applyBorder="1" applyAlignment="1">
      <alignment horizontal="center" wrapText="1"/>
    </xf>
    <xf numFmtId="0" fontId="79" fillId="0" borderId="0" xfId="0" applyFont="1" applyAlignment="1">
      <alignment horizontal="center"/>
    </xf>
    <xf numFmtId="3" fontId="79" fillId="0" borderId="0" xfId="0" applyNumberFormat="1" applyFont="1" applyAlignment="1">
      <alignment horizontal="center"/>
    </xf>
    <xf numFmtId="0" fontId="79" fillId="39" borderId="0" xfId="0" applyFont="1" applyFill="1" applyAlignment="1">
      <alignment horizontal="center"/>
    </xf>
    <xf numFmtId="165" fontId="28" fillId="0" borderId="0" xfId="0" applyNumberFormat="1" applyFont="1" applyAlignment="1">
      <alignment horizontal="center"/>
    </xf>
    <xf numFmtId="0" fontId="79" fillId="0" borderId="29" xfId="0" applyFont="1" applyBorder="1" applyAlignment="1">
      <alignment horizontal="left" vertical="center" wrapText="1"/>
    </xf>
    <xf numFmtId="0" fontId="93" fillId="0" borderId="0" xfId="0" applyFont="1" applyAlignment="1">
      <alignment wrapText="1"/>
    </xf>
    <xf numFmtId="0" fontId="85" fillId="0" borderId="0" xfId="0" applyFont="1" applyAlignment="1">
      <alignment horizontal="left" wrapText="1"/>
    </xf>
    <xf numFmtId="0" fontId="85" fillId="0" borderId="0" xfId="0" applyFont="1" applyAlignment="1">
      <alignment horizontal="left"/>
    </xf>
    <xf numFmtId="0" fontId="80" fillId="0" borderId="26" xfId="0" applyFont="1" applyBorder="1" applyAlignment="1">
      <alignment horizontal="center" wrapText="1"/>
    </xf>
    <xf numFmtId="0" fontId="80" fillId="0" borderId="27" xfId="0" applyFont="1" applyBorder="1" applyAlignment="1">
      <alignment horizontal="center" wrapText="1"/>
    </xf>
    <xf numFmtId="0" fontId="80" fillId="0" borderId="33" xfId="0" applyFont="1" applyBorder="1" applyAlignment="1">
      <alignment horizontal="center" wrapText="1"/>
    </xf>
    <xf numFmtId="0" fontId="14" fillId="0" borderId="26" xfId="0" applyFont="1" applyBorder="1" applyAlignment="1">
      <alignment horizontal="center" vertical="center" wrapText="1"/>
    </xf>
    <xf numFmtId="0" fontId="14" fillId="0" borderId="27" xfId="0" applyFont="1" applyBorder="1" applyAlignment="1">
      <alignment horizontal="center" vertical="center" wrapText="1"/>
    </xf>
    <xf numFmtId="0" fontId="14" fillId="0" borderId="33" xfId="0" applyFont="1" applyBorder="1" applyAlignment="1">
      <alignment horizontal="center" vertical="center" wrapText="1"/>
    </xf>
    <xf numFmtId="0" fontId="51" fillId="0" borderId="54" xfId="156" applyFont="1" applyBorder="1" applyAlignment="1">
      <alignment horizontal="center" wrapText="1"/>
    </xf>
    <xf numFmtId="0" fontId="51" fillId="0" borderId="32" xfId="156" applyFont="1" applyBorder="1" applyAlignment="1">
      <alignment horizontal="center" wrapText="1"/>
    </xf>
    <xf numFmtId="0" fontId="51" fillId="0" borderId="0" xfId="156" applyFont="1" applyAlignment="1">
      <alignment horizontal="center"/>
    </xf>
    <xf numFmtId="0" fontId="125" fillId="48" borderId="54" xfId="156" applyFont="1" applyFill="1" applyBorder="1" applyAlignment="1">
      <alignment horizontal="left"/>
    </xf>
    <xf numFmtId="0" fontId="125" fillId="48" borderId="32" xfId="156" applyFont="1" applyFill="1" applyBorder="1" applyAlignment="1">
      <alignment horizontal="left"/>
    </xf>
    <xf numFmtId="22" fontId="7" fillId="0" borderId="0" xfId="155" applyNumberFormat="1" applyAlignment="1">
      <alignment horizontal="left"/>
    </xf>
    <xf numFmtId="0" fontId="12" fillId="4" borderId="31" xfId="155" applyFont="1" applyFill="1" applyBorder="1" applyAlignment="1">
      <alignment horizontal="right"/>
    </xf>
    <xf numFmtId="0" fontId="12" fillId="4" borderId="62" xfId="155" applyFont="1" applyFill="1" applyBorder="1" applyAlignment="1">
      <alignment horizontal="right"/>
    </xf>
    <xf numFmtId="0" fontId="13" fillId="0" borderId="0" xfId="155" applyFont="1" applyAlignment="1">
      <alignment horizontal="center" vertical="center" textRotation="90" wrapText="1"/>
    </xf>
    <xf numFmtId="0" fontId="51" fillId="0" borderId="54" xfId="155" applyFont="1" applyBorder="1" applyAlignment="1">
      <alignment horizontal="center" wrapText="1"/>
    </xf>
    <xf numFmtId="0" fontId="51" fillId="0" borderId="32" xfId="155" applyFont="1" applyBorder="1" applyAlignment="1">
      <alignment horizontal="center" vertical="top" wrapText="1"/>
    </xf>
  </cellXfs>
  <cellStyles count="554">
    <cellStyle name="1" xfId="1" xr:uid="{00000000-0005-0000-0000-000000000000}"/>
    <cellStyle name="1st indent" xfId="2" xr:uid="{00000000-0005-0000-0000-000001000000}"/>
    <cellStyle name="1st indent 2" xfId="3" xr:uid="{00000000-0005-0000-0000-000002000000}"/>
    <cellStyle name="1st indent 2 2" xfId="4" xr:uid="{00000000-0005-0000-0000-000003000000}"/>
    <cellStyle name="1st indent 2 2 2" xfId="343" xr:uid="{00000000-0005-0000-0000-000004000000}"/>
    <cellStyle name="1st indent 2 3" xfId="5" xr:uid="{00000000-0005-0000-0000-000005000000}"/>
    <cellStyle name="1st indent 2_old one_section15" xfId="6" xr:uid="{00000000-0005-0000-0000-000006000000}"/>
    <cellStyle name="1st indent 3" xfId="7" xr:uid="{00000000-0005-0000-0000-000007000000}"/>
    <cellStyle name="1st indent 3 2" xfId="8" xr:uid="{00000000-0005-0000-0000-000008000000}"/>
    <cellStyle name="1st indent 3 2 2" xfId="344" xr:uid="{00000000-0005-0000-0000-000009000000}"/>
    <cellStyle name="1st indent 3_Section09" xfId="9" xr:uid="{00000000-0005-0000-0000-00000A000000}"/>
    <cellStyle name="1st indent 4" xfId="10" xr:uid="{00000000-0005-0000-0000-00000B000000}"/>
    <cellStyle name="1st indent 4 2" xfId="345" xr:uid="{00000000-0005-0000-0000-00000C000000}"/>
    <cellStyle name="1st indent 5" xfId="11" xr:uid="{00000000-0005-0000-0000-00000D000000}"/>
    <cellStyle name="1st indent 5 2" xfId="346" xr:uid="{00000000-0005-0000-0000-00000E000000}"/>
    <cellStyle name="1st indent 6" xfId="12" xr:uid="{00000000-0005-0000-0000-00000F000000}"/>
    <cellStyle name="1st indent 6 2" xfId="347" xr:uid="{00000000-0005-0000-0000-000010000000}"/>
    <cellStyle name="1st indent 7" xfId="13" xr:uid="{00000000-0005-0000-0000-000011000000}"/>
    <cellStyle name="1st indent_01.04" xfId="348" xr:uid="{00000000-0005-0000-0000-000012000000}"/>
    <cellStyle name="20% - Accent1 2" xfId="349" xr:uid="{00000000-0005-0000-0000-000013000000}"/>
    <cellStyle name="20% - Accent1 3" xfId="350" xr:uid="{00000000-0005-0000-0000-000014000000}"/>
    <cellStyle name="20% - Accent2 2" xfId="351" xr:uid="{00000000-0005-0000-0000-000015000000}"/>
    <cellStyle name="20% - Accent2 3" xfId="352" xr:uid="{00000000-0005-0000-0000-000016000000}"/>
    <cellStyle name="20% - Accent3 2" xfId="353" xr:uid="{00000000-0005-0000-0000-000017000000}"/>
    <cellStyle name="20% - Accent3 3" xfId="354" xr:uid="{00000000-0005-0000-0000-000018000000}"/>
    <cellStyle name="20% - Accent4 2" xfId="355" xr:uid="{00000000-0005-0000-0000-000019000000}"/>
    <cellStyle name="20% - Accent4 3" xfId="356" xr:uid="{00000000-0005-0000-0000-00001A000000}"/>
    <cellStyle name="20% - Accent5 2" xfId="357" xr:uid="{00000000-0005-0000-0000-00001B000000}"/>
    <cellStyle name="20% - Accent6 2" xfId="358" xr:uid="{00000000-0005-0000-0000-00001C000000}"/>
    <cellStyle name="20% - Accent6 3" xfId="359" xr:uid="{00000000-0005-0000-0000-00001D000000}"/>
    <cellStyle name="2nd indent" xfId="14" xr:uid="{00000000-0005-0000-0000-00001E000000}"/>
    <cellStyle name="2nd indent 2" xfId="15" xr:uid="{00000000-0005-0000-0000-00001F000000}"/>
    <cellStyle name="2nd indent 2 2" xfId="16" xr:uid="{00000000-0005-0000-0000-000020000000}"/>
    <cellStyle name="2nd indent 2 2 2" xfId="360" xr:uid="{00000000-0005-0000-0000-000021000000}"/>
    <cellStyle name="2nd indent 2 3" xfId="17" xr:uid="{00000000-0005-0000-0000-000022000000}"/>
    <cellStyle name="2nd indent 2_Section06_100804_full" xfId="18" xr:uid="{00000000-0005-0000-0000-000023000000}"/>
    <cellStyle name="2nd indent 3" xfId="19" xr:uid="{00000000-0005-0000-0000-000024000000}"/>
    <cellStyle name="2nd indent 3 2" xfId="20" xr:uid="{00000000-0005-0000-0000-000025000000}"/>
    <cellStyle name="2nd indent 3 2 2" xfId="361" xr:uid="{00000000-0005-0000-0000-000026000000}"/>
    <cellStyle name="2nd indent 3_Section03" xfId="21" xr:uid="{00000000-0005-0000-0000-000027000000}"/>
    <cellStyle name="2nd indent 4" xfId="22" xr:uid="{00000000-0005-0000-0000-000028000000}"/>
    <cellStyle name="2nd indent 4 2" xfId="362" xr:uid="{00000000-0005-0000-0000-000029000000}"/>
    <cellStyle name="2nd indent 5" xfId="23" xr:uid="{00000000-0005-0000-0000-00002A000000}"/>
    <cellStyle name="2nd indent 5 2" xfId="363" xr:uid="{00000000-0005-0000-0000-00002B000000}"/>
    <cellStyle name="2nd indent 6" xfId="24" xr:uid="{00000000-0005-0000-0000-00002C000000}"/>
    <cellStyle name="2nd indent 7" xfId="25" xr:uid="{00000000-0005-0000-0000-00002D000000}"/>
    <cellStyle name="2nd indent 8" xfId="26" xr:uid="{00000000-0005-0000-0000-00002E000000}"/>
    <cellStyle name="2nd indent 9" xfId="27" xr:uid="{00000000-0005-0000-0000-00002F000000}"/>
    <cellStyle name="2nd indent_010309" xfId="28" xr:uid="{00000000-0005-0000-0000-000030000000}"/>
    <cellStyle name="2x indented GHG Textfiels" xfId="29" xr:uid="{00000000-0005-0000-0000-000031000000}"/>
    <cellStyle name="3rd indent" xfId="30" xr:uid="{00000000-0005-0000-0000-000032000000}"/>
    <cellStyle name="3rd indent 2" xfId="31" xr:uid="{00000000-0005-0000-0000-000033000000}"/>
    <cellStyle name="3rd indent 2 2" xfId="32" xr:uid="{00000000-0005-0000-0000-000034000000}"/>
    <cellStyle name="3rd indent 3" xfId="33" xr:uid="{00000000-0005-0000-0000-000035000000}"/>
    <cellStyle name="3rd indent 3 2" xfId="364" xr:uid="{00000000-0005-0000-0000-000036000000}"/>
    <cellStyle name="3rd indent 4" xfId="34" xr:uid="{00000000-0005-0000-0000-000037000000}"/>
    <cellStyle name="3rd indent 4 2" xfId="365" xr:uid="{00000000-0005-0000-0000-000038000000}"/>
    <cellStyle name="3rd indent 5" xfId="35" xr:uid="{00000000-0005-0000-0000-000039000000}"/>
    <cellStyle name="3rd indent 5 2" xfId="366" xr:uid="{00000000-0005-0000-0000-00003A000000}"/>
    <cellStyle name="3rd indent 6" xfId="36" xr:uid="{00000000-0005-0000-0000-00003B000000}"/>
    <cellStyle name="3rd indent_010409" xfId="37" xr:uid="{00000000-0005-0000-0000-00003C000000}"/>
    <cellStyle name="40% - Accent1 2" xfId="367" xr:uid="{00000000-0005-0000-0000-00003D000000}"/>
    <cellStyle name="40% - Accent1 3" xfId="368" xr:uid="{00000000-0005-0000-0000-00003E000000}"/>
    <cellStyle name="40% - Accent2 2" xfId="369" xr:uid="{00000000-0005-0000-0000-00003F000000}"/>
    <cellStyle name="40% - Accent3 2" xfId="370" xr:uid="{00000000-0005-0000-0000-000040000000}"/>
    <cellStyle name="40% - Accent3 3" xfId="371" xr:uid="{00000000-0005-0000-0000-000041000000}"/>
    <cellStyle name="40% - Accent4 2" xfId="372" xr:uid="{00000000-0005-0000-0000-000042000000}"/>
    <cellStyle name="40% - Accent4 3" xfId="373" xr:uid="{00000000-0005-0000-0000-000043000000}"/>
    <cellStyle name="40% - Accent5 2" xfId="374" xr:uid="{00000000-0005-0000-0000-000044000000}"/>
    <cellStyle name="40% - Accent6 2" xfId="375" xr:uid="{00000000-0005-0000-0000-000045000000}"/>
    <cellStyle name="40% - Accent6 3" xfId="376" xr:uid="{00000000-0005-0000-0000-000046000000}"/>
    <cellStyle name="4th indent" xfId="38" xr:uid="{00000000-0005-0000-0000-000047000000}"/>
    <cellStyle name="4th indent 2" xfId="39" xr:uid="{00000000-0005-0000-0000-000048000000}"/>
    <cellStyle name="4th indent 2 2" xfId="40" xr:uid="{00000000-0005-0000-0000-000049000000}"/>
    <cellStyle name="4th indent 3" xfId="41" xr:uid="{00000000-0005-0000-0000-00004A000000}"/>
    <cellStyle name="4th indent 3 2" xfId="377" xr:uid="{00000000-0005-0000-0000-00004B000000}"/>
    <cellStyle name="4th indent 4" xfId="42" xr:uid="{00000000-0005-0000-0000-00004C000000}"/>
    <cellStyle name="4th indent 4 2" xfId="378" xr:uid="{00000000-0005-0000-0000-00004D000000}"/>
    <cellStyle name="4th indent 5" xfId="43" xr:uid="{00000000-0005-0000-0000-00004E000000}"/>
    <cellStyle name="4th indent 5 2" xfId="379" xr:uid="{00000000-0005-0000-0000-00004F000000}"/>
    <cellStyle name="4th indent_010409" xfId="44" xr:uid="{00000000-0005-0000-0000-000050000000}"/>
    <cellStyle name="5th indent" xfId="45" xr:uid="{00000000-0005-0000-0000-000051000000}"/>
    <cellStyle name="5th indent 2" xfId="46" xr:uid="{00000000-0005-0000-0000-000052000000}"/>
    <cellStyle name="5th indent 2 2" xfId="47" xr:uid="{00000000-0005-0000-0000-000053000000}"/>
    <cellStyle name="5th indent 3" xfId="48" xr:uid="{00000000-0005-0000-0000-000054000000}"/>
    <cellStyle name="5th indent 3 2" xfId="380" xr:uid="{00000000-0005-0000-0000-000055000000}"/>
    <cellStyle name="5th indent 4" xfId="49" xr:uid="{00000000-0005-0000-0000-000056000000}"/>
    <cellStyle name="5th indent 4 2" xfId="381" xr:uid="{00000000-0005-0000-0000-000057000000}"/>
    <cellStyle name="5th indent 5" xfId="50" xr:uid="{00000000-0005-0000-0000-000058000000}"/>
    <cellStyle name="5th indent 5 2" xfId="382" xr:uid="{00000000-0005-0000-0000-000059000000}"/>
    <cellStyle name="5th indent_010409" xfId="51" xr:uid="{00000000-0005-0000-0000-00005A000000}"/>
    <cellStyle name="5x indented GHG Textfiels" xfId="52" xr:uid="{00000000-0005-0000-0000-00005B000000}"/>
    <cellStyle name="60% - Accent1 2" xfId="383" xr:uid="{00000000-0005-0000-0000-00005C000000}"/>
    <cellStyle name="60% - Accent1 3" xfId="384" xr:uid="{00000000-0005-0000-0000-00005D000000}"/>
    <cellStyle name="60% - Accent2 2" xfId="385" xr:uid="{00000000-0005-0000-0000-00005E000000}"/>
    <cellStyle name="60% - Accent3 2" xfId="386" xr:uid="{00000000-0005-0000-0000-00005F000000}"/>
    <cellStyle name="60% - Accent3 3" xfId="387" xr:uid="{00000000-0005-0000-0000-000060000000}"/>
    <cellStyle name="60% - Accent4 2" xfId="388" xr:uid="{00000000-0005-0000-0000-000061000000}"/>
    <cellStyle name="60% - Accent4 3" xfId="389" xr:uid="{00000000-0005-0000-0000-000062000000}"/>
    <cellStyle name="60% - Accent5 2" xfId="390" xr:uid="{00000000-0005-0000-0000-000063000000}"/>
    <cellStyle name="60% - Accent6 2" xfId="391" xr:uid="{00000000-0005-0000-0000-000064000000}"/>
    <cellStyle name="60% - Accent6 3" xfId="392" xr:uid="{00000000-0005-0000-0000-000065000000}"/>
    <cellStyle name="6th indent" xfId="53" xr:uid="{00000000-0005-0000-0000-000066000000}"/>
    <cellStyle name="6th indent 2" xfId="54" xr:uid="{00000000-0005-0000-0000-000067000000}"/>
    <cellStyle name="6th indent 2 2" xfId="55" xr:uid="{00000000-0005-0000-0000-000068000000}"/>
    <cellStyle name="6th indent 3" xfId="56" xr:uid="{00000000-0005-0000-0000-000069000000}"/>
    <cellStyle name="6th indent 3 2" xfId="393" xr:uid="{00000000-0005-0000-0000-00006A000000}"/>
    <cellStyle name="6th indent 4" xfId="57" xr:uid="{00000000-0005-0000-0000-00006B000000}"/>
    <cellStyle name="6th indent 4 2" xfId="394" xr:uid="{00000000-0005-0000-0000-00006C000000}"/>
    <cellStyle name="6th indent 5" xfId="58" xr:uid="{00000000-0005-0000-0000-00006D000000}"/>
    <cellStyle name="6th indent 5 2" xfId="395" xr:uid="{00000000-0005-0000-0000-00006E000000}"/>
    <cellStyle name="6th indent_010409" xfId="59" xr:uid="{00000000-0005-0000-0000-00006F000000}"/>
    <cellStyle name="Accent1 2" xfId="396" xr:uid="{00000000-0005-0000-0000-000070000000}"/>
    <cellStyle name="Accent1 3" xfId="397" xr:uid="{00000000-0005-0000-0000-000071000000}"/>
    <cellStyle name="Accent2 2" xfId="398" xr:uid="{00000000-0005-0000-0000-000072000000}"/>
    <cellStyle name="Accent3 2" xfId="399" xr:uid="{00000000-0005-0000-0000-000073000000}"/>
    <cellStyle name="Accent4 2" xfId="400" xr:uid="{00000000-0005-0000-0000-000074000000}"/>
    <cellStyle name="Accent4 3" xfId="401" xr:uid="{00000000-0005-0000-0000-000075000000}"/>
    <cellStyle name="Accent5 2" xfId="402" xr:uid="{00000000-0005-0000-0000-000076000000}"/>
    <cellStyle name="Accent6 2" xfId="403" xr:uid="{00000000-0005-0000-0000-000077000000}"/>
    <cellStyle name="Bad 2" xfId="60" xr:uid="{00000000-0005-0000-0000-000078000000}"/>
    <cellStyle name="Bad 2 2" xfId="405" xr:uid="{00000000-0005-0000-0000-000079000000}"/>
    <cellStyle name="Bad 2 3" xfId="406" xr:uid="{00000000-0005-0000-0000-00007A000000}"/>
    <cellStyle name="Bad 2 4" xfId="404" xr:uid="{00000000-0005-0000-0000-00007B000000}"/>
    <cellStyle name="Bold GHG Numbers (0.00)" xfId="61" xr:uid="{00000000-0005-0000-0000-00007C000000}"/>
    <cellStyle name="Calculation 2" xfId="407" xr:uid="{00000000-0005-0000-0000-00007D000000}"/>
    <cellStyle name="Calculation 3" xfId="408" xr:uid="{00000000-0005-0000-0000-00007E000000}"/>
    <cellStyle name="Check Cell 2" xfId="409" xr:uid="{00000000-0005-0000-0000-00007F000000}"/>
    <cellStyle name="Comma" xfId="62" builtinId="3"/>
    <cellStyle name="Comma 2" xfId="63" xr:uid="{00000000-0005-0000-0000-000081000000}"/>
    <cellStyle name="Comma 2 2" xfId="64" xr:uid="{00000000-0005-0000-0000-000082000000}"/>
    <cellStyle name="Comma 2 3" xfId="410" xr:uid="{00000000-0005-0000-0000-000083000000}"/>
    <cellStyle name="Comma 2 3 2" xfId="523" xr:uid="{E93D8DE9-CD3A-4BCB-A48B-BB2128B90A6E}"/>
    <cellStyle name="Comma 2 3 3" xfId="522" xr:uid="{2B1039AB-1A2C-4F0F-84C1-A85C1AE548D5}"/>
    <cellStyle name="Comma 2 4" xfId="551" xr:uid="{A1DA2FCF-BFC5-4A85-B959-6EC56719A5B8}"/>
    <cellStyle name="Comma 3" xfId="65" xr:uid="{00000000-0005-0000-0000-000084000000}"/>
    <cellStyle name="Comma 3 2" xfId="66" xr:uid="{00000000-0005-0000-0000-000085000000}"/>
    <cellStyle name="Comma 3 3" xfId="411" xr:uid="{00000000-0005-0000-0000-000086000000}"/>
    <cellStyle name="Comma 3 3 2" xfId="524" xr:uid="{C0F28D78-D64B-4539-93FA-BEB41C936D53}"/>
    <cellStyle name="Comma 3 4" xfId="412" xr:uid="{00000000-0005-0000-0000-000087000000}"/>
    <cellStyle name="Comma 3 4 2" xfId="525" xr:uid="{DC4F8D79-8629-4BA1-8A01-A4890A8AFA28}"/>
    <cellStyle name="Comma 3 5" xfId="506" xr:uid="{00000000-0005-0000-0000-000088000000}"/>
    <cellStyle name="Comma 3 5 2" xfId="542" xr:uid="{B786DBEC-6524-40F8-9FFB-56AA2E0BCA5F}"/>
    <cellStyle name="Comma 4" xfId="67" xr:uid="{00000000-0005-0000-0000-000089000000}"/>
    <cellStyle name="Comma 4 2" xfId="413" xr:uid="{00000000-0005-0000-0000-00008A000000}"/>
    <cellStyle name="Comma 4 3" xfId="526" xr:uid="{B31FDF5B-D404-424C-AA4F-8B8A5657DDA4}"/>
    <cellStyle name="Comma 5" xfId="68" xr:uid="{00000000-0005-0000-0000-00008B000000}"/>
    <cellStyle name="Comma 5 2" xfId="69" xr:uid="{00000000-0005-0000-0000-00008C000000}"/>
    <cellStyle name="Comma 6" xfId="70" xr:uid="{00000000-0005-0000-0000-00008D000000}"/>
    <cellStyle name="Comma 6 2" xfId="527" xr:uid="{EA26A8C6-AB24-4EF4-9CF8-3F249BF1B1FF}"/>
    <cellStyle name="Comma 7" xfId="71" xr:uid="{00000000-0005-0000-0000-00008E000000}"/>
    <cellStyle name="Comma 8" xfId="545" xr:uid="{181DEC27-9DE5-4985-839D-96C3F3BD5D66}"/>
    <cellStyle name="Comma0" xfId="72" xr:uid="{00000000-0005-0000-0000-00008F000000}"/>
    <cellStyle name="Comma0 2" xfId="73" xr:uid="{00000000-0005-0000-0000-000090000000}"/>
    <cellStyle name="Comma0 2 2" xfId="74" xr:uid="{00000000-0005-0000-0000-000091000000}"/>
    <cellStyle name="Comma0 3" xfId="75" xr:uid="{00000000-0005-0000-0000-000092000000}"/>
    <cellStyle name="Comma0 3 2" xfId="414" xr:uid="{00000000-0005-0000-0000-000093000000}"/>
    <cellStyle name="Comma0 4" xfId="76" xr:uid="{00000000-0005-0000-0000-000094000000}"/>
    <cellStyle name="Comma0_01.09" xfId="415" xr:uid="{00000000-0005-0000-0000-000095000000}"/>
    <cellStyle name="Currency" xfId="77" builtinId="4"/>
    <cellStyle name="Currency 2" xfId="78" xr:uid="{00000000-0005-0000-0000-000097000000}"/>
    <cellStyle name="Currency 3" xfId="79" xr:uid="{00000000-0005-0000-0000-000098000000}"/>
    <cellStyle name="Currency0" xfId="80" xr:uid="{00000000-0005-0000-0000-000099000000}"/>
    <cellStyle name="Currency0 2" xfId="81" xr:uid="{00000000-0005-0000-0000-00009A000000}"/>
    <cellStyle name="Currency0 2 2" xfId="82" xr:uid="{00000000-0005-0000-0000-00009B000000}"/>
    <cellStyle name="Currency0 3" xfId="83" xr:uid="{00000000-0005-0000-0000-00009C000000}"/>
    <cellStyle name="Currency0 3 2" xfId="417" xr:uid="{00000000-0005-0000-0000-00009D000000}"/>
    <cellStyle name="Currency0 4" xfId="84" xr:uid="{00000000-0005-0000-0000-00009E000000}"/>
    <cellStyle name="Currency0 5" xfId="416" xr:uid="{00000000-0005-0000-0000-00009F000000}"/>
    <cellStyle name="Currency0_01.09" xfId="418" xr:uid="{00000000-0005-0000-0000-0000A0000000}"/>
    <cellStyle name="Date" xfId="85" xr:uid="{00000000-0005-0000-0000-0000A1000000}"/>
    <cellStyle name="Date 2" xfId="86" xr:uid="{00000000-0005-0000-0000-0000A2000000}"/>
    <cellStyle name="Date 2 2" xfId="87" xr:uid="{00000000-0005-0000-0000-0000A3000000}"/>
    <cellStyle name="Date 3" xfId="88" xr:uid="{00000000-0005-0000-0000-0000A4000000}"/>
    <cellStyle name="Date 3 2" xfId="420" xr:uid="{00000000-0005-0000-0000-0000A5000000}"/>
    <cellStyle name="Date 4" xfId="89" xr:uid="{00000000-0005-0000-0000-0000A6000000}"/>
    <cellStyle name="Date 5" xfId="419" xr:uid="{00000000-0005-0000-0000-0000A7000000}"/>
    <cellStyle name="Date_01.09" xfId="421" xr:uid="{00000000-0005-0000-0000-0000A8000000}"/>
    <cellStyle name="Explanatory Text 2" xfId="422" xr:uid="{00000000-0005-0000-0000-0000A9000000}"/>
    <cellStyle name="Fixed" xfId="90" xr:uid="{00000000-0005-0000-0000-0000AA000000}"/>
    <cellStyle name="Fixed 2" xfId="91" xr:uid="{00000000-0005-0000-0000-0000AB000000}"/>
    <cellStyle name="Fixed 2 2" xfId="92" xr:uid="{00000000-0005-0000-0000-0000AC000000}"/>
    <cellStyle name="Fixed 3" xfId="93" xr:uid="{00000000-0005-0000-0000-0000AD000000}"/>
    <cellStyle name="Fixed 3 2" xfId="423" xr:uid="{00000000-0005-0000-0000-0000AE000000}"/>
    <cellStyle name="Fixed 4" xfId="94" xr:uid="{00000000-0005-0000-0000-0000AF000000}"/>
    <cellStyle name="Fixed_01.09" xfId="424" xr:uid="{00000000-0005-0000-0000-0000B0000000}"/>
    <cellStyle name="FOOTNOTE" xfId="95" xr:uid="{00000000-0005-0000-0000-0000B1000000}"/>
    <cellStyle name="FOOTNOTE 10" xfId="96" xr:uid="{00000000-0005-0000-0000-0000B2000000}"/>
    <cellStyle name="FOOTNOTE 11" xfId="97" xr:uid="{00000000-0005-0000-0000-0000B3000000}"/>
    <cellStyle name="FOOTNOTE 12" xfId="98" xr:uid="{00000000-0005-0000-0000-0000B4000000}"/>
    <cellStyle name="FOOTNOTE 2" xfId="99" xr:uid="{00000000-0005-0000-0000-0000B5000000}"/>
    <cellStyle name="FOOTNOTE 2 2" xfId="100" xr:uid="{00000000-0005-0000-0000-0000B6000000}"/>
    <cellStyle name="FOOTNOTE 2 3" xfId="101" xr:uid="{00000000-0005-0000-0000-0000B7000000}"/>
    <cellStyle name="FOOTNOTE 2 4" xfId="102" xr:uid="{00000000-0005-0000-0000-0000B8000000}"/>
    <cellStyle name="FOOTNOTE 2 5" xfId="425" xr:uid="{00000000-0005-0000-0000-0000B9000000}"/>
    <cellStyle name="FOOTNOTE 2 6" xfId="507" xr:uid="{00000000-0005-0000-0000-0000BA000000}"/>
    <cellStyle name="FOOTNOTE 2_Section03" xfId="103" xr:uid="{00000000-0005-0000-0000-0000BB000000}"/>
    <cellStyle name="FOOTNOTE 3" xfId="104" xr:uid="{00000000-0005-0000-0000-0000BC000000}"/>
    <cellStyle name="FOOTNOTE 3 2" xfId="105" xr:uid="{00000000-0005-0000-0000-0000BD000000}"/>
    <cellStyle name="FOOTNOTE 3_Section10" xfId="106" xr:uid="{00000000-0005-0000-0000-0000BE000000}"/>
    <cellStyle name="FOOTNOTE 4" xfId="107" xr:uid="{00000000-0005-0000-0000-0000BF000000}"/>
    <cellStyle name="FOOTNOTE 4 2" xfId="108" xr:uid="{00000000-0005-0000-0000-0000C0000000}"/>
    <cellStyle name="FOOTNOTE 4_Section10" xfId="109" xr:uid="{00000000-0005-0000-0000-0000C1000000}"/>
    <cellStyle name="FOOTNOTE 5" xfId="110" xr:uid="{00000000-0005-0000-0000-0000C2000000}"/>
    <cellStyle name="FOOTNOTE 5 2" xfId="111" xr:uid="{00000000-0005-0000-0000-0000C3000000}"/>
    <cellStyle name="FOOTNOTE 5_Section10" xfId="112" xr:uid="{00000000-0005-0000-0000-0000C4000000}"/>
    <cellStyle name="FOOTNOTE 6" xfId="113" xr:uid="{00000000-0005-0000-0000-0000C5000000}"/>
    <cellStyle name="FOOTNOTE 7" xfId="114" xr:uid="{00000000-0005-0000-0000-0000C6000000}"/>
    <cellStyle name="FOOTNOTE 8" xfId="115" xr:uid="{00000000-0005-0000-0000-0000C7000000}"/>
    <cellStyle name="FOOTNOTE 9" xfId="116" xr:uid="{00000000-0005-0000-0000-0000C8000000}"/>
    <cellStyle name="FOOTNOTE_01.62" xfId="426" xr:uid="{00000000-0005-0000-0000-0000C9000000}"/>
    <cellStyle name="Good 2" xfId="427" xr:uid="{00000000-0005-0000-0000-0000CA000000}"/>
    <cellStyle name="HEADING" xfId="117" xr:uid="{00000000-0005-0000-0000-0000CB000000}"/>
    <cellStyle name="Heading 1 10" xfId="428" xr:uid="{00000000-0005-0000-0000-0000CC000000}"/>
    <cellStyle name="Heading 1 2" xfId="118" xr:uid="{00000000-0005-0000-0000-0000CD000000}"/>
    <cellStyle name="Heading 1 2 2" xfId="119" xr:uid="{00000000-0005-0000-0000-0000CE000000}"/>
    <cellStyle name="Heading 1 2 2 2" xfId="429" xr:uid="{00000000-0005-0000-0000-0000CF000000}"/>
    <cellStyle name="Heading 1 2 3" xfId="120" xr:uid="{00000000-0005-0000-0000-0000D0000000}"/>
    <cellStyle name="Heading 1 2_010908" xfId="121" xr:uid="{00000000-0005-0000-0000-0000D1000000}"/>
    <cellStyle name="Heading 1 3" xfId="122" xr:uid="{00000000-0005-0000-0000-0000D2000000}"/>
    <cellStyle name="Heading 1 3 2" xfId="430" xr:uid="{00000000-0005-0000-0000-0000D3000000}"/>
    <cellStyle name="Heading 1 4" xfId="123" xr:uid="{00000000-0005-0000-0000-0000D4000000}"/>
    <cellStyle name="Heading 1 4 2" xfId="431" xr:uid="{00000000-0005-0000-0000-0000D5000000}"/>
    <cellStyle name="Heading 1 5" xfId="432" xr:uid="{00000000-0005-0000-0000-0000D6000000}"/>
    <cellStyle name="Heading 1 6" xfId="433" xr:uid="{00000000-0005-0000-0000-0000D7000000}"/>
    <cellStyle name="Heading 1 7" xfId="434" xr:uid="{00000000-0005-0000-0000-0000D8000000}"/>
    <cellStyle name="Heading 1 8" xfId="435" xr:uid="{00000000-0005-0000-0000-0000D9000000}"/>
    <cellStyle name="Heading 1 9" xfId="436" xr:uid="{00000000-0005-0000-0000-0000DA000000}"/>
    <cellStyle name="HEADING 10" xfId="437" xr:uid="{00000000-0005-0000-0000-0000DB000000}"/>
    <cellStyle name="HEADING 11" xfId="438" xr:uid="{00000000-0005-0000-0000-0000DC000000}"/>
    <cellStyle name="HEADING 12" xfId="439" xr:uid="{00000000-0005-0000-0000-0000DD000000}"/>
    <cellStyle name="HEADING 13" xfId="440" xr:uid="{00000000-0005-0000-0000-0000DE000000}"/>
    <cellStyle name="HEADING 14" xfId="441" xr:uid="{00000000-0005-0000-0000-0000DF000000}"/>
    <cellStyle name="HEADING 15" xfId="442" xr:uid="{00000000-0005-0000-0000-0000E0000000}"/>
    <cellStyle name="HEADING 16" xfId="443" xr:uid="{00000000-0005-0000-0000-0000E1000000}"/>
    <cellStyle name="HEADING 17" xfId="444" xr:uid="{00000000-0005-0000-0000-0000E2000000}"/>
    <cellStyle name="HEADING 18" xfId="445" xr:uid="{00000000-0005-0000-0000-0000E3000000}"/>
    <cellStyle name="Heading 2 10" xfId="446" xr:uid="{00000000-0005-0000-0000-0000E4000000}"/>
    <cellStyle name="Heading 2 2" xfId="124" xr:uid="{00000000-0005-0000-0000-0000E5000000}"/>
    <cellStyle name="Heading 2 2 2" xfId="125" xr:uid="{00000000-0005-0000-0000-0000E6000000}"/>
    <cellStyle name="Heading 2 2 2 2" xfId="447" xr:uid="{00000000-0005-0000-0000-0000E7000000}"/>
    <cellStyle name="Heading 2 2 3" xfId="126" xr:uid="{00000000-0005-0000-0000-0000E8000000}"/>
    <cellStyle name="Heading 2 2_010908" xfId="127" xr:uid="{00000000-0005-0000-0000-0000E9000000}"/>
    <cellStyle name="Heading 2 3" xfId="128" xr:uid="{00000000-0005-0000-0000-0000EA000000}"/>
    <cellStyle name="Heading 2 3 2" xfId="448" xr:uid="{00000000-0005-0000-0000-0000EB000000}"/>
    <cellStyle name="Heading 2 4" xfId="129" xr:uid="{00000000-0005-0000-0000-0000EC000000}"/>
    <cellStyle name="Heading 2 4 2" xfId="449" xr:uid="{00000000-0005-0000-0000-0000ED000000}"/>
    <cellStyle name="Heading 2 5" xfId="450" xr:uid="{00000000-0005-0000-0000-0000EE000000}"/>
    <cellStyle name="Heading 2 6" xfId="451" xr:uid="{00000000-0005-0000-0000-0000EF000000}"/>
    <cellStyle name="Heading 2 7" xfId="452" xr:uid="{00000000-0005-0000-0000-0000F0000000}"/>
    <cellStyle name="Heading 2 8" xfId="453" xr:uid="{00000000-0005-0000-0000-0000F1000000}"/>
    <cellStyle name="Heading 2 9" xfId="454" xr:uid="{00000000-0005-0000-0000-0000F2000000}"/>
    <cellStyle name="Heading 3 2" xfId="455" xr:uid="{00000000-0005-0000-0000-0000F3000000}"/>
    <cellStyle name="Heading 3 3" xfId="456" xr:uid="{00000000-0005-0000-0000-0000F4000000}"/>
    <cellStyle name="Heading 4 2" xfId="457" xr:uid="{00000000-0005-0000-0000-0000F5000000}"/>
    <cellStyle name="Heading 4 3" xfId="458" xr:uid="{00000000-0005-0000-0000-0000F6000000}"/>
    <cellStyle name="HEADING 5" xfId="130" xr:uid="{00000000-0005-0000-0000-0000F7000000}"/>
    <cellStyle name="HEADING 6" xfId="459" xr:uid="{00000000-0005-0000-0000-0000F8000000}"/>
    <cellStyle name="HEADING 7" xfId="460" xr:uid="{00000000-0005-0000-0000-0000F9000000}"/>
    <cellStyle name="HEADING 8" xfId="461" xr:uid="{00000000-0005-0000-0000-0000FA000000}"/>
    <cellStyle name="HEADING 9" xfId="462" xr:uid="{00000000-0005-0000-0000-0000FB000000}"/>
    <cellStyle name="HEADING1" xfId="131" xr:uid="{00000000-0005-0000-0000-0000FC000000}"/>
    <cellStyle name="HEADING2" xfId="132" xr:uid="{00000000-0005-0000-0000-0000FD000000}"/>
    <cellStyle name="Headline" xfId="133" xr:uid="{00000000-0005-0000-0000-0000FE000000}"/>
    <cellStyle name="Hyperlink" xfId="508" builtinId="8"/>
    <cellStyle name="Hyperlink 2" xfId="134" xr:uid="{00000000-0005-0000-0000-000000010000}"/>
    <cellStyle name="Hyperlink 2 2" xfId="135" xr:uid="{00000000-0005-0000-0000-000001010000}"/>
    <cellStyle name="Hyperlink 2 3" xfId="136" xr:uid="{00000000-0005-0000-0000-000002010000}"/>
    <cellStyle name="Hyperlink 2 4" xfId="463" xr:uid="{00000000-0005-0000-0000-000003010000}"/>
    <cellStyle name="Hyperlink 2_Section03" xfId="137" xr:uid="{00000000-0005-0000-0000-000004010000}"/>
    <cellStyle name="Hyperlink 3" xfId="138" xr:uid="{00000000-0005-0000-0000-000005010000}"/>
    <cellStyle name="Hyperlink 4" xfId="139" xr:uid="{00000000-0005-0000-0000-000006010000}"/>
    <cellStyle name="Input 2" xfId="464" xr:uid="{00000000-0005-0000-0000-000007010000}"/>
    <cellStyle name="Input 3" xfId="465" xr:uid="{00000000-0005-0000-0000-000008010000}"/>
    <cellStyle name="Linked Cell 2" xfId="466" xr:uid="{00000000-0005-0000-0000-000009010000}"/>
    <cellStyle name="Neutral 2" xfId="467" xr:uid="{00000000-0005-0000-0000-00000A010000}"/>
    <cellStyle name="Normal" xfId="0" builtinId="0"/>
    <cellStyle name="Normal 10" xfId="140" xr:uid="{00000000-0005-0000-0000-00000C010000}"/>
    <cellStyle name="Normal 10 2" xfId="141" xr:uid="{00000000-0005-0000-0000-00000D010000}"/>
    <cellStyle name="Normal 10 2 2" xfId="142" xr:uid="{00000000-0005-0000-0000-00000E010000}"/>
    <cellStyle name="Normal 11" xfId="143" xr:uid="{00000000-0005-0000-0000-00000F010000}"/>
    <cellStyle name="Normal 12" xfId="144" xr:uid="{00000000-0005-0000-0000-000010010000}"/>
    <cellStyle name="Normal 12 2" xfId="145" xr:uid="{00000000-0005-0000-0000-000011010000}"/>
    <cellStyle name="Normal 13" xfId="146" xr:uid="{00000000-0005-0000-0000-000012010000}"/>
    <cellStyle name="Normal 13 2" xfId="147" xr:uid="{00000000-0005-0000-0000-000013010000}"/>
    <cellStyle name="Normal 13_2010census_rep3_tab4_as of 5_8_jan" xfId="148" xr:uid="{00000000-0005-0000-0000-000014010000}"/>
    <cellStyle name="Normal 14" xfId="149" xr:uid="{00000000-0005-0000-0000-000015010000}"/>
    <cellStyle name="Normal 15" xfId="150" xr:uid="{00000000-0005-0000-0000-000016010000}"/>
    <cellStyle name="Normal 16" xfId="151" xr:uid="{00000000-0005-0000-0000-000017010000}"/>
    <cellStyle name="Normal 17" xfId="152" xr:uid="{00000000-0005-0000-0000-000018010000}"/>
    <cellStyle name="Normal 18" xfId="153" xr:uid="{00000000-0005-0000-0000-000019010000}"/>
    <cellStyle name="Normal 19" xfId="154" xr:uid="{00000000-0005-0000-0000-00001A010000}"/>
    <cellStyle name="Normal 2" xfId="155" xr:uid="{00000000-0005-0000-0000-00001B010000}"/>
    <cellStyle name="Normal 2 2" xfId="156" xr:uid="{00000000-0005-0000-0000-00001C010000}"/>
    <cellStyle name="Normal 2 2 2" xfId="157" xr:uid="{00000000-0005-0000-0000-00001D010000}"/>
    <cellStyle name="Normal 2 2 3" xfId="470" xr:uid="{00000000-0005-0000-0000-00001E010000}"/>
    <cellStyle name="Normal 2 2 4" xfId="521" xr:uid="{00000000-0005-0000-0000-00001F010000}"/>
    <cellStyle name="Normal 2 2_2010census_rep3_tab2&amp;3_to check_as of 4_25" xfId="158" xr:uid="{00000000-0005-0000-0000-000020010000}"/>
    <cellStyle name="Normal 2 3" xfId="159" xr:uid="{00000000-0005-0000-0000-000021010000}"/>
    <cellStyle name="Normal 2 3 2" xfId="160" xr:uid="{00000000-0005-0000-0000-000022010000}"/>
    <cellStyle name="Normal 2 3 2 2" xfId="528" xr:uid="{400EA3DC-1D77-4178-B538-05780DED654E}"/>
    <cellStyle name="Normal 2 3 3" xfId="550" xr:uid="{177EA305-8C01-4582-84B6-43A11FFA986C}"/>
    <cellStyle name="Normal 2 3_Section21" xfId="161" xr:uid="{00000000-0005-0000-0000-000023010000}"/>
    <cellStyle name="Normal 2 4" xfId="162" xr:uid="{00000000-0005-0000-0000-000024010000}"/>
    <cellStyle name="Normal 2 4 2" xfId="471" xr:uid="{00000000-0005-0000-0000-000025010000}"/>
    <cellStyle name="Normal 2 5" xfId="472" xr:uid="{00000000-0005-0000-0000-000026010000}"/>
    <cellStyle name="Normal 2_01.09" xfId="473" xr:uid="{00000000-0005-0000-0000-000027010000}"/>
    <cellStyle name="Normal 20" xfId="163" xr:uid="{00000000-0005-0000-0000-000028010000}"/>
    <cellStyle name="Normal 21" xfId="164" xr:uid="{00000000-0005-0000-0000-000029010000}"/>
    <cellStyle name="Normal 22" xfId="165" xr:uid="{00000000-0005-0000-0000-00002A010000}"/>
    <cellStyle name="Normal 23" xfId="166" xr:uid="{00000000-0005-0000-0000-00002B010000}"/>
    <cellStyle name="Normal 24" xfId="167" xr:uid="{00000000-0005-0000-0000-00002C010000}"/>
    <cellStyle name="Normal 25" xfId="168" xr:uid="{00000000-0005-0000-0000-00002D010000}"/>
    <cellStyle name="Normal 26" xfId="552" xr:uid="{E36E083E-1C31-4598-9A65-AAFF64544BE6}"/>
    <cellStyle name="Normal 3" xfId="169" xr:uid="{00000000-0005-0000-0000-00002E010000}"/>
    <cellStyle name="Normal 3 2" xfId="170" xr:uid="{00000000-0005-0000-0000-00002F010000}"/>
    <cellStyle name="Normal 3 2 2" xfId="171" xr:uid="{00000000-0005-0000-0000-000030010000}"/>
    <cellStyle name="Normal 3 2 3" xfId="474" xr:uid="{00000000-0005-0000-0000-000031010000}"/>
    <cellStyle name="Normal 3 2 4" xfId="529" xr:uid="{123974EA-1CCC-48A8-B495-FC40A46F74E5}"/>
    <cellStyle name="Normal 3 2_Section03" xfId="172" xr:uid="{00000000-0005-0000-0000-000032010000}"/>
    <cellStyle name="Normal 3 3" xfId="173" xr:uid="{00000000-0005-0000-0000-000033010000}"/>
    <cellStyle name="Normal 3 3 2" xfId="475" xr:uid="{00000000-0005-0000-0000-000034010000}"/>
    <cellStyle name="Normal 3 3 3" xfId="530" xr:uid="{7D80E7E9-3BD8-4307-BD6D-8114C3020802}"/>
    <cellStyle name="Normal 3 4" xfId="174" xr:uid="{00000000-0005-0000-0000-000035010000}"/>
    <cellStyle name="Normal 3 4 2" xfId="476" xr:uid="{00000000-0005-0000-0000-000036010000}"/>
    <cellStyle name="Normal 3 4 3" xfId="531" xr:uid="{90EE3896-72F8-416D-A251-32F29215BA7A}"/>
    <cellStyle name="Normal 3 5" xfId="175" xr:uid="{00000000-0005-0000-0000-000037010000}"/>
    <cellStyle name="Normal 3 5 2" xfId="546" xr:uid="{96551B06-7A0F-4D52-B7D6-EFF701C4C836}"/>
    <cellStyle name="Normal 3 6" xfId="509" xr:uid="{00000000-0005-0000-0000-000038010000}"/>
    <cellStyle name="Normal 3 7" xfId="512" xr:uid="{00000000-0005-0000-0000-000039010000}"/>
    <cellStyle name="Normal 3 8" xfId="553" xr:uid="{8CD16FDE-82F5-460C-AFCA-9D468592F192}"/>
    <cellStyle name="Normal 3_212609" xfId="176" xr:uid="{00000000-0005-0000-0000-00003A010000}"/>
    <cellStyle name="Normal 4" xfId="177" xr:uid="{00000000-0005-0000-0000-00003B010000}"/>
    <cellStyle name="Normal 4 2" xfId="178" xr:uid="{00000000-0005-0000-0000-00003C010000}"/>
    <cellStyle name="Normal 4 2 2" xfId="478" xr:uid="{00000000-0005-0000-0000-00003D010000}"/>
    <cellStyle name="Normal 4 3" xfId="179" xr:uid="{00000000-0005-0000-0000-00003E010000}"/>
    <cellStyle name="Normal 4 3 2" xfId="479" xr:uid="{00000000-0005-0000-0000-00003F010000}"/>
    <cellStyle name="Normal 4 4" xfId="180" xr:uid="{00000000-0005-0000-0000-000040010000}"/>
    <cellStyle name="Normal 4 4 2" xfId="480" xr:uid="{00000000-0005-0000-0000-000041010000}"/>
    <cellStyle name="Normal 4 5" xfId="477" xr:uid="{00000000-0005-0000-0000-000042010000}"/>
    <cellStyle name="Normal 4 6" xfId="510" xr:uid="{00000000-0005-0000-0000-000043010000}"/>
    <cellStyle name="Normal 4 7" xfId="532" xr:uid="{5C9A2650-2F86-4893-81A0-46EC40CD5470}"/>
    <cellStyle name="Normal 4_Section02" xfId="181" xr:uid="{00000000-0005-0000-0000-000044010000}"/>
    <cellStyle name="Normal 5" xfId="182" xr:uid="{00000000-0005-0000-0000-000045010000}"/>
    <cellStyle name="Normal 5 11" xfId="541" xr:uid="{83203225-E037-43C2-BE1E-70FC30F9B92D}"/>
    <cellStyle name="Normal 5 2" xfId="183" xr:uid="{00000000-0005-0000-0000-000046010000}"/>
    <cellStyle name="Normal 5 2 2" xfId="482" xr:uid="{00000000-0005-0000-0000-000047010000}"/>
    <cellStyle name="Normal 5 2 2 2" xfId="543" xr:uid="{34800643-4F9A-45A8-8F36-1BEE47293976}"/>
    <cellStyle name="Normal 5 3" xfId="481" xr:uid="{00000000-0005-0000-0000-000048010000}"/>
    <cellStyle name="Normal 5 3 2" xfId="547" xr:uid="{86E43251-B3B8-45CA-A1F3-4E3DD09A87C7}"/>
    <cellStyle name="Normal 5_Section02" xfId="184" xr:uid="{00000000-0005-0000-0000-000049010000}"/>
    <cellStyle name="Normal 6" xfId="185" xr:uid="{00000000-0005-0000-0000-00004A010000}"/>
    <cellStyle name="Normal 6 2" xfId="186" xr:uid="{00000000-0005-0000-0000-00004B010000}"/>
    <cellStyle name="Normal 6 3" xfId="483" xr:uid="{00000000-0005-0000-0000-00004C010000}"/>
    <cellStyle name="Normal 6 4" xfId="533" xr:uid="{395798F6-2C05-4EC1-A81C-E9A6C1FA91BA}"/>
    <cellStyle name="Normal 7" xfId="187" xr:uid="{00000000-0005-0000-0000-00004D010000}"/>
    <cellStyle name="Normal 7 2" xfId="188" xr:uid="{00000000-0005-0000-0000-00004E010000}"/>
    <cellStyle name="Normal 7 3" xfId="484" xr:uid="{00000000-0005-0000-0000-00004F010000}"/>
    <cellStyle name="Normal 7 4" xfId="534" xr:uid="{CD35DFD1-F711-48CD-98B8-0DBBDF75FF86}"/>
    <cellStyle name="Normal 8" xfId="189" xr:uid="{00000000-0005-0000-0000-000050010000}"/>
    <cellStyle name="Normal 8 2" xfId="190" xr:uid="{00000000-0005-0000-0000-000051010000}"/>
    <cellStyle name="Normal 8 3" xfId="544" xr:uid="{2771FDA4-C53E-4C4D-A112-939E38224DA3}"/>
    <cellStyle name="Normal 9" xfId="191" xr:uid="{00000000-0005-0000-0000-000052010000}"/>
    <cellStyle name="Normal 9 2" xfId="192" xr:uid="{00000000-0005-0000-0000-000053010000}"/>
    <cellStyle name="Normal 9 3" xfId="485" xr:uid="{00000000-0005-0000-0000-000054010000}"/>
    <cellStyle name="Normal 9 4" xfId="548" xr:uid="{CC21E9F0-5684-46BF-AA4C-A91AB4B7D3B6}"/>
    <cellStyle name="Normal GHG Numbers (0.00)" xfId="193" xr:uid="{00000000-0005-0000-0000-000055010000}"/>
    <cellStyle name="Normal GHG Textfiels Bold" xfId="194" xr:uid="{00000000-0005-0000-0000-000056010000}"/>
    <cellStyle name="Normal GHG whole table" xfId="195" xr:uid="{00000000-0005-0000-0000-000057010000}"/>
    <cellStyle name="Normal GHG-Shade" xfId="196" xr:uid="{00000000-0005-0000-0000-000058010000}"/>
    <cellStyle name="Normal_Book1" xfId="197" xr:uid="{00000000-0005-0000-0000-000059010000}"/>
    <cellStyle name="Normal_Forest Fires 2006  (10.16.06)" xfId="519" xr:uid="{00000000-0005-0000-0000-00005A010000}"/>
    <cellStyle name="Normal_MasterLUCF 2002" xfId="518" xr:uid="{00000000-0005-0000-0000-00005B010000}"/>
    <cellStyle name="Note 10" xfId="198" xr:uid="{00000000-0005-0000-0000-00005C010000}"/>
    <cellStyle name="Note 11" xfId="199" xr:uid="{00000000-0005-0000-0000-00005D010000}"/>
    <cellStyle name="Note 12" xfId="200" xr:uid="{00000000-0005-0000-0000-00005E010000}"/>
    <cellStyle name="Note 13" xfId="201" xr:uid="{00000000-0005-0000-0000-00005F010000}"/>
    <cellStyle name="Note 14" xfId="202" xr:uid="{00000000-0005-0000-0000-000060010000}"/>
    <cellStyle name="Note 15" xfId="203" xr:uid="{00000000-0005-0000-0000-000061010000}"/>
    <cellStyle name="Note 16" xfId="204" xr:uid="{00000000-0005-0000-0000-000062010000}"/>
    <cellStyle name="Note 17" xfId="205" xr:uid="{00000000-0005-0000-0000-000063010000}"/>
    <cellStyle name="Note 18" xfId="206" xr:uid="{00000000-0005-0000-0000-000064010000}"/>
    <cellStyle name="Note 19" xfId="207" xr:uid="{00000000-0005-0000-0000-000065010000}"/>
    <cellStyle name="Note 2" xfId="208" xr:uid="{00000000-0005-0000-0000-000066010000}"/>
    <cellStyle name="Note 2 2" xfId="209" xr:uid="{00000000-0005-0000-0000-000067010000}"/>
    <cellStyle name="Note 2 2 2" xfId="487" xr:uid="{00000000-0005-0000-0000-000068010000}"/>
    <cellStyle name="Note 2 3" xfId="486" xr:uid="{00000000-0005-0000-0000-000069010000}"/>
    <cellStyle name="Note 20" xfId="210" xr:uid="{00000000-0005-0000-0000-00006A010000}"/>
    <cellStyle name="Note 21" xfId="211" xr:uid="{00000000-0005-0000-0000-00006B010000}"/>
    <cellStyle name="Note 22" xfId="212" xr:uid="{00000000-0005-0000-0000-00006C010000}"/>
    <cellStyle name="Note 3" xfId="213" xr:uid="{00000000-0005-0000-0000-00006D010000}"/>
    <cellStyle name="Note 3 2" xfId="214" xr:uid="{00000000-0005-0000-0000-00006E010000}"/>
    <cellStyle name="Note 3 3" xfId="488" xr:uid="{00000000-0005-0000-0000-00006F010000}"/>
    <cellStyle name="Note 4" xfId="215" xr:uid="{00000000-0005-0000-0000-000070010000}"/>
    <cellStyle name="Note 4 2" xfId="216" xr:uid="{00000000-0005-0000-0000-000071010000}"/>
    <cellStyle name="Note 5" xfId="217" xr:uid="{00000000-0005-0000-0000-000072010000}"/>
    <cellStyle name="Note 5 2" xfId="218" xr:uid="{00000000-0005-0000-0000-000073010000}"/>
    <cellStyle name="Note 6" xfId="219" xr:uid="{00000000-0005-0000-0000-000074010000}"/>
    <cellStyle name="Note 6 2" xfId="220" xr:uid="{00000000-0005-0000-0000-000075010000}"/>
    <cellStyle name="Note 7" xfId="221" xr:uid="{00000000-0005-0000-0000-000076010000}"/>
    <cellStyle name="Note 7 2" xfId="222" xr:uid="{00000000-0005-0000-0000-000077010000}"/>
    <cellStyle name="Note 8" xfId="223" xr:uid="{00000000-0005-0000-0000-000078010000}"/>
    <cellStyle name="Note 9" xfId="224" xr:uid="{00000000-0005-0000-0000-000079010000}"/>
    <cellStyle name="numbcent" xfId="225" xr:uid="{00000000-0005-0000-0000-00007A010000}"/>
    <cellStyle name="Output 2" xfId="489" xr:uid="{00000000-0005-0000-0000-00007B010000}"/>
    <cellStyle name="Output 3" xfId="490" xr:uid="{00000000-0005-0000-0000-00007C010000}"/>
    <cellStyle name="Pattern" xfId="226" xr:uid="{00000000-0005-0000-0000-00007D010000}"/>
    <cellStyle name="Percent" xfId="227" builtinId="5"/>
    <cellStyle name="Percent 2" xfId="228" xr:uid="{00000000-0005-0000-0000-00007F010000}"/>
    <cellStyle name="Percent 2 2" xfId="229" xr:uid="{00000000-0005-0000-0000-000080010000}"/>
    <cellStyle name="Percent 2 2 2" xfId="230" xr:uid="{00000000-0005-0000-0000-000081010000}"/>
    <cellStyle name="Percent 2 3" xfId="535" xr:uid="{928501E1-E852-4689-BC4C-FC73A828E37A}"/>
    <cellStyle name="Percent 2 3 2" xfId="536" xr:uid="{B3934F5F-F49D-4468-8129-A69729ABB4FF}"/>
    <cellStyle name="Percent 2 4" xfId="549" xr:uid="{DB5DBE61-B4AE-49AB-8C60-53E0E8F75BB4}"/>
    <cellStyle name="Percent 3" xfId="231" xr:uid="{00000000-0005-0000-0000-000082010000}"/>
    <cellStyle name="Percent 3 2" xfId="232" xr:uid="{00000000-0005-0000-0000-000083010000}"/>
    <cellStyle name="Percent 3 3" xfId="233" xr:uid="{00000000-0005-0000-0000-000084010000}"/>
    <cellStyle name="Percent 3 3 2" xfId="537" xr:uid="{BB338D9D-119E-49B2-BDF9-22429BEE7181}"/>
    <cellStyle name="Percent 3 4" xfId="491" xr:uid="{00000000-0005-0000-0000-000085010000}"/>
    <cellStyle name="Percent 3 4 2" xfId="538" xr:uid="{F7082322-7ED6-4AAB-8C62-F7C045AA98A3}"/>
    <cellStyle name="Percent 4" xfId="234" xr:uid="{00000000-0005-0000-0000-000086010000}"/>
    <cellStyle name="Percent 4 2" xfId="520" xr:uid="{00000000-0005-0000-0000-000087010000}"/>
    <cellStyle name="Percent 5" xfId="235" xr:uid="{00000000-0005-0000-0000-000088010000}"/>
    <cellStyle name="Percent 6" xfId="539" xr:uid="{1B222C9F-68D9-4E31-9E77-B9C23342BDE7}"/>
    <cellStyle name="Percent 7" xfId="540" xr:uid="{9C508AE7-34F2-42A6-9FCF-557DD0F4A4D2}"/>
    <cellStyle name="R00B" xfId="236" xr:uid="{00000000-0005-0000-0000-000089010000}"/>
    <cellStyle name="R00L" xfId="237" xr:uid="{00000000-0005-0000-0000-00008A010000}"/>
    <cellStyle name="R01B" xfId="238" xr:uid="{00000000-0005-0000-0000-00008B010000}"/>
    <cellStyle name="R01H" xfId="239" xr:uid="{00000000-0005-0000-0000-00008C010000}"/>
    <cellStyle name="R01L" xfId="240" xr:uid="{00000000-0005-0000-0000-00008D010000}"/>
    <cellStyle name="R02B" xfId="241" xr:uid="{00000000-0005-0000-0000-00008E010000}"/>
    <cellStyle name="R02L" xfId="242" xr:uid="{00000000-0005-0000-0000-00008F010000}"/>
    <cellStyle name="RISKbigPercent" xfId="243" xr:uid="{00000000-0005-0000-0000-000090010000}"/>
    <cellStyle name="RISKblandrEdge" xfId="244" xr:uid="{00000000-0005-0000-0000-000091010000}"/>
    <cellStyle name="RISKblCorner" xfId="245" xr:uid="{00000000-0005-0000-0000-000092010000}"/>
    <cellStyle name="RISKbottomEdge" xfId="246" xr:uid="{00000000-0005-0000-0000-000093010000}"/>
    <cellStyle name="RISKbrCorner" xfId="247" xr:uid="{00000000-0005-0000-0000-000094010000}"/>
    <cellStyle name="RISKdarkBoxed" xfId="248" xr:uid="{00000000-0005-0000-0000-000095010000}"/>
    <cellStyle name="RISKdarkShade" xfId="249" xr:uid="{00000000-0005-0000-0000-000096010000}"/>
    <cellStyle name="RISKdbottomEdge" xfId="250" xr:uid="{00000000-0005-0000-0000-000097010000}"/>
    <cellStyle name="RISKdrightEdge" xfId="251" xr:uid="{00000000-0005-0000-0000-000098010000}"/>
    <cellStyle name="RISKdurationTime" xfId="252" xr:uid="{00000000-0005-0000-0000-000099010000}"/>
    <cellStyle name="RISKinNumber" xfId="253" xr:uid="{00000000-0005-0000-0000-00009A010000}"/>
    <cellStyle name="RISKlandrEdge" xfId="254" xr:uid="{00000000-0005-0000-0000-00009B010000}"/>
    <cellStyle name="RISKleftEdge" xfId="255" xr:uid="{00000000-0005-0000-0000-00009C010000}"/>
    <cellStyle name="RISKlightBoxed" xfId="256" xr:uid="{00000000-0005-0000-0000-00009D010000}"/>
    <cellStyle name="RISKltandbEdge" xfId="257" xr:uid="{00000000-0005-0000-0000-00009E010000}"/>
    <cellStyle name="RISKnormBoxed" xfId="258" xr:uid="{00000000-0005-0000-0000-00009F010000}"/>
    <cellStyle name="RISKnormCenter" xfId="259" xr:uid="{00000000-0005-0000-0000-0000A0010000}"/>
    <cellStyle name="RISKnormHeading" xfId="260" xr:uid="{00000000-0005-0000-0000-0000A1010000}"/>
    <cellStyle name="RISKnormItal" xfId="261" xr:uid="{00000000-0005-0000-0000-0000A2010000}"/>
    <cellStyle name="RISKnormLabel" xfId="262" xr:uid="{00000000-0005-0000-0000-0000A3010000}"/>
    <cellStyle name="RISKnormShade" xfId="263" xr:uid="{00000000-0005-0000-0000-0000A4010000}"/>
    <cellStyle name="RISKnormTitle" xfId="264" xr:uid="{00000000-0005-0000-0000-0000A5010000}"/>
    <cellStyle name="RISKoutNumber" xfId="265" xr:uid="{00000000-0005-0000-0000-0000A6010000}"/>
    <cellStyle name="RISKrightEdge" xfId="266" xr:uid="{00000000-0005-0000-0000-0000A7010000}"/>
    <cellStyle name="RISKrtandbEdge" xfId="267" xr:uid="{00000000-0005-0000-0000-0000A8010000}"/>
    <cellStyle name="RISKssTime" xfId="268" xr:uid="{00000000-0005-0000-0000-0000A9010000}"/>
    <cellStyle name="RISKtandbEdge" xfId="269" xr:uid="{00000000-0005-0000-0000-0000AA010000}"/>
    <cellStyle name="RISKtlandrEdge" xfId="270" xr:uid="{00000000-0005-0000-0000-0000AB010000}"/>
    <cellStyle name="RISKtlCorner" xfId="271" xr:uid="{00000000-0005-0000-0000-0000AC010000}"/>
    <cellStyle name="RISKtopEdge" xfId="272" xr:uid="{00000000-0005-0000-0000-0000AD010000}"/>
    <cellStyle name="RISKtrCorner" xfId="273" xr:uid="{00000000-0005-0000-0000-0000AE010000}"/>
    <cellStyle name="Style 1" xfId="274" xr:uid="{00000000-0005-0000-0000-0000AF010000}"/>
    <cellStyle name="Style 21" xfId="275" xr:uid="{00000000-0005-0000-0000-0000B0010000}"/>
    <cellStyle name="Style 21 2" xfId="276" xr:uid="{00000000-0005-0000-0000-0000B1010000}"/>
    <cellStyle name="Style 22" xfId="277" xr:uid="{00000000-0005-0000-0000-0000B2010000}"/>
    <cellStyle name="Style 22 2" xfId="278" xr:uid="{00000000-0005-0000-0000-0000B3010000}"/>
    <cellStyle name="Style 23" xfId="279" xr:uid="{00000000-0005-0000-0000-0000B4010000}"/>
    <cellStyle name="Style 23 2" xfId="280" xr:uid="{00000000-0005-0000-0000-0000B5010000}"/>
    <cellStyle name="Style 24" xfId="281" xr:uid="{00000000-0005-0000-0000-0000B6010000}"/>
    <cellStyle name="Style 24 2" xfId="282" xr:uid="{00000000-0005-0000-0000-0000B7010000}"/>
    <cellStyle name="Style 25" xfId="283" xr:uid="{00000000-0005-0000-0000-0000B8010000}"/>
    <cellStyle name="Style 25 2" xfId="284" xr:uid="{00000000-0005-0000-0000-0000B9010000}"/>
    <cellStyle name="Style 26" xfId="285" xr:uid="{00000000-0005-0000-0000-0000BA010000}"/>
    <cellStyle name="Style 26 2" xfId="286" xr:uid="{00000000-0005-0000-0000-0000BB010000}"/>
    <cellStyle name="Style 27" xfId="287" xr:uid="{00000000-0005-0000-0000-0000BC010000}"/>
    <cellStyle name="Style 27 2" xfId="288" xr:uid="{00000000-0005-0000-0000-0000BD010000}"/>
    <cellStyle name="Style 28" xfId="289" xr:uid="{00000000-0005-0000-0000-0000BE010000}"/>
    <cellStyle name="style_col_headings" xfId="290" xr:uid="{00000000-0005-0000-0000-0000BF010000}"/>
    <cellStyle name="testing" xfId="291" xr:uid="{00000000-0005-0000-0000-0000C0010000}"/>
    <cellStyle name="Title" xfId="292" builtinId="15"/>
    <cellStyle name="Title 10" xfId="293" xr:uid="{00000000-0005-0000-0000-0000C2010000}"/>
    <cellStyle name="Title 11" xfId="294" xr:uid="{00000000-0005-0000-0000-0000C3010000}"/>
    <cellStyle name="Title 12" xfId="295" xr:uid="{00000000-0005-0000-0000-0000C4010000}"/>
    <cellStyle name="Title 13" xfId="296" xr:uid="{00000000-0005-0000-0000-0000C5010000}"/>
    <cellStyle name="Title 14" xfId="297" xr:uid="{00000000-0005-0000-0000-0000C6010000}"/>
    <cellStyle name="Title 15" xfId="298" xr:uid="{00000000-0005-0000-0000-0000C7010000}"/>
    <cellStyle name="Title 16" xfId="299" xr:uid="{00000000-0005-0000-0000-0000C8010000}"/>
    <cellStyle name="Title 17" xfId="300" xr:uid="{00000000-0005-0000-0000-0000C9010000}"/>
    <cellStyle name="Title 18" xfId="301" xr:uid="{00000000-0005-0000-0000-0000CA010000}"/>
    <cellStyle name="Title 19" xfId="302" xr:uid="{00000000-0005-0000-0000-0000CB010000}"/>
    <cellStyle name="TITLE 2" xfId="303" xr:uid="{00000000-0005-0000-0000-0000CC010000}"/>
    <cellStyle name="Title 2 2" xfId="304" xr:uid="{00000000-0005-0000-0000-0000CD010000}"/>
    <cellStyle name="TITLE 2_212109" xfId="305" xr:uid="{00000000-0005-0000-0000-0000CE010000}"/>
    <cellStyle name="Title 20" xfId="306" xr:uid="{00000000-0005-0000-0000-0000CF010000}"/>
    <cellStyle name="Title 21" xfId="307" xr:uid="{00000000-0005-0000-0000-0000D0010000}"/>
    <cellStyle name="Title 22" xfId="308" xr:uid="{00000000-0005-0000-0000-0000D1010000}"/>
    <cellStyle name="TITLE 23" xfId="309" xr:uid="{00000000-0005-0000-0000-0000D2010000}"/>
    <cellStyle name="TITLE 24" xfId="310" xr:uid="{00000000-0005-0000-0000-0000D3010000}"/>
    <cellStyle name="TITLE 25" xfId="311" xr:uid="{00000000-0005-0000-0000-0000D4010000}"/>
    <cellStyle name="TITLE 26" xfId="312" xr:uid="{00000000-0005-0000-0000-0000D5010000}"/>
    <cellStyle name="TITLE 27" xfId="313" xr:uid="{00000000-0005-0000-0000-0000D6010000}"/>
    <cellStyle name="TITLE 28" xfId="314" xr:uid="{00000000-0005-0000-0000-0000D7010000}"/>
    <cellStyle name="TITLE 29" xfId="315" xr:uid="{00000000-0005-0000-0000-0000D8010000}"/>
    <cellStyle name="Title 3" xfId="316" xr:uid="{00000000-0005-0000-0000-0000D9010000}"/>
    <cellStyle name="Title 3 2" xfId="317" xr:uid="{00000000-0005-0000-0000-0000DA010000}"/>
    <cellStyle name="Title 3_Section15" xfId="318" xr:uid="{00000000-0005-0000-0000-0000DB010000}"/>
    <cellStyle name="TITLE 30" xfId="319" xr:uid="{00000000-0005-0000-0000-0000DC010000}"/>
    <cellStyle name="TITLE 31" xfId="320" xr:uid="{00000000-0005-0000-0000-0000DD010000}"/>
    <cellStyle name="TITLE 32" xfId="321" xr:uid="{00000000-0005-0000-0000-0000DE010000}"/>
    <cellStyle name="TITLE 33" xfId="322" xr:uid="{00000000-0005-0000-0000-0000DF010000}"/>
    <cellStyle name="TITLE 34" xfId="323" xr:uid="{00000000-0005-0000-0000-0000E0010000}"/>
    <cellStyle name="TITLE 35" xfId="492" xr:uid="{00000000-0005-0000-0000-0000E1010000}"/>
    <cellStyle name="TITLE 36" xfId="505" xr:uid="{00000000-0005-0000-0000-0000E2010000}"/>
    <cellStyle name="TITLE 37" xfId="469" xr:uid="{00000000-0005-0000-0000-0000E3010000}"/>
    <cellStyle name="TITLE 38" xfId="504" xr:uid="{00000000-0005-0000-0000-0000E4010000}"/>
    <cellStyle name="TITLE 39" xfId="468" xr:uid="{00000000-0005-0000-0000-0000E5010000}"/>
    <cellStyle name="TITLE 4" xfId="324" xr:uid="{00000000-0005-0000-0000-0000E6010000}"/>
    <cellStyle name="Title 4 2" xfId="325" xr:uid="{00000000-0005-0000-0000-0000E7010000}"/>
    <cellStyle name="Title 4_Section15" xfId="326" xr:uid="{00000000-0005-0000-0000-0000E8010000}"/>
    <cellStyle name="TITLE 40" xfId="503" xr:uid="{00000000-0005-0000-0000-0000E9010000}"/>
    <cellStyle name="TITLE 41" xfId="342" xr:uid="{00000000-0005-0000-0000-0000EA010000}"/>
    <cellStyle name="Title 42" xfId="511" xr:uid="{00000000-0005-0000-0000-0000EB010000}"/>
    <cellStyle name="Title 43" xfId="513" xr:uid="{00000000-0005-0000-0000-0000EC010000}"/>
    <cellStyle name="TITLE 44" xfId="514" xr:uid="{00000000-0005-0000-0000-0000ED010000}"/>
    <cellStyle name="TITLE 45" xfId="515" xr:uid="{00000000-0005-0000-0000-0000EE010000}"/>
    <cellStyle name="TITLE 46" xfId="516" xr:uid="{00000000-0005-0000-0000-0000EF010000}"/>
    <cellStyle name="TITLE 47" xfId="517" xr:uid="{00000000-0005-0000-0000-0000F0010000}"/>
    <cellStyle name="TITLE 5" xfId="327" xr:uid="{00000000-0005-0000-0000-0000F1010000}"/>
    <cellStyle name="Title 5 2" xfId="328" xr:uid="{00000000-0005-0000-0000-0000F2010000}"/>
    <cellStyle name="Title 5_Section15" xfId="329" xr:uid="{00000000-0005-0000-0000-0000F3010000}"/>
    <cellStyle name="Title 6" xfId="330" xr:uid="{00000000-0005-0000-0000-0000F4010000}"/>
    <cellStyle name="Title 6 2" xfId="331" xr:uid="{00000000-0005-0000-0000-0000F5010000}"/>
    <cellStyle name="Title 7" xfId="332" xr:uid="{00000000-0005-0000-0000-0000F6010000}"/>
    <cellStyle name="Title 7 2" xfId="333" xr:uid="{00000000-0005-0000-0000-0000F7010000}"/>
    <cellStyle name="Title 8" xfId="334" xr:uid="{00000000-0005-0000-0000-0000F8010000}"/>
    <cellStyle name="Title 9" xfId="335" xr:uid="{00000000-0005-0000-0000-0000F9010000}"/>
    <cellStyle name="Total 10" xfId="493" xr:uid="{00000000-0005-0000-0000-0000FA010000}"/>
    <cellStyle name="Total 2" xfId="336" xr:uid="{00000000-0005-0000-0000-0000FB010000}"/>
    <cellStyle name="Total 2 2" xfId="337" xr:uid="{00000000-0005-0000-0000-0000FC010000}"/>
    <cellStyle name="Total 2 2 2" xfId="494" xr:uid="{00000000-0005-0000-0000-0000FD010000}"/>
    <cellStyle name="Total 2 3" xfId="338" xr:uid="{00000000-0005-0000-0000-0000FE010000}"/>
    <cellStyle name="Total 2_010908" xfId="339" xr:uid="{00000000-0005-0000-0000-0000FF010000}"/>
    <cellStyle name="Total 3" xfId="340" xr:uid="{00000000-0005-0000-0000-000000020000}"/>
    <cellStyle name="Total 3 2" xfId="495" xr:uid="{00000000-0005-0000-0000-000001020000}"/>
    <cellStyle name="Total 4" xfId="341" xr:uid="{00000000-0005-0000-0000-000002020000}"/>
    <cellStyle name="Total 4 2" xfId="496" xr:uid="{00000000-0005-0000-0000-000003020000}"/>
    <cellStyle name="Total 5" xfId="497" xr:uid="{00000000-0005-0000-0000-000004020000}"/>
    <cellStyle name="Total 6" xfId="498" xr:uid="{00000000-0005-0000-0000-000005020000}"/>
    <cellStyle name="Total 7" xfId="499" xr:uid="{00000000-0005-0000-0000-000006020000}"/>
    <cellStyle name="Total 8" xfId="500" xr:uid="{00000000-0005-0000-0000-000007020000}"/>
    <cellStyle name="Total 9" xfId="501" xr:uid="{00000000-0005-0000-0000-000008020000}"/>
    <cellStyle name="Warning Text 2" xfId="502" xr:uid="{00000000-0005-0000-0000-000009020000}"/>
  </cellStyles>
  <dxfs count="30">
    <dxf>
      <font>
        <color rgb="FFFFFFFF"/>
      </font>
      <fill>
        <patternFill>
          <bgColor rgb="FF008000"/>
        </patternFill>
      </fill>
    </dxf>
    <dxf>
      <font>
        <color rgb="FFFFFFFF"/>
      </font>
      <fill>
        <patternFill>
          <bgColor rgb="FF008000"/>
        </patternFill>
      </fill>
    </dxf>
    <dxf>
      <font>
        <color rgb="FFFFFFFF"/>
      </font>
      <fill>
        <patternFill>
          <bgColor rgb="FF008000"/>
        </patternFill>
      </fill>
    </dxf>
    <dxf>
      <font>
        <color rgb="FFFFFFFF"/>
      </font>
      <fill>
        <patternFill>
          <bgColor rgb="FF008000"/>
        </patternFill>
      </fill>
    </dxf>
    <dxf>
      <font>
        <color rgb="FFFFFFFF"/>
      </font>
      <fill>
        <patternFill>
          <bgColor rgb="FF008000"/>
        </patternFill>
      </fill>
    </dxf>
    <dxf>
      <font>
        <color rgb="FFFFFFFF"/>
      </font>
      <fill>
        <patternFill>
          <bgColor rgb="FF008000"/>
        </patternFill>
      </fill>
    </dxf>
    <dxf>
      <font>
        <color rgb="FFFFFFFF"/>
      </font>
      <fill>
        <patternFill>
          <bgColor rgb="FF008000"/>
        </patternFill>
      </fill>
    </dxf>
    <dxf>
      <font>
        <color rgb="FFFFFFFF"/>
      </font>
      <fill>
        <patternFill>
          <bgColor rgb="FF008000"/>
        </patternFill>
      </fill>
    </dxf>
    <dxf>
      <font>
        <color rgb="FFFFFFFF"/>
      </font>
      <fill>
        <patternFill>
          <bgColor rgb="FF008000"/>
        </patternFill>
      </fill>
    </dxf>
    <dxf>
      <font>
        <color rgb="FFFFFFFF"/>
      </font>
      <fill>
        <patternFill>
          <bgColor rgb="FF008000"/>
        </patternFill>
      </fill>
    </dxf>
    <dxf>
      <font>
        <color rgb="FFFFFFFF"/>
      </font>
      <fill>
        <patternFill>
          <bgColor rgb="FF008000"/>
        </patternFill>
      </fill>
    </dxf>
    <dxf>
      <font>
        <color rgb="FFFFFFFF"/>
      </font>
      <fill>
        <patternFill>
          <bgColor rgb="FF008000"/>
        </patternFill>
      </fill>
    </dxf>
    <dxf>
      <font>
        <color rgb="FFFFFFFF"/>
      </font>
      <fill>
        <patternFill>
          <bgColor rgb="FF0000FF"/>
        </patternFill>
      </fill>
    </dxf>
    <dxf>
      <font>
        <color rgb="FFFFFFFF"/>
      </font>
      <fill>
        <patternFill>
          <bgColor rgb="FFDC143C"/>
        </patternFill>
      </fill>
    </dxf>
    <dxf>
      <font>
        <color rgb="FFFFFFFF"/>
      </font>
      <fill>
        <patternFill>
          <bgColor rgb="FFDC143C"/>
        </patternFill>
      </fill>
    </dxf>
    <dxf>
      <font>
        <color rgb="FFFFFFFF"/>
      </font>
      <fill>
        <patternFill>
          <bgColor rgb="FFDC143C"/>
        </patternFill>
      </fill>
    </dxf>
    <dxf>
      <font>
        <color rgb="FFFFFFFF"/>
      </font>
      <fill>
        <patternFill>
          <bgColor rgb="FFDC143C"/>
        </patternFill>
      </fill>
    </dxf>
    <dxf>
      <font>
        <color rgb="FFFFFFFF"/>
      </font>
      <fill>
        <patternFill>
          <bgColor rgb="FFDC143C"/>
        </patternFill>
      </fill>
    </dxf>
    <dxf>
      <font>
        <color rgb="FFFFFFFF"/>
      </font>
      <fill>
        <patternFill>
          <bgColor rgb="FFDC143C"/>
        </patternFill>
      </fill>
    </dxf>
    <dxf>
      <font>
        <color rgb="FFFFFFFF"/>
      </font>
      <fill>
        <patternFill>
          <bgColor rgb="FFDC143C"/>
        </patternFill>
      </fill>
    </dxf>
    <dxf>
      <font>
        <color rgb="FFFFFFFF"/>
      </font>
      <fill>
        <patternFill>
          <bgColor rgb="FFDC143C"/>
        </patternFill>
      </fill>
    </dxf>
    <dxf>
      <font>
        <color rgb="FFFFFFFF"/>
      </font>
      <fill>
        <patternFill>
          <bgColor rgb="FFDC143C"/>
        </patternFill>
      </fill>
    </dxf>
    <dxf>
      <font>
        <b/>
        <i val="0"/>
      </font>
      <fill>
        <patternFill patternType="none">
          <bgColor auto="1"/>
        </patternFill>
      </fill>
    </dxf>
    <dxf>
      <font>
        <b/>
        <i val="0"/>
      </font>
    </dxf>
    <dxf>
      <font>
        <b/>
        <i val="0"/>
      </font>
      <fill>
        <patternFill patternType="none">
          <bgColor auto="1"/>
        </patternFill>
      </fill>
    </dxf>
    <dxf>
      <font>
        <b/>
        <i val="0"/>
      </font>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colors>
    <mruColors>
      <color rgb="FFFFFF99"/>
      <color rgb="FF800080"/>
      <color rgb="FFCCFFCC"/>
      <color rgb="FF0062AC"/>
      <color rgb="FF99CCFF"/>
      <color rgb="FF37AEFF"/>
      <color rgb="FF53B9FF"/>
      <color rgb="FF00CCFF"/>
      <color rgb="FF00A2E0"/>
      <color rgb="FF00538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externalLink" Target="externalLinks/externalLink6.xml"/><Relationship Id="rId39" Type="http://schemas.openxmlformats.org/officeDocument/2006/relationships/externalLink" Target="externalLinks/externalLink19.xml"/><Relationship Id="rId21" Type="http://schemas.openxmlformats.org/officeDocument/2006/relationships/externalLink" Target="externalLinks/externalLink1.xml"/><Relationship Id="rId34" Type="http://schemas.openxmlformats.org/officeDocument/2006/relationships/externalLink" Target="externalLinks/externalLink14.xml"/><Relationship Id="rId42" Type="http://schemas.openxmlformats.org/officeDocument/2006/relationships/externalLink" Target="externalLinks/externalLink22.xml"/><Relationship Id="rId47" Type="http://schemas.microsoft.com/office/2017/10/relationships/person" Target="persons/person.xml"/><Relationship Id="rId50" Type="http://schemas.openxmlformats.org/officeDocument/2006/relationships/customXml" Target="../customXml/item2.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externalLink" Target="externalLinks/externalLink9.xml"/><Relationship Id="rId11" Type="http://schemas.openxmlformats.org/officeDocument/2006/relationships/worksheet" Target="worksheets/sheet11.xml"/><Relationship Id="rId24" Type="http://schemas.openxmlformats.org/officeDocument/2006/relationships/externalLink" Target="externalLinks/externalLink4.xml"/><Relationship Id="rId32" Type="http://schemas.openxmlformats.org/officeDocument/2006/relationships/externalLink" Target="externalLinks/externalLink12.xml"/><Relationship Id="rId37" Type="http://schemas.openxmlformats.org/officeDocument/2006/relationships/externalLink" Target="externalLinks/externalLink17.xml"/><Relationship Id="rId40" Type="http://schemas.openxmlformats.org/officeDocument/2006/relationships/externalLink" Target="externalLinks/externalLink20.xml"/><Relationship Id="rId45"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3.xml"/><Relationship Id="rId28" Type="http://schemas.openxmlformats.org/officeDocument/2006/relationships/externalLink" Target="externalLinks/externalLink8.xml"/><Relationship Id="rId36" Type="http://schemas.openxmlformats.org/officeDocument/2006/relationships/externalLink" Target="externalLinks/externalLink16.xml"/><Relationship Id="rId49" Type="http://schemas.openxmlformats.org/officeDocument/2006/relationships/customXml" Target="../customXml/item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externalLink" Target="externalLinks/externalLink11.xml"/><Relationship Id="rId44"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2.xml"/><Relationship Id="rId27" Type="http://schemas.openxmlformats.org/officeDocument/2006/relationships/externalLink" Target="externalLinks/externalLink7.xml"/><Relationship Id="rId30" Type="http://schemas.openxmlformats.org/officeDocument/2006/relationships/externalLink" Target="externalLinks/externalLink10.xml"/><Relationship Id="rId35" Type="http://schemas.openxmlformats.org/officeDocument/2006/relationships/externalLink" Target="externalLinks/externalLink15.xml"/><Relationship Id="rId43" Type="http://schemas.openxmlformats.org/officeDocument/2006/relationships/theme" Target="theme/theme1.xml"/><Relationship Id="rId48" Type="http://schemas.openxmlformats.org/officeDocument/2006/relationships/calcChain" Target="calcChain.xml"/><Relationship Id="rId8" Type="http://schemas.openxmlformats.org/officeDocument/2006/relationships/worksheet" Target="worksheets/sheet8.xml"/><Relationship Id="rId51" Type="http://schemas.openxmlformats.org/officeDocument/2006/relationships/customXml" Target="../customXml/item3.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externalLink" Target="externalLinks/externalLink5.xml"/><Relationship Id="rId33" Type="http://schemas.openxmlformats.org/officeDocument/2006/relationships/externalLink" Target="externalLinks/externalLink13.xml"/><Relationship Id="rId38" Type="http://schemas.openxmlformats.org/officeDocument/2006/relationships/externalLink" Target="externalLinks/externalLink18.xml"/><Relationship Id="rId46" Type="http://schemas.openxmlformats.org/officeDocument/2006/relationships/sheetMetadata" Target="metadata.xml"/><Relationship Id="rId20" Type="http://schemas.openxmlformats.org/officeDocument/2006/relationships/worksheet" Target="worksheets/sheet20.xml"/><Relationship Id="rId41" Type="http://schemas.openxmlformats.org/officeDocument/2006/relationships/externalLink" Target="externalLinks/externalLink21.xml"/><Relationship Id="rId1" Type="http://schemas.openxmlformats.org/officeDocument/2006/relationships/worksheet" Target="worksheets/sheet1.xml"/><Relationship Id="rId6" Type="http://schemas.openxmlformats.org/officeDocument/2006/relationships/worksheet" Target="worksheets/sheet6.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2346404890178202"/>
          <c:y val="0.13945993237331819"/>
          <c:w val="0.78266939494405308"/>
          <c:h val="0.80382262183443287"/>
        </c:manualLayout>
      </c:layout>
      <c:pieChart>
        <c:varyColors val="1"/>
        <c:ser>
          <c:idx val="0"/>
          <c:order val="0"/>
          <c:dPt>
            <c:idx val="0"/>
            <c:bubble3D val="0"/>
            <c:spPr>
              <a:solidFill>
                <a:schemeClr val="accent1"/>
              </a:solidFill>
              <a:ln>
                <a:noFill/>
              </a:ln>
              <a:effectLst/>
            </c:spPr>
            <c:extLst>
              <c:ext xmlns:c16="http://schemas.microsoft.com/office/drawing/2014/chart" uri="{C3380CC4-5D6E-409C-BE32-E72D297353CC}">
                <c16:uniqueId val="{00000001-B880-47FE-B79A-D2E9544DBEFC}"/>
              </c:ext>
            </c:extLst>
          </c:dPt>
          <c:dPt>
            <c:idx val="1"/>
            <c:bubble3D val="0"/>
            <c:spPr>
              <a:solidFill>
                <a:schemeClr val="accent2"/>
              </a:solidFill>
              <a:ln>
                <a:noFill/>
              </a:ln>
              <a:effectLst/>
            </c:spPr>
            <c:extLst>
              <c:ext xmlns:c16="http://schemas.microsoft.com/office/drawing/2014/chart" uri="{C3380CC4-5D6E-409C-BE32-E72D297353CC}">
                <c16:uniqueId val="{00000003-B880-47FE-B79A-D2E9544DBEFC}"/>
              </c:ext>
            </c:extLst>
          </c:dPt>
          <c:dPt>
            <c:idx val="2"/>
            <c:bubble3D val="0"/>
            <c:spPr>
              <a:solidFill>
                <a:schemeClr val="accent3"/>
              </a:solidFill>
              <a:ln>
                <a:noFill/>
              </a:ln>
              <a:effectLst/>
            </c:spPr>
            <c:extLst>
              <c:ext xmlns:c16="http://schemas.microsoft.com/office/drawing/2014/chart" uri="{C3380CC4-5D6E-409C-BE32-E72D297353CC}">
                <c16:uniqueId val="{00000005-B880-47FE-B79A-D2E9544DBEFC}"/>
              </c:ext>
            </c:extLst>
          </c:dPt>
          <c:dPt>
            <c:idx val="3"/>
            <c:bubble3D val="0"/>
            <c:spPr>
              <a:solidFill>
                <a:schemeClr val="accent4"/>
              </a:solidFill>
              <a:ln>
                <a:noFill/>
              </a:ln>
              <a:effectLst/>
            </c:spPr>
            <c:extLst>
              <c:ext xmlns:c16="http://schemas.microsoft.com/office/drawing/2014/chart" uri="{C3380CC4-5D6E-409C-BE32-E72D297353CC}">
                <c16:uniqueId val="{00000007-B880-47FE-B79A-D2E9544DBEFC}"/>
              </c:ext>
            </c:extLst>
          </c:dPt>
          <c:dPt>
            <c:idx val="4"/>
            <c:bubble3D val="0"/>
            <c:spPr>
              <a:solidFill>
                <a:schemeClr val="accent5"/>
              </a:solidFill>
              <a:ln>
                <a:noFill/>
              </a:ln>
              <a:effectLst/>
            </c:spPr>
            <c:extLst>
              <c:ext xmlns:c16="http://schemas.microsoft.com/office/drawing/2014/chart" uri="{C3380CC4-5D6E-409C-BE32-E72D297353CC}">
                <c16:uniqueId val="{00000009-B880-47FE-B79A-D2E9544DBEFC}"/>
              </c:ext>
            </c:extLst>
          </c:dPt>
          <c:dPt>
            <c:idx val="5"/>
            <c:bubble3D val="0"/>
            <c:spPr>
              <a:solidFill>
                <a:schemeClr val="accent6"/>
              </a:solidFill>
              <a:ln>
                <a:noFill/>
              </a:ln>
              <a:effectLst/>
            </c:spPr>
            <c:extLst>
              <c:ext xmlns:c16="http://schemas.microsoft.com/office/drawing/2014/chart" uri="{C3380CC4-5D6E-409C-BE32-E72D297353CC}">
                <c16:uniqueId val="{0000000B-B880-47FE-B79A-D2E9544DBEFC}"/>
              </c:ext>
            </c:extLst>
          </c:dPt>
          <c:dPt>
            <c:idx val="6"/>
            <c:bubble3D val="0"/>
            <c:spPr>
              <a:solidFill>
                <a:schemeClr val="accent1">
                  <a:lumMod val="60000"/>
                </a:schemeClr>
              </a:solidFill>
              <a:ln>
                <a:noFill/>
              </a:ln>
              <a:effectLst/>
            </c:spPr>
            <c:extLst>
              <c:ext xmlns:c16="http://schemas.microsoft.com/office/drawing/2014/chart" uri="{C3380CC4-5D6E-409C-BE32-E72D297353CC}">
                <c16:uniqueId val="{0000000D-6922-4F75-94DC-8483D02889AE}"/>
              </c:ext>
            </c:extLst>
          </c:dPt>
          <c:dLbls>
            <c:dLbl>
              <c:idx val="0"/>
              <c:layout>
                <c:manualLayout>
                  <c:x val="-0.16509817735654922"/>
                  <c:y val="0.21211663740829048"/>
                </c:manualLayout>
              </c:layout>
              <c:spPr>
                <a:noFill/>
                <a:ln>
                  <a:noFill/>
                </a:ln>
                <a:effectLst/>
              </c:spPr>
              <c:txPr>
                <a:bodyPr rot="0" spcFirstLastPara="1" vertOverflow="ellipsis" vert="horz" wrap="square" anchor="ctr" anchorCtr="1"/>
                <a:lstStyle/>
                <a:p>
                  <a:pPr>
                    <a:defRPr sz="900" b="0" i="0" u="none" strike="noStrike" kern="1200" baseline="0">
                      <a:solidFill>
                        <a:schemeClr val="bg1"/>
                      </a:solidFill>
                      <a:latin typeface="+mj-lt"/>
                      <a:ea typeface="+mn-ea"/>
                      <a:cs typeface="+mn-cs"/>
                    </a:defRPr>
                  </a:pPr>
                  <a:endParaRPr lang="en-US"/>
                </a:p>
              </c:txPr>
              <c:dLblPos val="bestFit"/>
              <c:showLegendKey val="0"/>
              <c:showVal val="0"/>
              <c:showCatName val="1"/>
              <c:showSerName val="0"/>
              <c:showPercent val="1"/>
              <c:showBubbleSize val="0"/>
              <c:extLst>
                <c:ext xmlns:c15="http://schemas.microsoft.com/office/drawing/2012/chart" uri="{CE6537A1-D6FC-4f65-9D91-7224C49458BB}">
                  <c15:layout>
                    <c:manualLayout>
                      <c:w val="0.28138967201247161"/>
                      <c:h val="0.24182638343840457"/>
                    </c:manualLayout>
                  </c15:layout>
                </c:ext>
                <c:ext xmlns:c16="http://schemas.microsoft.com/office/drawing/2014/chart" uri="{C3380CC4-5D6E-409C-BE32-E72D297353CC}">
                  <c16:uniqueId val="{00000001-B880-47FE-B79A-D2E9544DBEFC}"/>
                </c:ext>
              </c:extLst>
            </c:dLbl>
            <c:dLbl>
              <c:idx val="1"/>
              <c:layout>
                <c:manualLayout>
                  <c:x val="-6.4583184106406316E-2"/>
                  <c:y val="-8.5573076893330255E-2"/>
                </c:manualLayout>
              </c:layout>
              <c:tx>
                <c:rich>
                  <a:bodyPr/>
                  <a:lstStyle/>
                  <a:p>
                    <a:fld id="{CD6595D3-2038-4D29-BAE2-DB7EF1B804FF}" type="CATEGORYNAME">
                      <a:rPr lang="en-US">
                        <a:solidFill>
                          <a:schemeClr val="bg1"/>
                        </a:solidFill>
                      </a:rPr>
                      <a:pPr/>
                      <a:t>[CATEGORY NAME]</a:t>
                    </a:fld>
                    <a:r>
                      <a:rPr lang="en-US" baseline="0">
                        <a:solidFill>
                          <a:schemeClr val="bg1"/>
                        </a:solidFill>
                      </a:rPr>
                      <a:t>
</a:t>
                    </a:r>
                    <a:fld id="{EA9C1BA2-C59E-4A96-8459-2D87A595EC1D}" type="PERCENTAGE">
                      <a:rPr lang="en-US" baseline="0">
                        <a:solidFill>
                          <a:schemeClr val="bg1"/>
                        </a:solidFill>
                      </a:rPr>
                      <a:pPr/>
                      <a:t>[PERCENTAGE]</a:t>
                    </a:fld>
                    <a:endParaRPr lang="en-US" baseline="0">
                      <a:solidFill>
                        <a:schemeClr val="bg1"/>
                      </a:solidFill>
                    </a:endParaRPr>
                  </a:p>
                </c:rich>
              </c:tx>
              <c:dLblPos val="bestFit"/>
              <c:showLegendKey val="0"/>
              <c:showVal val="0"/>
              <c:showCatName val="1"/>
              <c:showSerName val="0"/>
              <c:showPercent val="1"/>
              <c:showBubbleSize val="0"/>
              <c:extLst>
                <c:ext xmlns:c15="http://schemas.microsoft.com/office/drawing/2012/chart" uri="{CE6537A1-D6FC-4f65-9D91-7224C49458BB}">
                  <c15:layout>
                    <c:manualLayout>
                      <c:w val="0.30977228144449209"/>
                      <c:h val="0.30125000000000002"/>
                    </c:manualLayout>
                  </c15:layout>
                  <c15:dlblFieldTable/>
                  <c15:showDataLabelsRange val="0"/>
                </c:ext>
                <c:ext xmlns:c16="http://schemas.microsoft.com/office/drawing/2014/chart" uri="{C3380CC4-5D6E-409C-BE32-E72D297353CC}">
                  <c16:uniqueId val="{00000003-B880-47FE-B79A-D2E9544DBEFC}"/>
                </c:ext>
              </c:extLst>
            </c:dLbl>
            <c:dLbl>
              <c:idx val="2"/>
              <c:layout>
                <c:manualLayout>
                  <c:x val="8.513529105181282E-2"/>
                  <c:y val="1.5124862117319639E-2"/>
                </c:manualLayout>
              </c:layout>
              <c:tx>
                <c:rich>
                  <a:bodyPr/>
                  <a:lstStyle/>
                  <a:p>
                    <a:fld id="{B4F358D3-0444-48F3-B52E-65E2CCB01F04}" type="CATEGORYNAME">
                      <a:rPr lang="en-US">
                        <a:solidFill>
                          <a:schemeClr val="bg1"/>
                        </a:solidFill>
                      </a:rPr>
                      <a:pPr/>
                      <a:t>[CATEGORY NAME]</a:t>
                    </a:fld>
                    <a:r>
                      <a:rPr lang="en-US" baseline="0">
                        <a:solidFill>
                          <a:schemeClr val="bg1"/>
                        </a:solidFill>
                      </a:rPr>
                      <a:t>
</a:t>
                    </a:r>
                    <a:fld id="{F4CD7795-9ED8-4B36-89E2-F14F0BEB46CF}" type="PERCENTAGE">
                      <a:rPr lang="en-US" baseline="0">
                        <a:solidFill>
                          <a:schemeClr val="bg1"/>
                        </a:solidFill>
                      </a:rPr>
                      <a:pPr/>
                      <a:t>[PERCENTAGE]</a:t>
                    </a:fld>
                    <a:endParaRPr lang="en-US" baseline="0">
                      <a:solidFill>
                        <a:schemeClr val="bg1"/>
                      </a:solidFill>
                    </a:endParaRPr>
                  </a:p>
                </c:rich>
              </c:tx>
              <c:dLblPos val="bestFit"/>
              <c:showLegendKey val="0"/>
              <c:showVal val="0"/>
              <c:showCatName val="1"/>
              <c:showSerName val="0"/>
              <c:showPercent val="1"/>
              <c:showBubbleSize val="0"/>
              <c:extLst>
                <c:ext xmlns:c15="http://schemas.microsoft.com/office/drawing/2012/chart" uri="{CE6537A1-D6FC-4f65-9D91-7224C49458BB}">
                  <c15:layout>
                    <c:manualLayout>
                      <c:w val="0.32827165029354627"/>
                      <c:h val="0.22625136086285033"/>
                    </c:manualLayout>
                  </c15:layout>
                  <c15:dlblFieldTable/>
                  <c15:showDataLabelsRange val="0"/>
                </c:ext>
                <c:ext xmlns:c16="http://schemas.microsoft.com/office/drawing/2014/chart" uri="{C3380CC4-5D6E-409C-BE32-E72D297353CC}">
                  <c16:uniqueId val="{00000005-B880-47FE-B79A-D2E9544DBEFC}"/>
                </c:ext>
              </c:extLst>
            </c:dLbl>
            <c:dLbl>
              <c:idx val="3"/>
              <c:layout>
                <c:manualLayout>
                  <c:x val="0.15838931949079649"/>
                  <c:y val="0.13149135096055115"/>
                </c:manualLayout>
              </c:layout>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7-B880-47FE-B79A-D2E9544DBEFC}"/>
                </c:ext>
              </c:extLst>
            </c:dLbl>
            <c:dLbl>
              <c:idx val="4"/>
              <c:layout>
                <c:manualLayout>
                  <c:x val="9.1827718107698242E-2"/>
                  <c:y val="0.14146292404767732"/>
                </c:manualLayout>
              </c:layout>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9-B880-47FE-B79A-D2E9544DBEFC}"/>
                </c:ext>
              </c:extLst>
            </c:dLbl>
            <c:dLbl>
              <c:idx val="5"/>
              <c:layout>
                <c:manualLayout>
                  <c:x val="-0.11521292555609869"/>
                  <c:y val="3.5247654371262417E-7"/>
                </c:manualLayout>
              </c:layout>
              <c:dLblPos val="bestFit"/>
              <c:showLegendKey val="0"/>
              <c:showVal val="0"/>
              <c:showCatName val="1"/>
              <c:showSerName val="0"/>
              <c:showPercent val="1"/>
              <c:showBubbleSize val="0"/>
              <c:extLst>
                <c:ext xmlns:c15="http://schemas.microsoft.com/office/drawing/2012/chart" uri="{CE6537A1-D6FC-4f65-9D91-7224C49458BB}">
                  <c15:layout>
                    <c:manualLayout>
                      <c:w val="0.22231151886966358"/>
                      <c:h val="0.14263636695511378"/>
                    </c:manualLayout>
                  </c15:layout>
                </c:ext>
                <c:ext xmlns:c16="http://schemas.microsoft.com/office/drawing/2014/chart" uri="{C3380CC4-5D6E-409C-BE32-E72D297353CC}">
                  <c16:uniqueId val="{0000000B-B880-47FE-B79A-D2E9544DBEFC}"/>
                </c:ext>
              </c:extLst>
            </c:dLbl>
            <c:dLbl>
              <c:idx val="6"/>
              <c:layout>
                <c:manualLayout>
                  <c:x val="0.25144575419176252"/>
                  <c:y val="5.2697598784678945E-8"/>
                </c:manualLayout>
              </c:layout>
              <c:dLblPos val="bestFit"/>
              <c:showLegendKey val="0"/>
              <c:showVal val="0"/>
              <c:showCatName val="1"/>
              <c:showSerName val="0"/>
              <c:showPercent val="1"/>
              <c:showBubbleSize val="0"/>
              <c:extLst>
                <c:ext xmlns:c15="http://schemas.microsoft.com/office/drawing/2012/chart" uri="{CE6537A1-D6FC-4f65-9D91-7224C49458BB}">
                  <c15:layout>
                    <c:manualLayout>
                      <c:w val="0.38697780599051629"/>
                      <c:h val="0.14476521423568034"/>
                    </c:manualLayout>
                  </c15:layout>
                </c:ext>
                <c:ext xmlns:c16="http://schemas.microsoft.com/office/drawing/2014/chart" uri="{C3380CC4-5D6E-409C-BE32-E72D297353CC}">
                  <c16:uniqueId val="{0000000D-6922-4F75-94DC-8483D02889AE}"/>
                </c:ext>
              </c:extLst>
            </c:dLbl>
            <c:spPr>
              <a:noFill/>
              <a:ln>
                <a:noFill/>
              </a:ln>
              <a:effectLst/>
            </c:spPr>
            <c:txPr>
              <a:bodyPr rot="0" spcFirstLastPara="1" vertOverflow="ellipsis" vert="horz" wrap="square" anchor="ctr" anchorCtr="1"/>
              <a:lstStyle/>
              <a:p>
                <a:pPr>
                  <a:defRPr sz="900" b="0" i="0" u="none" strike="noStrike" kern="1200" baseline="0">
                    <a:solidFill>
                      <a:schemeClr val="tx1">
                        <a:lumMod val="75000"/>
                        <a:lumOff val="25000"/>
                      </a:schemeClr>
                    </a:solidFill>
                    <a:latin typeface="+mj-lt"/>
                    <a:ea typeface="+mn-ea"/>
                    <a:cs typeface="+mn-cs"/>
                  </a:defRPr>
                </a:pPr>
                <a:endParaRPr lang="en-US"/>
              </a:p>
            </c:txPr>
            <c:dLblPos val="bestFit"/>
            <c:showLegendKey val="0"/>
            <c:showVal val="0"/>
            <c:showCatName val="1"/>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'ODS Subs'!$S$181:$S$187</c:f>
              <c:strCache>
                <c:ptCount val="7"/>
                <c:pt idx="0">
                  <c:v>Other Air-Conditioning</c:v>
                </c:pt>
                <c:pt idx="1">
                  <c:v>Refrigeration</c:v>
                </c:pt>
                <c:pt idx="2">
                  <c:v>Mobile Air-Conditioning</c:v>
                </c:pt>
                <c:pt idx="3">
                  <c:v>Aerosols</c:v>
                </c:pt>
                <c:pt idx="4">
                  <c:v>Foams</c:v>
                </c:pt>
                <c:pt idx="5">
                  <c:v>Solvents</c:v>
                </c:pt>
                <c:pt idx="6">
                  <c:v>Fire Extinguishing</c:v>
                </c:pt>
              </c:strCache>
            </c:strRef>
          </c:cat>
          <c:val>
            <c:numRef>
              <c:f>'ODS Subs'!$T$181:$T$187</c:f>
              <c:numCache>
                <c:formatCode>#,##0.00</c:formatCode>
                <c:ptCount val="7"/>
                <c:pt idx="0">
                  <c:v>0.25498665709256013</c:v>
                </c:pt>
                <c:pt idx="1">
                  <c:v>0.33459784635562645</c:v>
                </c:pt>
                <c:pt idx="2">
                  <c:v>9.2028833460543177E-2</c:v>
                </c:pt>
                <c:pt idx="3">
                  <c:v>8.1665172283847065E-2</c:v>
                </c:pt>
                <c:pt idx="4">
                  <c:v>5.6020640692348578E-2</c:v>
                </c:pt>
                <c:pt idx="5">
                  <c:v>1.021442173327221E-2</c:v>
                </c:pt>
                <c:pt idx="6">
                  <c:v>1.2664265757609728E-2</c:v>
                </c:pt>
              </c:numCache>
            </c:numRef>
          </c:val>
          <c:extLst>
            <c:ext xmlns:c16="http://schemas.microsoft.com/office/drawing/2014/chart" uri="{C3380CC4-5D6E-409C-BE32-E72D297353CC}">
              <c16:uniqueId val="{0000000C-B880-47FE-B79A-D2E9544DBEFC}"/>
            </c:ext>
          </c:extLst>
        </c:ser>
        <c:dLbls>
          <c:dLblPos val="bestFit"/>
          <c:showLegendKey val="0"/>
          <c:showVal val="1"/>
          <c:showCatName val="0"/>
          <c:showSerName val="0"/>
          <c:showPercent val="0"/>
          <c:showBubbleSize val="0"/>
          <c:showLeaderLines val="1"/>
        </c:dLbls>
        <c:firstSliceAng val="0"/>
      </c:pieChart>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sz="1000">
          <a:latin typeface="Calibri" panose="020F0502020204030204" pitchFamily="34" charset="0"/>
        </a:defRPr>
      </a:pPr>
      <a:endParaRPr lang="en-US"/>
    </a:p>
  </c:txPr>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b="0" i="0" u="none" strike="noStrike">
                <a:solidFill>
                  <a:srgbClr val="000000"/>
                </a:solidFill>
                <a:latin typeface="Tahoma"/>
                <a:ea typeface="Tahoma"/>
                <a:cs typeface="Tahoma"/>
              </a:defRPr>
            </a:pPr>
            <a:r>
              <a:rPr lang="en-US"/>
              <a:t>HFCs/PFCs Emissions from Substitution of Ozone Depleting Substances</a:t>
            </a:r>
          </a:p>
        </c:rich>
      </c:tx>
      <c:overlay val="0"/>
    </c:title>
    <c:autoTitleDeleted val="0"/>
    <c:plotArea>
      <c:layout>
        <c:manualLayout>
          <c:xMode val="edge"/>
          <c:yMode val="edge"/>
          <c:x val="2.0151133501259445E-2"/>
          <c:y val="0.28971962616822428"/>
          <c:w val="0.76406381192275397"/>
          <c:h val="0.61266874450018105"/>
        </c:manualLayout>
      </c:layout>
      <c:scatterChart>
        <c:scatterStyle val="smoothMarker"/>
        <c:varyColors val="0"/>
        <c:ser>
          <c:idx val="0"/>
          <c:order val="0"/>
          <c:tx>
            <c:v>ODSSubs2016</c:v>
          </c:tx>
          <c:spPr>
            <a:ln w="38100" cap="rnd" cmpd="sng" algn="ctr">
              <a:solidFill>
                <a:srgbClr val="DC143C">
                  <a:alpha val="88000"/>
                </a:srgbClr>
              </a:solidFill>
              <a:prstDash val="solid"/>
              <a:round/>
              <a:headEnd type="none" w="med" len="med"/>
              <a:tailEnd type="none" w="med" len="med"/>
            </a:ln>
          </c:spPr>
          <c:marker>
            <c:symbol val="none"/>
          </c:marker>
          <c:xVal>
            <c:numLit>
              <c:formatCode>General</c:formatCode>
              <c:ptCount val="759"/>
              <c:pt idx="0">
                <c:v>0.7396215447693284</c:v>
              </c:pt>
              <c:pt idx="1">
                <c:v>0.7396215447693284</c:v>
              </c:pt>
              <c:pt idx="2">
                <c:v>0.7396215447693284</c:v>
              </c:pt>
              <c:pt idx="3">
                <c:v>0.74003909115937738</c:v>
              </c:pt>
              <c:pt idx="4">
                <c:v>0.74003909115937738</c:v>
              </c:pt>
              <c:pt idx="5">
                <c:v>0.74045663754942637</c:v>
              </c:pt>
              <c:pt idx="6">
                <c:v>0.74045663754942637</c:v>
              </c:pt>
              <c:pt idx="7">
                <c:v>0.74087418393947546</c:v>
              </c:pt>
              <c:pt idx="8">
                <c:v>0.74087418393947546</c:v>
              </c:pt>
              <c:pt idx="9">
                <c:v>0.74129173032952445</c:v>
              </c:pt>
              <c:pt idx="10">
                <c:v>0.74129173032952445</c:v>
              </c:pt>
              <c:pt idx="11">
                <c:v>0.74170927671957343</c:v>
              </c:pt>
              <c:pt idx="12">
                <c:v>0.74170927671957343</c:v>
              </c:pt>
              <c:pt idx="13">
                <c:v>0.74212682310962241</c:v>
              </c:pt>
              <c:pt idx="14">
                <c:v>0.74212682310962241</c:v>
              </c:pt>
              <c:pt idx="15">
                <c:v>0.74223120970713463</c:v>
              </c:pt>
              <c:pt idx="16">
                <c:v>0.74223120970713463</c:v>
              </c:pt>
              <c:pt idx="19">
                <c:v>0.74223120970713463</c:v>
              </c:pt>
              <c:pt idx="20">
                <c:v>0.74223120970713463</c:v>
              </c:pt>
              <c:pt idx="21">
                <c:v>0.74223120970713463</c:v>
              </c:pt>
              <c:pt idx="22">
                <c:v>0.74264875609718362</c:v>
              </c:pt>
              <c:pt idx="23">
                <c:v>0.74264875609718362</c:v>
              </c:pt>
              <c:pt idx="24">
                <c:v>0.7430663024872326</c:v>
              </c:pt>
              <c:pt idx="25">
                <c:v>0.7430663024872326</c:v>
              </c:pt>
              <c:pt idx="26">
                <c:v>0.74348384887728169</c:v>
              </c:pt>
              <c:pt idx="27">
                <c:v>0.74348384887728169</c:v>
              </c:pt>
              <c:pt idx="28">
                <c:v>0.74390139526733068</c:v>
              </c:pt>
              <c:pt idx="29">
                <c:v>0.74390139526733068</c:v>
              </c:pt>
              <c:pt idx="30">
                <c:v>0.74431894165737966</c:v>
              </c:pt>
              <c:pt idx="31">
                <c:v>0.74431894165737966</c:v>
              </c:pt>
              <c:pt idx="32">
                <c:v>0.74473648804742865</c:v>
              </c:pt>
              <c:pt idx="33">
                <c:v>0.74473648804742865</c:v>
              </c:pt>
              <c:pt idx="34">
                <c:v>0.74484087464494098</c:v>
              </c:pt>
              <c:pt idx="35">
                <c:v>0.74484087464494098</c:v>
              </c:pt>
              <c:pt idx="38">
                <c:v>0.74484087464494098</c:v>
              </c:pt>
              <c:pt idx="39">
                <c:v>0.74484087464494098</c:v>
              </c:pt>
              <c:pt idx="40">
                <c:v>0.74484087464494098</c:v>
              </c:pt>
              <c:pt idx="41">
                <c:v>0.74525842103498996</c:v>
              </c:pt>
              <c:pt idx="42">
                <c:v>0.74525842103498996</c:v>
              </c:pt>
              <c:pt idx="43">
                <c:v>0.74567596742503894</c:v>
              </c:pt>
              <c:pt idx="44">
                <c:v>0.74567596742503894</c:v>
              </c:pt>
              <c:pt idx="45">
                <c:v>0.74609351381508804</c:v>
              </c:pt>
              <c:pt idx="46">
                <c:v>0.74609351381508804</c:v>
              </c:pt>
              <c:pt idx="47">
                <c:v>0.74651106020513702</c:v>
              </c:pt>
              <c:pt idx="48">
                <c:v>0.74651106020513702</c:v>
              </c:pt>
              <c:pt idx="49">
                <c:v>0.74692860659518601</c:v>
              </c:pt>
              <c:pt idx="50">
                <c:v>0.74692860659518601</c:v>
              </c:pt>
              <c:pt idx="51">
                <c:v>0.74734615298523499</c:v>
              </c:pt>
              <c:pt idx="52">
                <c:v>0.74734615298523499</c:v>
              </c:pt>
              <c:pt idx="53">
                <c:v>0.74745053958274721</c:v>
              </c:pt>
              <c:pt idx="54">
                <c:v>0.74745053958274721</c:v>
              </c:pt>
              <c:pt idx="57">
                <c:v>0.74745053958274721</c:v>
              </c:pt>
              <c:pt idx="58">
                <c:v>0.74745053958274721</c:v>
              </c:pt>
              <c:pt idx="59">
                <c:v>0.74745053958274721</c:v>
              </c:pt>
              <c:pt idx="60">
                <c:v>0.74786808597279619</c:v>
              </c:pt>
              <c:pt idx="61">
                <c:v>0.74786808597279619</c:v>
              </c:pt>
              <c:pt idx="62">
                <c:v>0.74828563236284518</c:v>
              </c:pt>
              <c:pt idx="63">
                <c:v>0.74828563236284518</c:v>
              </c:pt>
              <c:pt idx="64">
                <c:v>0.74870317875289427</c:v>
              </c:pt>
              <c:pt idx="65">
                <c:v>0.74870317875289427</c:v>
              </c:pt>
              <c:pt idx="66">
                <c:v>0.74912072514294326</c:v>
              </c:pt>
              <c:pt idx="67">
                <c:v>0.74912072514294326</c:v>
              </c:pt>
              <c:pt idx="68">
                <c:v>0.74953827153299224</c:v>
              </c:pt>
              <c:pt idx="69">
                <c:v>0.74953827153299224</c:v>
              </c:pt>
              <c:pt idx="70">
                <c:v>0.74995581792304122</c:v>
              </c:pt>
              <c:pt idx="71">
                <c:v>0.74995581792304122</c:v>
              </c:pt>
              <c:pt idx="72">
                <c:v>0.75006020452055344</c:v>
              </c:pt>
              <c:pt idx="73">
                <c:v>0.75006020452055344</c:v>
              </c:pt>
              <c:pt idx="76">
                <c:v>0.75006020452055344</c:v>
              </c:pt>
              <c:pt idx="77">
                <c:v>0.75006020452055344</c:v>
              </c:pt>
              <c:pt idx="78">
                <c:v>0.75006020452055344</c:v>
              </c:pt>
              <c:pt idx="79">
                <c:v>0.75047775091060243</c:v>
              </c:pt>
              <c:pt idx="80">
                <c:v>0.75047775091060243</c:v>
              </c:pt>
              <c:pt idx="81">
                <c:v>0.75089529730065141</c:v>
              </c:pt>
              <c:pt idx="82">
                <c:v>0.75089529730065141</c:v>
              </c:pt>
              <c:pt idx="83">
                <c:v>0.7513128436907005</c:v>
              </c:pt>
              <c:pt idx="84">
                <c:v>0.7513128436907005</c:v>
              </c:pt>
              <c:pt idx="85">
                <c:v>0.75173039008074949</c:v>
              </c:pt>
              <c:pt idx="86">
                <c:v>0.75173039008074949</c:v>
              </c:pt>
              <c:pt idx="87">
                <c:v>0.75214793647079847</c:v>
              </c:pt>
              <c:pt idx="88">
                <c:v>0.75214793647079847</c:v>
              </c:pt>
              <c:pt idx="89">
                <c:v>0.75256548286084746</c:v>
              </c:pt>
              <c:pt idx="90">
                <c:v>0.75256548286084746</c:v>
              </c:pt>
              <c:pt idx="91">
                <c:v>0.75266986945835979</c:v>
              </c:pt>
              <c:pt idx="92">
                <c:v>0.75266986945835979</c:v>
              </c:pt>
              <c:pt idx="95">
                <c:v>0.75266986945835979</c:v>
              </c:pt>
              <c:pt idx="96">
                <c:v>0.75266986945835979</c:v>
              </c:pt>
              <c:pt idx="97">
                <c:v>0.75266986945835979</c:v>
              </c:pt>
              <c:pt idx="98">
                <c:v>0.75308741584840877</c:v>
              </c:pt>
              <c:pt idx="99">
                <c:v>0.75308741584840877</c:v>
              </c:pt>
              <c:pt idx="100">
                <c:v>0.75350496223845775</c:v>
              </c:pt>
              <c:pt idx="101">
                <c:v>0.75350496223845775</c:v>
              </c:pt>
              <c:pt idx="102">
                <c:v>0.75392250862850685</c:v>
              </c:pt>
              <c:pt idx="103">
                <c:v>0.75392250862850685</c:v>
              </c:pt>
              <c:pt idx="104">
                <c:v>0.75434005501855583</c:v>
              </c:pt>
              <c:pt idx="105">
                <c:v>0.75434005501855583</c:v>
              </c:pt>
              <c:pt idx="106">
                <c:v>0.75475760140860482</c:v>
              </c:pt>
              <c:pt idx="107">
                <c:v>0.75475760140860482</c:v>
              </c:pt>
              <c:pt idx="108">
                <c:v>0.7551751477986538</c:v>
              </c:pt>
              <c:pt idx="109">
                <c:v>0.7551751477986538</c:v>
              </c:pt>
              <c:pt idx="110">
                <c:v>0.75527953439616602</c:v>
              </c:pt>
              <c:pt idx="111">
                <c:v>0.75527953439616602</c:v>
              </c:pt>
              <c:pt idx="114">
                <c:v>0.75527953439616602</c:v>
              </c:pt>
              <c:pt idx="115">
                <c:v>0.75527953439616602</c:v>
              </c:pt>
              <c:pt idx="116">
                <c:v>0.75527953439616602</c:v>
              </c:pt>
              <c:pt idx="117">
                <c:v>0.755697080786215</c:v>
              </c:pt>
              <c:pt idx="118">
                <c:v>0.755697080786215</c:v>
              </c:pt>
              <c:pt idx="119">
                <c:v>0.75611462717626399</c:v>
              </c:pt>
              <c:pt idx="120">
                <c:v>0.75611462717626399</c:v>
              </c:pt>
              <c:pt idx="121">
                <c:v>0.75653217356631308</c:v>
              </c:pt>
              <c:pt idx="122">
                <c:v>0.75653217356631308</c:v>
              </c:pt>
              <c:pt idx="123">
                <c:v>0.75694971995636207</c:v>
              </c:pt>
              <c:pt idx="124">
                <c:v>0.75694971995636207</c:v>
              </c:pt>
              <c:pt idx="125">
                <c:v>0.75736726634641105</c:v>
              </c:pt>
              <c:pt idx="126">
                <c:v>0.75736726634641105</c:v>
              </c:pt>
              <c:pt idx="127">
                <c:v>0.75778481273646003</c:v>
              </c:pt>
              <c:pt idx="128">
                <c:v>0.75778481273646003</c:v>
              </c:pt>
              <c:pt idx="129">
                <c:v>0.75788919933397225</c:v>
              </c:pt>
              <c:pt idx="130">
                <c:v>0.75788919933397225</c:v>
              </c:pt>
              <c:pt idx="133">
                <c:v>0.75788919933397225</c:v>
              </c:pt>
              <c:pt idx="134">
                <c:v>0.75788919933397225</c:v>
              </c:pt>
              <c:pt idx="135">
                <c:v>0.75788919933397225</c:v>
              </c:pt>
              <c:pt idx="136">
                <c:v>0.75830674572402124</c:v>
              </c:pt>
              <c:pt idx="137">
                <c:v>0.75830674572402124</c:v>
              </c:pt>
              <c:pt idx="138">
                <c:v>0.75872429211407022</c:v>
              </c:pt>
              <c:pt idx="139">
                <c:v>0.75872429211407022</c:v>
              </c:pt>
              <c:pt idx="140">
                <c:v>0.75914183850411932</c:v>
              </c:pt>
              <c:pt idx="141">
                <c:v>0.75914183850411932</c:v>
              </c:pt>
              <c:pt idx="142">
                <c:v>0.7595593848941683</c:v>
              </c:pt>
              <c:pt idx="143">
                <c:v>0.7595593848941683</c:v>
              </c:pt>
              <c:pt idx="144">
                <c:v>0.75997693128421728</c:v>
              </c:pt>
              <c:pt idx="145">
                <c:v>0.75997693128421728</c:v>
              </c:pt>
              <c:pt idx="146">
                <c:v>0.76039447767426627</c:v>
              </c:pt>
              <c:pt idx="147">
                <c:v>0.76039447767426627</c:v>
              </c:pt>
              <c:pt idx="148">
                <c:v>0.7604988642717786</c:v>
              </c:pt>
              <c:pt idx="149">
                <c:v>0.7604988642717786</c:v>
              </c:pt>
              <c:pt idx="152">
                <c:v>0.7604988642717786</c:v>
              </c:pt>
              <c:pt idx="153">
                <c:v>0.7604988642717786</c:v>
              </c:pt>
              <c:pt idx="154">
                <c:v>0.7604988642717786</c:v>
              </c:pt>
              <c:pt idx="155">
                <c:v>0.76091641066182758</c:v>
              </c:pt>
              <c:pt idx="156">
                <c:v>0.76091641066182758</c:v>
              </c:pt>
              <c:pt idx="157">
                <c:v>0.76133395705187656</c:v>
              </c:pt>
              <c:pt idx="158">
                <c:v>0.76133395705187656</c:v>
              </c:pt>
              <c:pt idx="159">
                <c:v>0.76175150344192566</c:v>
              </c:pt>
              <c:pt idx="160">
                <c:v>0.76175150344192566</c:v>
              </c:pt>
              <c:pt idx="161">
                <c:v>0.76216904983197464</c:v>
              </c:pt>
              <c:pt idx="162">
                <c:v>0.76216904983197464</c:v>
              </c:pt>
              <c:pt idx="163">
                <c:v>0.76258659622202363</c:v>
              </c:pt>
              <c:pt idx="164">
                <c:v>0.76258659622202363</c:v>
              </c:pt>
              <c:pt idx="165">
                <c:v>0.76300414261207261</c:v>
              </c:pt>
              <c:pt idx="166">
                <c:v>0.76300414261207261</c:v>
              </c:pt>
              <c:pt idx="167">
                <c:v>0.76310852920958483</c:v>
              </c:pt>
              <c:pt idx="168">
                <c:v>0.76310852920958483</c:v>
              </c:pt>
              <c:pt idx="171">
                <c:v>0.76310852920958483</c:v>
              </c:pt>
              <c:pt idx="172">
                <c:v>0.76310852920958483</c:v>
              </c:pt>
              <c:pt idx="173">
                <c:v>0.76310852920958483</c:v>
              </c:pt>
              <c:pt idx="174">
                <c:v>0.76352607559963381</c:v>
              </c:pt>
              <c:pt idx="175">
                <c:v>0.76352607559963381</c:v>
              </c:pt>
              <c:pt idx="176">
                <c:v>0.7639436219896828</c:v>
              </c:pt>
              <c:pt idx="177">
                <c:v>0.7639436219896828</c:v>
              </c:pt>
              <c:pt idx="178">
                <c:v>0.76436116837973189</c:v>
              </c:pt>
              <c:pt idx="179">
                <c:v>0.76436116837973189</c:v>
              </c:pt>
              <c:pt idx="180">
                <c:v>0.76477871476978088</c:v>
              </c:pt>
              <c:pt idx="181">
                <c:v>0.76477871476978088</c:v>
              </c:pt>
              <c:pt idx="182">
                <c:v>0.76519626115982986</c:v>
              </c:pt>
              <c:pt idx="183">
                <c:v>0.76519626115982986</c:v>
              </c:pt>
              <c:pt idx="184">
                <c:v>0.76561380754987884</c:v>
              </c:pt>
              <c:pt idx="185">
                <c:v>0.76561380754987884</c:v>
              </c:pt>
              <c:pt idx="186">
                <c:v>0.76571819414739106</c:v>
              </c:pt>
              <c:pt idx="187">
                <c:v>0.76571819414739106</c:v>
              </c:pt>
              <c:pt idx="190">
                <c:v>0.76571819414739106</c:v>
              </c:pt>
              <c:pt idx="191">
                <c:v>0.76571819414739106</c:v>
              </c:pt>
              <c:pt idx="192">
                <c:v>0.76571819414739106</c:v>
              </c:pt>
              <c:pt idx="193">
                <c:v>0.76613574053744005</c:v>
              </c:pt>
              <c:pt idx="194">
                <c:v>0.76613574053744005</c:v>
              </c:pt>
              <c:pt idx="195">
                <c:v>0.76655328692748903</c:v>
              </c:pt>
              <c:pt idx="196">
                <c:v>0.76655328692748903</c:v>
              </c:pt>
              <c:pt idx="197">
                <c:v>0.76697083331753813</c:v>
              </c:pt>
              <c:pt idx="198">
                <c:v>0.76697083331753813</c:v>
              </c:pt>
              <c:pt idx="199">
                <c:v>0.76738837970758711</c:v>
              </c:pt>
              <c:pt idx="200">
                <c:v>0.76738837970758711</c:v>
              </c:pt>
              <c:pt idx="201">
                <c:v>0.76780592609763609</c:v>
              </c:pt>
              <c:pt idx="202">
                <c:v>0.76780592609763609</c:v>
              </c:pt>
              <c:pt idx="203">
                <c:v>0.76822347248768508</c:v>
              </c:pt>
              <c:pt idx="204">
                <c:v>0.76822347248768508</c:v>
              </c:pt>
              <c:pt idx="205">
                <c:v>0.76832785908519741</c:v>
              </c:pt>
              <c:pt idx="206">
                <c:v>0.76832785908519741</c:v>
              </c:pt>
              <c:pt idx="209">
                <c:v>0.76832785908519741</c:v>
              </c:pt>
              <c:pt idx="210">
                <c:v>0.76832785908519741</c:v>
              </c:pt>
              <c:pt idx="211">
                <c:v>0.76832785908519741</c:v>
              </c:pt>
              <c:pt idx="212">
                <c:v>0.76874540547524639</c:v>
              </c:pt>
              <c:pt idx="213">
                <c:v>0.76874540547524639</c:v>
              </c:pt>
              <c:pt idx="214">
                <c:v>0.76916295186529537</c:v>
              </c:pt>
              <c:pt idx="215">
                <c:v>0.76916295186529537</c:v>
              </c:pt>
              <c:pt idx="216">
                <c:v>0.76958049825534447</c:v>
              </c:pt>
              <c:pt idx="217">
                <c:v>0.76958049825534447</c:v>
              </c:pt>
              <c:pt idx="218">
                <c:v>0.76999804464539345</c:v>
              </c:pt>
              <c:pt idx="219">
                <c:v>0.76999804464539345</c:v>
              </c:pt>
              <c:pt idx="220">
                <c:v>0.77041559103544244</c:v>
              </c:pt>
              <c:pt idx="221">
                <c:v>0.77041559103544244</c:v>
              </c:pt>
              <c:pt idx="222">
                <c:v>0.77083313742549142</c:v>
              </c:pt>
              <c:pt idx="223">
                <c:v>0.77083313742549142</c:v>
              </c:pt>
              <c:pt idx="224">
                <c:v>0.77093752402300364</c:v>
              </c:pt>
              <c:pt idx="225">
                <c:v>0.77093752402300364</c:v>
              </c:pt>
              <c:pt idx="228">
                <c:v>0.77093752402300364</c:v>
              </c:pt>
              <c:pt idx="229">
                <c:v>0.77093752402300364</c:v>
              </c:pt>
              <c:pt idx="230">
                <c:v>0.77093752402300364</c:v>
              </c:pt>
              <c:pt idx="231">
                <c:v>0.77135507041305262</c:v>
              </c:pt>
              <c:pt idx="232">
                <c:v>0.77135507041305262</c:v>
              </c:pt>
              <c:pt idx="233">
                <c:v>0.77177261680310161</c:v>
              </c:pt>
              <c:pt idx="234">
                <c:v>0.77177261680310161</c:v>
              </c:pt>
              <c:pt idx="235">
                <c:v>0.7721901631931507</c:v>
              </c:pt>
              <c:pt idx="236">
                <c:v>0.7721901631931507</c:v>
              </c:pt>
              <c:pt idx="237">
                <c:v>0.77260770958319969</c:v>
              </c:pt>
              <c:pt idx="238">
                <c:v>0.77260770958319969</c:v>
              </c:pt>
              <c:pt idx="239">
                <c:v>0.77302525597324867</c:v>
              </c:pt>
              <c:pt idx="240">
                <c:v>0.77302525597324867</c:v>
              </c:pt>
              <c:pt idx="241">
                <c:v>0.77344280236329765</c:v>
              </c:pt>
              <c:pt idx="242">
                <c:v>0.77344280236329765</c:v>
              </c:pt>
              <c:pt idx="243">
                <c:v>0.77354718896080987</c:v>
              </c:pt>
              <c:pt idx="244">
                <c:v>0.77354718896080987</c:v>
              </c:pt>
              <c:pt idx="247">
                <c:v>0.77354718896080987</c:v>
              </c:pt>
              <c:pt idx="248">
                <c:v>0.77354718896080987</c:v>
              </c:pt>
              <c:pt idx="249">
                <c:v>0.77354718896080987</c:v>
              </c:pt>
              <c:pt idx="250">
                <c:v>0.77396473535085886</c:v>
              </c:pt>
              <c:pt idx="251">
                <c:v>0.77396473535085886</c:v>
              </c:pt>
              <c:pt idx="252">
                <c:v>0.77438228174090784</c:v>
              </c:pt>
              <c:pt idx="253">
                <c:v>0.77438228174090784</c:v>
              </c:pt>
              <c:pt idx="254">
                <c:v>0.77479982813095694</c:v>
              </c:pt>
              <c:pt idx="255">
                <c:v>0.77479982813095694</c:v>
              </c:pt>
              <c:pt idx="256">
                <c:v>0.77521737452100592</c:v>
              </c:pt>
              <c:pt idx="257">
                <c:v>0.77521737452100592</c:v>
              </c:pt>
              <c:pt idx="258">
                <c:v>0.7756349209110549</c:v>
              </c:pt>
              <c:pt idx="259">
                <c:v>0.7756349209110549</c:v>
              </c:pt>
              <c:pt idx="260">
                <c:v>0.77605246730110389</c:v>
              </c:pt>
              <c:pt idx="261">
                <c:v>0.77605246730110389</c:v>
              </c:pt>
              <c:pt idx="262">
                <c:v>0.77615685389861622</c:v>
              </c:pt>
              <c:pt idx="263">
                <c:v>0.77615685389861622</c:v>
              </c:pt>
              <c:pt idx="266">
                <c:v>0.77615685389861622</c:v>
              </c:pt>
              <c:pt idx="267">
                <c:v>0.77615685389861622</c:v>
              </c:pt>
              <c:pt idx="268">
                <c:v>0.77615685389861622</c:v>
              </c:pt>
              <c:pt idx="269">
                <c:v>0.7765744002886652</c:v>
              </c:pt>
              <c:pt idx="270">
                <c:v>0.7765744002886652</c:v>
              </c:pt>
              <c:pt idx="271">
                <c:v>0.77699194667871418</c:v>
              </c:pt>
              <c:pt idx="272">
                <c:v>0.77699194667871418</c:v>
              </c:pt>
              <c:pt idx="273">
                <c:v>0.77740949306876328</c:v>
              </c:pt>
              <c:pt idx="274">
                <c:v>0.77740949306876328</c:v>
              </c:pt>
              <c:pt idx="275">
                <c:v>0.77782703945881226</c:v>
              </c:pt>
              <c:pt idx="276">
                <c:v>0.77782703945881226</c:v>
              </c:pt>
              <c:pt idx="277">
                <c:v>0.77824458584886125</c:v>
              </c:pt>
              <c:pt idx="278">
                <c:v>0.77824458584886125</c:v>
              </c:pt>
              <c:pt idx="279">
                <c:v>0.77866213223891023</c:v>
              </c:pt>
              <c:pt idx="280">
                <c:v>0.77866213223891023</c:v>
              </c:pt>
              <c:pt idx="281">
                <c:v>0.77876651883642245</c:v>
              </c:pt>
              <c:pt idx="282">
                <c:v>0.77876651883642245</c:v>
              </c:pt>
              <c:pt idx="285">
                <c:v>0.77876651883642245</c:v>
              </c:pt>
              <c:pt idx="286">
                <c:v>0.77876651883642245</c:v>
              </c:pt>
              <c:pt idx="287">
                <c:v>0.77876651883642245</c:v>
              </c:pt>
              <c:pt idx="288">
                <c:v>0.77918406522647143</c:v>
              </c:pt>
              <c:pt idx="289">
                <c:v>0.77918406522647143</c:v>
              </c:pt>
              <c:pt idx="290">
                <c:v>0.77960161161652042</c:v>
              </c:pt>
              <c:pt idx="291">
                <c:v>0.77960161161652042</c:v>
              </c:pt>
              <c:pt idx="292">
                <c:v>0.78001915800656951</c:v>
              </c:pt>
              <c:pt idx="293">
                <c:v>0.78001915800656951</c:v>
              </c:pt>
              <c:pt idx="294">
                <c:v>0.7804367043966185</c:v>
              </c:pt>
              <c:pt idx="295">
                <c:v>0.7804367043966185</c:v>
              </c:pt>
              <c:pt idx="296">
                <c:v>0.78085425078666748</c:v>
              </c:pt>
              <c:pt idx="297">
                <c:v>0.78085425078666748</c:v>
              </c:pt>
              <c:pt idx="298">
                <c:v>0.78127179717671646</c:v>
              </c:pt>
              <c:pt idx="299">
                <c:v>0.78127179717671646</c:v>
              </c:pt>
              <c:pt idx="300">
                <c:v>0.78137618377422868</c:v>
              </c:pt>
              <c:pt idx="301">
                <c:v>0.78137618377422868</c:v>
              </c:pt>
              <c:pt idx="304">
                <c:v>0.78137618377422868</c:v>
              </c:pt>
              <c:pt idx="305">
                <c:v>0.78137618377422868</c:v>
              </c:pt>
              <c:pt idx="306">
                <c:v>0.78137618377422868</c:v>
              </c:pt>
              <c:pt idx="307">
                <c:v>0.78179373016427767</c:v>
              </c:pt>
              <c:pt idx="308">
                <c:v>0.78179373016427767</c:v>
              </c:pt>
              <c:pt idx="309">
                <c:v>0.78221127655432665</c:v>
              </c:pt>
              <c:pt idx="310">
                <c:v>0.78221127655432665</c:v>
              </c:pt>
              <c:pt idx="311">
                <c:v>0.78262882294437575</c:v>
              </c:pt>
              <c:pt idx="312">
                <c:v>0.78262882294437575</c:v>
              </c:pt>
              <c:pt idx="313">
                <c:v>0.78304636933442473</c:v>
              </c:pt>
              <c:pt idx="314">
                <c:v>0.78304636933442473</c:v>
              </c:pt>
              <c:pt idx="315">
                <c:v>0.78346391572447371</c:v>
              </c:pt>
              <c:pt idx="316">
                <c:v>0.78346391572447371</c:v>
              </c:pt>
              <c:pt idx="317">
                <c:v>0.7838814621145227</c:v>
              </c:pt>
              <c:pt idx="318">
                <c:v>0.7838814621145227</c:v>
              </c:pt>
              <c:pt idx="319">
                <c:v>0.78398584871203503</c:v>
              </c:pt>
              <c:pt idx="320">
                <c:v>0.78398584871203503</c:v>
              </c:pt>
              <c:pt idx="323">
                <c:v>0.78398584871203503</c:v>
              </c:pt>
              <c:pt idx="324">
                <c:v>0.78398584871203503</c:v>
              </c:pt>
              <c:pt idx="325">
                <c:v>0.78398584871203503</c:v>
              </c:pt>
              <c:pt idx="326">
                <c:v>0.78440339510208401</c:v>
              </c:pt>
              <c:pt idx="327">
                <c:v>0.78440339510208401</c:v>
              </c:pt>
              <c:pt idx="328">
                <c:v>0.784820941492133</c:v>
              </c:pt>
              <c:pt idx="329">
                <c:v>0.784820941492133</c:v>
              </c:pt>
              <c:pt idx="330">
                <c:v>0.78523848788218209</c:v>
              </c:pt>
              <c:pt idx="331">
                <c:v>0.78523848788218209</c:v>
              </c:pt>
              <c:pt idx="332">
                <c:v>0.78565603427223107</c:v>
              </c:pt>
              <c:pt idx="333">
                <c:v>0.78565603427223107</c:v>
              </c:pt>
              <c:pt idx="334">
                <c:v>0.78607358066228006</c:v>
              </c:pt>
              <c:pt idx="335">
                <c:v>0.78607358066228006</c:v>
              </c:pt>
              <c:pt idx="336">
                <c:v>0.78649112705232904</c:v>
              </c:pt>
              <c:pt idx="337">
                <c:v>0.78649112705232904</c:v>
              </c:pt>
              <c:pt idx="338">
                <c:v>0.78659551364984126</c:v>
              </c:pt>
              <c:pt idx="339">
                <c:v>0.78659551364984126</c:v>
              </c:pt>
              <c:pt idx="342">
                <c:v>0.78659551364984126</c:v>
              </c:pt>
              <c:pt idx="343">
                <c:v>0.78659551364984126</c:v>
              </c:pt>
              <c:pt idx="344">
                <c:v>0.78659551364984126</c:v>
              </c:pt>
              <c:pt idx="345">
                <c:v>0.78701306003989024</c:v>
              </c:pt>
              <c:pt idx="346">
                <c:v>0.78701306003989024</c:v>
              </c:pt>
              <c:pt idx="347">
                <c:v>0.78743060642993923</c:v>
              </c:pt>
              <c:pt idx="348">
                <c:v>0.78743060642993923</c:v>
              </c:pt>
              <c:pt idx="349">
                <c:v>0.78784815281998832</c:v>
              </c:pt>
              <c:pt idx="350">
                <c:v>0.78784815281998832</c:v>
              </c:pt>
              <c:pt idx="351">
                <c:v>0.78826569921003731</c:v>
              </c:pt>
              <c:pt idx="352">
                <c:v>0.78826569921003731</c:v>
              </c:pt>
              <c:pt idx="353">
                <c:v>0.78868324560008629</c:v>
              </c:pt>
              <c:pt idx="354">
                <c:v>0.78868324560008629</c:v>
              </c:pt>
              <c:pt idx="355">
                <c:v>0.78910079199013528</c:v>
              </c:pt>
              <c:pt idx="356">
                <c:v>0.78910079199013528</c:v>
              </c:pt>
              <c:pt idx="357">
                <c:v>0.78920517858764749</c:v>
              </c:pt>
              <c:pt idx="358">
                <c:v>0.78920517858764749</c:v>
              </c:pt>
              <c:pt idx="361">
                <c:v>0.78920517858764749</c:v>
              </c:pt>
              <c:pt idx="362">
                <c:v>0.78920517858764749</c:v>
              </c:pt>
              <c:pt idx="363">
                <c:v>0.78920517858764749</c:v>
              </c:pt>
              <c:pt idx="364">
                <c:v>0.78962272497769648</c:v>
              </c:pt>
              <c:pt idx="365">
                <c:v>0.78962272497769648</c:v>
              </c:pt>
              <c:pt idx="366">
                <c:v>0.79004027136774546</c:v>
              </c:pt>
              <c:pt idx="367">
                <c:v>0.79004027136774546</c:v>
              </c:pt>
              <c:pt idx="368">
                <c:v>0.79045781775779456</c:v>
              </c:pt>
              <c:pt idx="369">
                <c:v>0.79045781775779456</c:v>
              </c:pt>
              <c:pt idx="370">
                <c:v>0.79087536414784354</c:v>
              </c:pt>
              <c:pt idx="371">
                <c:v>0.79087536414784354</c:v>
              </c:pt>
              <c:pt idx="372">
                <c:v>0.79129291053789252</c:v>
              </c:pt>
              <c:pt idx="373">
                <c:v>0.79129291053789252</c:v>
              </c:pt>
              <c:pt idx="374">
                <c:v>0.79171045692794151</c:v>
              </c:pt>
              <c:pt idx="375">
                <c:v>0.79171045692794151</c:v>
              </c:pt>
              <c:pt idx="376">
                <c:v>0.79181484352545373</c:v>
              </c:pt>
              <c:pt idx="377">
                <c:v>0.79181484352545373</c:v>
              </c:pt>
              <c:pt idx="380">
                <c:v>0.79181484352545373</c:v>
              </c:pt>
              <c:pt idx="381">
                <c:v>0.79181484352545373</c:v>
              </c:pt>
              <c:pt idx="382">
                <c:v>0.79181484352545373</c:v>
              </c:pt>
              <c:pt idx="383">
                <c:v>0.79223238991550271</c:v>
              </c:pt>
              <c:pt idx="384">
                <c:v>0.79223238991550271</c:v>
              </c:pt>
              <c:pt idx="385">
                <c:v>0.79264993630555169</c:v>
              </c:pt>
              <c:pt idx="386">
                <c:v>0.79264993630555169</c:v>
              </c:pt>
              <c:pt idx="387">
                <c:v>0.79306748269560079</c:v>
              </c:pt>
              <c:pt idx="388">
                <c:v>0.79306748269560079</c:v>
              </c:pt>
              <c:pt idx="389">
                <c:v>0.79348502908564977</c:v>
              </c:pt>
              <c:pt idx="390">
                <c:v>0.79348502908564977</c:v>
              </c:pt>
              <c:pt idx="391">
                <c:v>0.79390257547569876</c:v>
              </c:pt>
              <c:pt idx="392">
                <c:v>0.79390257547569876</c:v>
              </c:pt>
              <c:pt idx="393">
                <c:v>0.79432012186574774</c:v>
              </c:pt>
              <c:pt idx="394">
                <c:v>0.79432012186574774</c:v>
              </c:pt>
              <c:pt idx="395">
                <c:v>0.79442450846326007</c:v>
              </c:pt>
              <c:pt idx="396">
                <c:v>0.79442450846326007</c:v>
              </c:pt>
              <c:pt idx="399">
                <c:v>0.79442450846326007</c:v>
              </c:pt>
              <c:pt idx="400">
                <c:v>0.79442450846326007</c:v>
              </c:pt>
              <c:pt idx="401">
                <c:v>0.79442450846326007</c:v>
              </c:pt>
              <c:pt idx="402">
                <c:v>0.79484205485330905</c:v>
              </c:pt>
              <c:pt idx="403">
                <c:v>0.79484205485330905</c:v>
              </c:pt>
              <c:pt idx="404">
                <c:v>0.79525960124335804</c:v>
              </c:pt>
              <c:pt idx="405">
                <c:v>0.79525960124335804</c:v>
              </c:pt>
              <c:pt idx="406">
                <c:v>0.79567714763340713</c:v>
              </c:pt>
              <c:pt idx="407">
                <c:v>0.79567714763340713</c:v>
              </c:pt>
              <c:pt idx="408">
                <c:v>0.79609469402345612</c:v>
              </c:pt>
              <c:pt idx="409">
                <c:v>0.79609469402345612</c:v>
              </c:pt>
              <c:pt idx="410">
                <c:v>0.7965122404135051</c:v>
              </c:pt>
              <c:pt idx="411">
                <c:v>0.7965122404135051</c:v>
              </c:pt>
              <c:pt idx="412">
                <c:v>0.79692978680355409</c:v>
              </c:pt>
              <c:pt idx="413">
                <c:v>0.79692978680355409</c:v>
              </c:pt>
              <c:pt idx="414">
                <c:v>0.7970341734010663</c:v>
              </c:pt>
              <c:pt idx="415">
                <c:v>0.7970341734010663</c:v>
              </c:pt>
              <c:pt idx="418">
                <c:v>0.7970341734010663</c:v>
              </c:pt>
              <c:pt idx="419">
                <c:v>0.7970341734010663</c:v>
              </c:pt>
              <c:pt idx="420">
                <c:v>0.7970341734010663</c:v>
              </c:pt>
              <c:pt idx="421">
                <c:v>0.79745171979111529</c:v>
              </c:pt>
              <c:pt idx="422">
                <c:v>0.79745171979111529</c:v>
              </c:pt>
              <c:pt idx="423">
                <c:v>0.79786926618116427</c:v>
              </c:pt>
              <c:pt idx="424">
                <c:v>0.79786926618116427</c:v>
              </c:pt>
              <c:pt idx="425">
                <c:v>0.79828681257121337</c:v>
              </c:pt>
              <c:pt idx="426">
                <c:v>0.79828681257121337</c:v>
              </c:pt>
              <c:pt idx="427">
                <c:v>0.79870435896126235</c:v>
              </c:pt>
              <c:pt idx="428">
                <c:v>0.79870435896126235</c:v>
              </c:pt>
              <c:pt idx="429">
                <c:v>0.79912190535131133</c:v>
              </c:pt>
              <c:pt idx="430">
                <c:v>0.79912190535131133</c:v>
              </c:pt>
              <c:pt idx="431">
                <c:v>0.79953945174136032</c:v>
              </c:pt>
              <c:pt idx="432">
                <c:v>0.79953945174136032</c:v>
              </c:pt>
              <c:pt idx="433">
                <c:v>0.79964383833887254</c:v>
              </c:pt>
              <c:pt idx="434">
                <c:v>0.79964383833887254</c:v>
              </c:pt>
              <c:pt idx="437">
                <c:v>0.79964383833887254</c:v>
              </c:pt>
              <c:pt idx="438">
                <c:v>0.79964383833887254</c:v>
              </c:pt>
              <c:pt idx="439">
                <c:v>0.79964383833887254</c:v>
              </c:pt>
              <c:pt idx="440">
                <c:v>0.80006138472892152</c:v>
              </c:pt>
              <c:pt idx="441">
                <c:v>0.80006138472892152</c:v>
              </c:pt>
              <c:pt idx="442">
                <c:v>0.8004789311189705</c:v>
              </c:pt>
              <c:pt idx="443">
                <c:v>0.8004789311189705</c:v>
              </c:pt>
              <c:pt idx="444">
                <c:v>0.8008964775090196</c:v>
              </c:pt>
              <c:pt idx="445">
                <c:v>0.8008964775090196</c:v>
              </c:pt>
              <c:pt idx="446">
                <c:v>0.80131402389906858</c:v>
              </c:pt>
              <c:pt idx="447">
                <c:v>0.80131402389906858</c:v>
              </c:pt>
              <c:pt idx="448">
                <c:v>0.80173157028911757</c:v>
              </c:pt>
              <c:pt idx="449">
                <c:v>0.80173157028911757</c:v>
              </c:pt>
              <c:pt idx="450">
                <c:v>0.80214911667916655</c:v>
              </c:pt>
              <c:pt idx="451">
                <c:v>0.80214911667916655</c:v>
              </c:pt>
              <c:pt idx="452">
                <c:v>0.80225350327667888</c:v>
              </c:pt>
              <c:pt idx="453">
                <c:v>0.80225350327667888</c:v>
              </c:pt>
              <c:pt idx="456">
                <c:v>0.80225350327667888</c:v>
              </c:pt>
              <c:pt idx="457">
                <c:v>0.80225350327667888</c:v>
              </c:pt>
              <c:pt idx="458">
                <c:v>0.80225350327667888</c:v>
              </c:pt>
              <c:pt idx="459">
                <c:v>0.80267104966672786</c:v>
              </c:pt>
              <c:pt idx="460">
                <c:v>0.80267104966672786</c:v>
              </c:pt>
              <c:pt idx="461">
                <c:v>0.80308859605677685</c:v>
              </c:pt>
              <c:pt idx="462">
                <c:v>0.80308859605677685</c:v>
              </c:pt>
              <c:pt idx="463">
                <c:v>0.80350614244682594</c:v>
              </c:pt>
              <c:pt idx="464">
                <c:v>0.80350614244682594</c:v>
              </c:pt>
              <c:pt idx="465">
                <c:v>0.80392368883687493</c:v>
              </c:pt>
              <c:pt idx="466">
                <c:v>0.80392368883687493</c:v>
              </c:pt>
              <c:pt idx="467">
                <c:v>0.80434123522692391</c:v>
              </c:pt>
              <c:pt idx="468">
                <c:v>0.80434123522692391</c:v>
              </c:pt>
              <c:pt idx="469">
                <c:v>0.8047587816169729</c:v>
              </c:pt>
              <c:pt idx="470">
                <c:v>0.8047587816169729</c:v>
              </c:pt>
              <c:pt idx="471">
                <c:v>0.80486316821448511</c:v>
              </c:pt>
              <c:pt idx="472">
                <c:v>0.80486316821448511</c:v>
              </c:pt>
              <c:pt idx="475">
                <c:v>0.80486316821448511</c:v>
              </c:pt>
              <c:pt idx="476">
                <c:v>0.80486316821448511</c:v>
              </c:pt>
              <c:pt idx="477">
                <c:v>0.80486316821448511</c:v>
              </c:pt>
              <c:pt idx="478">
                <c:v>0.8052807146045341</c:v>
              </c:pt>
              <c:pt idx="479">
                <c:v>0.8052807146045341</c:v>
              </c:pt>
              <c:pt idx="480">
                <c:v>0.80569826099458308</c:v>
              </c:pt>
              <c:pt idx="481">
                <c:v>0.80569826099458308</c:v>
              </c:pt>
              <c:pt idx="482">
                <c:v>0.80611580738463218</c:v>
              </c:pt>
              <c:pt idx="483">
                <c:v>0.80611580738463218</c:v>
              </c:pt>
              <c:pt idx="484">
                <c:v>0.80653335377468116</c:v>
              </c:pt>
              <c:pt idx="485">
                <c:v>0.80653335377468116</c:v>
              </c:pt>
              <c:pt idx="486">
                <c:v>0.80695090016473014</c:v>
              </c:pt>
              <c:pt idx="487">
                <c:v>0.80695090016473014</c:v>
              </c:pt>
              <c:pt idx="488">
                <c:v>0.80736844655477913</c:v>
              </c:pt>
              <c:pt idx="489">
                <c:v>0.80736844655477913</c:v>
              </c:pt>
              <c:pt idx="490">
                <c:v>0.80747283315229135</c:v>
              </c:pt>
              <c:pt idx="491">
                <c:v>0.80747283315229135</c:v>
              </c:pt>
              <c:pt idx="494">
                <c:v>0.80747283315229135</c:v>
              </c:pt>
              <c:pt idx="495">
                <c:v>0.80747283315229135</c:v>
              </c:pt>
              <c:pt idx="496">
                <c:v>0.80747283315229135</c:v>
              </c:pt>
              <c:pt idx="497">
                <c:v>0.80789037954234033</c:v>
              </c:pt>
              <c:pt idx="498">
                <c:v>0.80789037954234033</c:v>
              </c:pt>
              <c:pt idx="499">
                <c:v>0.80830792593238932</c:v>
              </c:pt>
              <c:pt idx="500">
                <c:v>0.80830792593238932</c:v>
              </c:pt>
              <c:pt idx="501">
                <c:v>0.80872547232243841</c:v>
              </c:pt>
              <c:pt idx="502">
                <c:v>0.80872547232243841</c:v>
              </c:pt>
              <c:pt idx="503">
                <c:v>0.80914301871248739</c:v>
              </c:pt>
              <c:pt idx="504">
                <c:v>0.80914301871248739</c:v>
              </c:pt>
              <c:pt idx="505">
                <c:v>0.80956056510253638</c:v>
              </c:pt>
              <c:pt idx="506">
                <c:v>0.80956056510253638</c:v>
              </c:pt>
              <c:pt idx="507">
                <c:v>0.80997811149258536</c:v>
              </c:pt>
              <c:pt idx="508">
                <c:v>0.80997811149258536</c:v>
              </c:pt>
              <c:pt idx="509">
                <c:v>0.81008249809009769</c:v>
              </c:pt>
              <c:pt idx="510">
                <c:v>0.81008249809009769</c:v>
              </c:pt>
              <c:pt idx="513">
                <c:v>0.81008249809009769</c:v>
              </c:pt>
              <c:pt idx="514">
                <c:v>0.81008249809009769</c:v>
              </c:pt>
              <c:pt idx="515">
                <c:v>0.81008249809009769</c:v>
              </c:pt>
              <c:pt idx="516">
                <c:v>0.81050004448014668</c:v>
              </c:pt>
              <c:pt idx="517">
                <c:v>0.81050004448014668</c:v>
              </c:pt>
              <c:pt idx="518">
                <c:v>0.81091759087019566</c:v>
              </c:pt>
              <c:pt idx="519">
                <c:v>0.81091759087019566</c:v>
              </c:pt>
              <c:pt idx="520">
                <c:v>0.81133513726024475</c:v>
              </c:pt>
              <c:pt idx="521">
                <c:v>0.81133513726024475</c:v>
              </c:pt>
              <c:pt idx="522">
                <c:v>0.81175268365029374</c:v>
              </c:pt>
              <c:pt idx="523">
                <c:v>0.81175268365029374</c:v>
              </c:pt>
              <c:pt idx="524">
                <c:v>0.81217023004034272</c:v>
              </c:pt>
              <c:pt idx="525">
                <c:v>0.81217023004034272</c:v>
              </c:pt>
              <c:pt idx="526">
                <c:v>0.81258777643039171</c:v>
              </c:pt>
              <c:pt idx="527">
                <c:v>0.81258777643039171</c:v>
              </c:pt>
              <c:pt idx="528">
                <c:v>0.81269216302790392</c:v>
              </c:pt>
              <c:pt idx="529">
                <c:v>0.81269216302790392</c:v>
              </c:pt>
              <c:pt idx="532">
                <c:v>0.81269216302790392</c:v>
              </c:pt>
              <c:pt idx="533">
                <c:v>0.81269216302790392</c:v>
              </c:pt>
              <c:pt idx="534">
                <c:v>0.81269216302790392</c:v>
              </c:pt>
              <c:pt idx="535">
                <c:v>0.81310970941795291</c:v>
              </c:pt>
              <c:pt idx="536">
                <c:v>0.81310970941795291</c:v>
              </c:pt>
              <c:pt idx="537">
                <c:v>0.81352725580800189</c:v>
              </c:pt>
              <c:pt idx="538">
                <c:v>0.81352725580800189</c:v>
              </c:pt>
              <c:pt idx="539">
                <c:v>0.81394480219805099</c:v>
              </c:pt>
              <c:pt idx="540">
                <c:v>0.81394480219805099</c:v>
              </c:pt>
              <c:pt idx="541">
                <c:v>0.81436234858809997</c:v>
              </c:pt>
              <c:pt idx="542">
                <c:v>0.81436234858809997</c:v>
              </c:pt>
              <c:pt idx="543">
                <c:v>0.81477989497814896</c:v>
              </c:pt>
              <c:pt idx="544">
                <c:v>0.81477989497814896</c:v>
              </c:pt>
              <c:pt idx="545">
                <c:v>0.81519744136819794</c:v>
              </c:pt>
              <c:pt idx="546">
                <c:v>0.81519744136819794</c:v>
              </c:pt>
              <c:pt idx="547">
                <c:v>0.81530182796571016</c:v>
              </c:pt>
              <c:pt idx="548">
                <c:v>0.81530182796571016</c:v>
              </c:pt>
              <c:pt idx="551">
                <c:v>0.81530182796571016</c:v>
              </c:pt>
              <c:pt idx="552">
                <c:v>0.81530182796571016</c:v>
              </c:pt>
              <c:pt idx="553">
                <c:v>0.81530182796571016</c:v>
              </c:pt>
              <c:pt idx="554">
                <c:v>0.81571937435575914</c:v>
              </c:pt>
              <c:pt idx="555">
                <c:v>0.81571937435575914</c:v>
              </c:pt>
              <c:pt idx="556">
                <c:v>0.81613692074580813</c:v>
              </c:pt>
              <c:pt idx="557">
                <c:v>0.81613692074580813</c:v>
              </c:pt>
              <c:pt idx="558">
                <c:v>0.81655446713585722</c:v>
              </c:pt>
              <c:pt idx="559">
                <c:v>0.81655446713585722</c:v>
              </c:pt>
              <c:pt idx="560">
                <c:v>0.8169720135259062</c:v>
              </c:pt>
              <c:pt idx="561">
                <c:v>0.8169720135259062</c:v>
              </c:pt>
              <c:pt idx="562">
                <c:v>0.81738955991595519</c:v>
              </c:pt>
              <c:pt idx="563">
                <c:v>0.81738955991595519</c:v>
              </c:pt>
              <c:pt idx="564">
                <c:v>0.81780710630600417</c:v>
              </c:pt>
              <c:pt idx="565">
                <c:v>0.81780710630600417</c:v>
              </c:pt>
              <c:pt idx="566">
                <c:v>0.8179114929035165</c:v>
              </c:pt>
              <c:pt idx="567">
                <c:v>0.8179114929035165</c:v>
              </c:pt>
              <c:pt idx="570">
                <c:v>0.8179114929035165</c:v>
              </c:pt>
              <c:pt idx="571">
                <c:v>0.8179114929035165</c:v>
              </c:pt>
              <c:pt idx="572">
                <c:v>0.8179114929035165</c:v>
              </c:pt>
              <c:pt idx="573">
                <c:v>0.81832903929356549</c:v>
              </c:pt>
              <c:pt idx="574">
                <c:v>0.81832903929356549</c:v>
              </c:pt>
              <c:pt idx="575">
                <c:v>0.81874658568361447</c:v>
              </c:pt>
              <c:pt idx="576">
                <c:v>0.81874658568361447</c:v>
              </c:pt>
              <c:pt idx="577">
                <c:v>0.81916413207366356</c:v>
              </c:pt>
              <c:pt idx="578">
                <c:v>0.81916413207366356</c:v>
              </c:pt>
              <c:pt idx="579">
                <c:v>0.81958167846371255</c:v>
              </c:pt>
              <c:pt idx="580">
                <c:v>0.81958167846371255</c:v>
              </c:pt>
              <c:pt idx="581">
                <c:v>0.81999922485376153</c:v>
              </c:pt>
              <c:pt idx="582">
                <c:v>0.81999922485376153</c:v>
              </c:pt>
              <c:pt idx="583">
                <c:v>0.82041677124381052</c:v>
              </c:pt>
              <c:pt idx="584">
                <c:v>0.82041677124381052</c:v>
              </c:pt>
              <c:pt idx="585">
                <c:v>0.82052115784132273</c:v>
              </c:pt>
              <c:pt idx="586">
                <c:v>0.82052115784132273</c:v>
              </c:pt>
              <c:pt idx="589">
                <c:v>0.82052115784132273</c:v>
              </c:pt>
              <c:pt idx="590">
                <c:v>0.82052115784132273</c:v>
              </c:pt>
              <c:pt idx="591">
                <c:v>0.82052115784132273</c:v>
              </c:pt>
              <c:pt idx="592">
                <c:v>0.82093870423137172</c:v>
              </c:pt>
              <c:pt idx="593">
                <c:v>0.82093870423137172</c:v>
              </c:pt>
              <c:pt idx="594">
                <c:v>0.8213562506214207</c:v>
              </c:pt>
              <c:pt idx="595">
                <c:v>0.8213562506214207</c:v>
              </c:pt>
              <c:pt idx="596">
                <c:v>0.8217737970114698</c:v>
              </c:pt>
              <c:pt idx="597">
                <c:v>0.8217737970114698</c:v>
              </c:pt>
              <c:pt idx="598">
                <c:v>0.82219134340151878</c:v>
              </c:pt>
              <c:pt idx="599">
                <c:v>0.82219134340151878</c:v>
              </c:pt>
              <c:pt idx="600">
                <c:v>0.82260888979156777</c:v>
              </c:pt>
              <c:pt idx="601">
                <c:v>0.82260888979156777</c:v>
              </c:pt>
              <c:pt idx="602">
                <c:v>0.82302643618161675</c:v>
              </c:pt>
              <c:pt idx="603">
                <c:v>0.82302643618161675</c:v>
              </c:pt>
              <c:pt idx="604">
                <c:v>0.82313082277912897</c:v>
              </c:pt>
              <c:pt idx="605">
                <c:v>0.82313082277912897</c:v>
              </c:pt>
              <c:pt idx="608">
                <c:v>0.82313082277912897</c:v>
              </c:pt>
              <c:pt idx="609">
                <c:v>0.82313082277912897</c:v>
              </c:pt>
              <c:pt idx="610">
                <c:v>0.82313082277912897</c:v>
              </c:pt>
              <c:pt idx="611">
                <c:v>0.82354836916917795</c:v>
              </c:pt>
              <c:pt idx="612">
                <c:v>0.82354836916917795</c:v>
              </c:pt>
              <c:pt idx="613">
                <c:v>0.82396591555922694</c:v>
              </c:pt>
              <c:pt idx="614">
                <c:v>0.82396591555922694</c:v>
              </c:pt>
              <c:pt idx="615">
                <c:v>0.82438346194927603</c:v>
              </c:pt>
              <c:pt idx="616">
                <c:v>0.82438346194927603</c:v>
              </c:pt>
              <c:pt idx="617">
                <c:v>0.82480100833932501</c:v>
              </c:pt>
              <c:pt idx="618">
                <c:v>0.82480100833932501</c:v>
              </c:pt>
              <c:pt idx="619">
                <c:v>0.825218554729374</c:v>
              </c:pt>
              <c:pt idx="620">
                <c:v>0.825218554729374</c:v>
              </c:pt>
              <c:pt idx="621">
                <c:v>0.82563610111942298</c:v>
              </c:pt>
              <c:pt idx="622">
                <c:v>0.82563610111942298</c:v>
              </c:pt>
              <c:pt idx="623">
                <c:v>0.82574048771693531</c:v>
              </c:pt>
              <c:pt idx="624">
                <c:v>0.82574048771693531</c:v>
              </c:pt>
              <c:pt idx="627">
                <c:v>0.82574048771693531</c:v>
              </c:pt>
              <c:pt idx="628">
                <c:v>0.82574048771693531</c:v>
              </c:pt>
              <c:pt idx="629">
                <c:v>0.82574048771693531</c:v>
              </c:pt>
              <c:pt idx="630">
                <c:v>0.8261580341069843</c:v>
              </c:pt>
              <c:pt idx="631">
                <c:v>0.8261580341069843</c:v>
              </c:pt>
              <c:pt idx="632">
                <c:v>0.82657558049703328</c:v>
              </c:pt>
              <c:pt idx="633">
                <c:v>0.82657558049703328</c:v>
              </c:pt>
              <c:pt idx="634">
                <c:v>0.82699312688708237</c:v>
              </c:pt>
              <c:pt idx="635">
                <c:v>0.82699312688708237</c:v>
              </c:pt>
              <c:pt idx="636">
                <c:v>0.82741067327713136</c:v>
              </c:pt>
              <c:pt idx="637">
                <c:v>0.82741067327713136</c:v>
              </c:pt>
              <c:pt idx="638">
                <c:v>0.82782821966718034</c:v>
              </c:pt>
              <c:pt idx="639">
                <c:v>0.82782821966718034</c:v>
              </c:pt>
              <c:pt idx="640">
                <c:v>0.82824576605722933</c:v>
              </c:pt>
              <c:pt idx="641">
                <c:v>0.82824576605722933</c:v>
              </c:pt>
              <c:pt idx="642">
                <c:v>0.82835015265474154</c:v>
              </c:pt>
              <c:pt idx="643">
                <c:v>0.82835015265474154</c:v>
              </c:pt>
              <c:pt idx="646">
                <c:v>0.82835015265474154</c:v>
              </c:pt>
              <c:pt idx="647">
                <c:v>0.82835015265474154</c:v>
              </c:pt>
              <c:pt idx="648">
                <c:v>0.82835015265474154</c:v>
              </c:pt>
              <c:pt idx="649">
                <c:v>0.82876769904479053</c:v>
              </c:pt>
              <c:pt idx="650">
                <c:v>0.82876769904479053</c:v>
              </c:pt>
              <c:pt idx="651">
                <c:v>0.82918524543483951</c:v>
              </c:pt>
              <c:pt idx="652">
                <c:v>0.82918524543483951</c:v>
              </c:pt>
              <c:pt idx="653">
                <c:v>0.82960279182488861</c:v>
              </c:pt>
              <c:pt idx="654">
                <c:v>0.82960279182488861</c:v>
              </c:pt>
              <c:pt idx="655">
                <c:v>0.83002033821493759</c:v>
              </c:pt>
              <c:pt idx="656">
                <c:v>0.83002033821493759</c:v>
              </c:pt>
              <c:pt idx="657">
                <c:v>0.83043788460498658</c:v>
              </c:pt>
              <c:pt idx="658">
                <c:v>0.83043788460498658</c:v>
              </c:pt>
              <c:pt idx="659">
                <c:v>0.83085543099503556</c:v>
              </c:pt>
              <c:pt idx="660">
                <c:v>0.83085543099503556</c:v>
              </c:pt>
              <c:pt idx="661">
                <c:v>0.83095981759254778</c:v>
              </c:pt>
              <c:pt idx="662">
                <c:v>0.83095981759254778</c:v>
              </c:pt>
              <c:pt idx="665">
                <c:v>0.83095981759254778</c:v>
              </c:pt>
              <c:pt idx="666">
                <c:v>0.83095981759254778</c:v>
              </c:pt>
              <c:pt idx="667">
                <c:v>0.83095981759254778</c:v>
              </c:pt>
              <c:pt idx="668">
                <c:v>0.83137736398259676</c:v>
              </c:pt>
              <c:pt idx="669">
                <c:v>0.83137736398259676</c:v>
              </c:pt>
              <c:pt idx="670">
                <c:v>0.83179491037264575</c:v>
              </c:pt>
              <c:pt idx="671">
                <c:v>0.83179491037264575</c:v>
              </c:pt>
              <c:pt idx="672">
                <c:v>0.83221245676269484</c:v>
              </c:pt>
              <c:pt idx="673">
                <c:v>0.83221245676269484</c:v>
              </c:pt>
              <c:pt idx="674">
                <c:v>0.83263000315274383</c:v>
              </c:pt>
              <c:pt idx="675">
                <c:v>0.83263000315274383</c:v>
              </c:pt>
              <c:pt idx="676">
                <c:v>0.83304754954279281</c:v>
              </c:pt>
              <c:pt idx="677">
                <c:v>0.83304754954279281</c:v>
              </c:pt>
              <c:pt idx="678">
                <c:v>0.83346509593284179</c:v>
              </c:pt>
              <c:pt idx="679">
                <c:v>0.83346509593284179</c:v>
              </c:pt>
              <c:pt idx="680">
                <c:v>0.83356948253035412</c:v>
              </c:pt>
              <c:pt idx="681">
                <c:v>0.83356948253035412</c:v>
              </c:pt>
              <c:pt idx="684">
                <c:v>0.83356948253035412</c:v>
              </c:pt>
              <c:pt idx="685">
                <c:v>0.83356948253035412</c:v>
              </c:pt>
              <c:pt idx="686">
                <c:v>0.83356948253035412</c:v>
              </c:pt>
              <c:pt idx="687">
                <c:v>0.83398702892040311</c:v>
              </c:pt>
              <c:pt idx="688">
                <c:v>0.83398702892040311</c:v>
              </c:pt>
              <c:pt idx="689">
                <c:v>0.83440457531045209</c:v>
              </c:pt>
              <c:pt idx="690">
                <c:v>0.83440457531045209</c:v>
              </c:pt>
              <c:pt idx="691">
                <c:v>0.83482212170050119</c:v>
              </c:pt>
              <c:pt idx="692">
                <c:v>0.83482212170050119</c:v>
              </c:pt>
              <c:pt idx="693">
                <c:v>0.83523966809055017</c:v>
              </c:pt>
              <c:pt idx="694">
                <c:v>0.83523966809055017</c:v>
              </c:pt>
              <c:pt idx="695">
                <c:v>0.83565721448059915</c:v>
              </c:pt>
              <c:pt idx="696">
                <c:v>0.83565721448059915</c:v>
              </c:pt>
              <c:pt idx="697">
                <c:v>0.83607476087064814</c:v>
              </c:pt>
              <c:pt idx="698">
                <c:v>0.83607476087064814</c:v>
              </c:pt>
              <c:pt idx="699">
                <c:v>0.83617914746816036</c:v>
              </c:pt>
              <c:pt idx="700">
                <c:v>0.83617914746816036</c:v>
              </c:pt>
              <c:pt idx="703">
                <c:v>0.83617914746816036</c:v>
              </c:pt>
              <c:pt idx="704">
                <c:v>0.83617914746816036</c:v>
              </c:pt>
              <c:pt idx="705">
                <c:v>0.83617914746816036</c:v>
              </c:pt>
              <c:pt idx="706">
                <c:v>0.83659669385820934</c:v>
              </c:pt>
              <c:pt idx="707">
                <c:v>0.83659669385820934</c:v>
              </c:pt>
              <c:pt idx="708">
                <c:v>0.83701424024825832</c:v>
              </c:pt>
              <c:pt idx="709">
                <c:v>0.83701424024825832</c:v>
              </c:pt>
              <c:pt idx="710">
                <c:v>0.83743178663830742</c:v>
              </c:pt>
              <c:pt idx="711">
                <c:v>0.83743178663830742</c:v>
              </c:pt>
              <c:pt idx="712">
                <c:v>0.8378493330283564</c:v>
              </c:pt>
              <c:pt idx="713">
                <c:v>0.8378493330283564</c:v>
              </c:pt>
              <c:pt idx="714">
                <c:v>0.83826687941840539</c:v>
              </c:pt>
              <c:pt idx="715">
                <c:v>0.83826687941840539</c:v>
              </c:pt>
              <c:pt idx="716">
                <c:v>0.83868442580845437</c:v>
              </c:pt>
              <c:pt idx="717">
                <c:v>0.83868442580845437</c:v>
              </c:pt>
              <c:pt idx="718">
                <c:v>0.83878881240596659</c:v>
              </c:pt>
              <c:pt idx="719">
                <c:v>0.83878881240596659</c:v>
              </c:pt>
              <c:pt idx="722">
                <c:v>0.83878881240596659</c:v>
              </c:pt>
              <c:pt idx="723">
                <c:v>0.83878881240596659</c:v>
              </c:pt>
              <c:pt idx="724">
                <c:v>0.83878881240596659</c:v>
              </c:pt>
              <c:pt idx="725">
                <c:v>0.83920635879601557</c:v>
              </c:pt>
              <c:pt idx="726">
                <c:v>0.83920635879601557</c:v>
              </c:pt>
              <c:pt idx="727">
                <c:v>0.83962390518606456</c:v>
              </c:pt>
              <c:pt idx="728">
                <c:v>0.83962390518606456</c:v>
              </c:pt>
              <c:pt idx="729">
                <c:v>0.84004145157611365</c:v>
              </c:pt>
              <c:pt idx="730">
                <c:v>0.84004145157611365</c:v>
              </c:pt>
              <c:pt idx="731">
                <c:v>0.84045899796616264</c:v>
              </c:pt>
              <c:pt idx="732">
                <c:v>0.84045899796616264</c:v>
              </c:pt>
              <c:pt idx="733">
                <c:v>0.84087654435621162</c:v>
              </c:pt>
              <c:pt idx="734">
                <c:v>0.84087654435621162</c:v>
              </c:pt>
              <c:pt idx="735">
                <c:v>0.8412940907462606</c:v>
              </c:pt>
              <c:pt idx="736">
                <c:v>0.8412940907462606</c:v>
              </c:pt>
              <c:pt idx="737">
                <c:v>0.84139847734377293</c:v>
              </c:pt>
              <c:pt idx="738">
                <c:v>0.84139847734377293</c:v>
              </c:pt>
              <c:pt idx="741">
                <c:v>0.84139847734377293</c:v>
              </c:pt>
              <c:pt idx="742">
                <c:v>0.84139847734377293</c:v>
              </c:pt>
              <c:pt idx="743">
                <c:v>0.84139847734377293</c:v>
              </c:pt>
              <c:pt idx="744">
                <c:v>0.84181602373382192</c:v>
              </c:pt>
              <c:pt idx="745">
                <c:v>0.84181602373382192</c:v>
              </c:pt>
              <c:pt idx="746">
                <c:v>0.8422335701238709</c:v>
              </c:pt>
              <c:pt idx="747">
                <c:v>0.8422335701238709</c:v>
              </c:pt>
              <c:pt idx="748">
                <c:v>0.84265111651392</c:v>
              </c:pt>
              <c:pt idx="749">
                <c:v>0.84265111651392</c:v>
              </c:pt>
              <c:pt idx="750">
                <c:v>0.84306866290396898</c:v>
              </c:pt>
              <c:pt idx="751">
                <c:v>0.84306866290396898</c:v>
              </c:pt>
              <c:pt idx="752">
                <c:v>0.84348620929401796</c:v>
              </c:pt>
              <c:pt idx="753">
                <c:v>0.84348620929401796</c:v>
              </c:pt>
              <c:pt idx="754">
                <c:v>0.84390375568406695</c:v>
              </c:pt>
              <c:pt idx="755">
                <c:v>0.84390375568406695</c:v>
              </c:pt>
              <c:pt idx="756">
                <c:v>0.84400814228157917</c:v>
              </c:pt>
              <c:pt idx="757">
                <c:v>0.84400814228157917</c:v>
              </c:pt>
            </c:numLit>
          </c:xVal>
          <c:yVal>
            <c:numLit>
              <c:formatCode>General</c:formatCode>
              <c:ptCount val="759"/>
              <c:pt idx="0">
                <c:v>0</c:v>
              </c:pt>
              <c:pt idx="1">
                <c:v>0</c:v>
              </c:pt>
              <c:pt idx="2">
                <c:v>0.19159547754828474</c:v>
              </c:pt>
              <c:pt idx="3">
                <c:v>0.19159547754828474</c:v>
              </c:pt>
              <c:pt idx="4">
                <c:v>0</c:v>
              </c:pt>
              <c:pt idx="5">
                <c:v>0</c:v>
              </c:pt>
              <c:pt idx="6">
                <c:v>0.19159547754828474</c:v>
              </c:pt>
              <c:pt idx="7">
                <c:v>0.19159547754828474</c:v>
              </c:pt>
              <c:pt idx="8">
                <c:v>0</c:v>
              </c:pt>
              <c:pt idx="9">
                <c:v>0</c:v>
              </c:pt>
              <c:pt idx="10">
                <c:v>0.19159547754828474</c:v>
              </c:pt>
              <c:pt idx="11">
                <c:v>0.19159547754828474</c:v>
              </c:pt>
              <c:pt idx="12">
                <c:v>0</c:v>
              </c:pt>
              <c:pt idx="13">
                <c:v>0</c:v>
              </c:pt>
              <c:pt idx="14">
                <c:v>0.19159547754828474</c:v>
              </c:pt>
              <c:pt idx="15">
                <c:v>0.19159547754828474</c:v>
              </c:pt>
              <c:pt idx="16">
                <c:v>0</c:v>
              </c:pt>
              <c:pt idx="19">
                <c:v>0</c:v>
              </c:pt>
              <c:pt idx="20">
                <c:v>0</c:v>
              </c:pt>
              <c:pt idx="21">
                <c:v>0.99629648325103815</c:v>
              </c:pt>
              <c:pt idx="22">
                <c:v>0.99629648325103815</c:v>
              </c:pt>
              <c:pt idx="23">
                <c:v>0</c:v>
              </c:pt>
              <c:pt idx="24">
                <c:v>0</c:v>
              </c:pt>
              <c:pt idx="25">
                <c:v>0.99629648325103815</c:v>
              </c:pt>
              <c:pt idx="26">
                <c:v>0.99629648325103815</c:v>
              </c:pt>
              <c:pt idx="27">
                <c:v>0</c:v>
              </c:pt>
              <c:pt idx="28">
                <c:v>0</c:v>
              </c:pt>
              <c:pt idx="29">
                <c:v>0.99629648325103815</c:v>
              </c:pt>
              <c:pt idx="30">
                <c:v>0.99629648325103815</c:v>
              </c:pt>
              <c:pt idx="31">
                <c:v>0</c:v>
              </c:pt>
              <c:pt idx="32">
                <c:v>0</c:v>
              </c:pt>
              <c:pt idx="33">
                <c:v>0.99629648325103815</c:v>
              </c:pt>
              <c:pt idx="34">
                <c:v>0.99629648325103815</c:v>
              </c:pt>
              <c:pt idx="35">
                <c:v>0</c:v>
              </c:pt>
              <c:pt idx="38">
                <c:v>0</c:v>
              </c:pt>
              <c:pt idx="39">
                <c:v>0</c:v>
              </c:pt>
              <c:pt idx="40">
                <c:v>4.6366105566684901</c:v>
              </c:pt>
              <c:pt idx="41">
                <c:v>4.6366105566684901</c:v>
              </c:pt>
              <c:pt idx="42">
                <c:v>0</c:v>
              </c:pt>
              <c:pt idx="43">
                <c:v>0</c:v>
              </c:pt>
              <c:pt idx="44">
                <c:v>4.6366105566684901</c:v>
              </c:pt>
              <c:pt idx="45">
                <c:v>4.6366105566684901</c:v>
              </c:pt>
              <c:pt idx="46">
                <c:v>0</c:v>
              </c:pt>
              <c:pt idx="47">
                <c:v>0</c:v>
              </c:pt>
              <c:pt idx="48">
                <c:v>4.6366105566684901</c:v>
              </c:pt>
              <c:pt idx="49">
                <c:v>4.6366105566684901</c:v>
              </c:pt>
              <c:pt idx="50">
                <c:v>0</c:v>
              </c:pt>
              <c:pt idx="51">
                <c:v>0</c:v>
              </c:pt>
              <c:pt idx="52">
                <c:v>4.6366105566684901</c:v>
              </c:pt>
              <c:pt idx="53">
                <c:v>4.6366105566684901</c:v>
              </c:pt>
              <c:pt idx="54">
                <c:v>0</c:v>
              </c:pt>
              <c:pt idx="57">
                <c:v>0</c:v>
              </c:pt>
              <c:pt idx="58">
                <c:v>0</c:v>
              </c:pt>
              <c:pt idx="59">
                <c:v>7.4722236243831057</c:v>
              </c:pt>
              <c:pt idx="60">
                <c:v>7.4722236243831057</c:v>
              </c:pt>
              <c:pt idx="61">
                <c:v>0</c:v>
              </c:pt>
              <c:pt idx="62">
                <c:v>0</c:v>
              </c:pt>
              <c:pt idx="63">
                <c:v>7.4722236243831057</c:v>
              </c:pt>
              <c:pt idx="64">
                <c:v>7.4722236243831057</c:v>
              </c:pt>
              <c:pt idx="65">
                <c:v>0</c:v>
              </c:pt>
              <c:pt idx="66">
                <c:v>0</c:v>
              </c:pt>
              <c:pt idx="67">
                <c:v>7.4722236243831057</c:v>
              </c:pt>
              <c:pt idx="68">
                <c:v>7.4722236243831057</c:v>
              </c:pt>
              <c:pt idx="69">
                <c:v>0</c:v>
              </c:pt>
              <c:pt idx="70">
                <c:v>0</c:v>
              </c:pt>
              <c:pt idx="71">
                <c:v>7.4722236243831057</c:v>
              </c:pt>
              <c:pt idx="72">
                <c:v>7.4722236243831057</c:v>
              </c:pt>
              <c:pt idx="73">
                <c:v>0</c:v>
              </c:pt>
              <c:pt idx="76">
                <c:v>0</c:v>
              </c:pt>
              <c:pt idx="77">
                <c:v>0</c:v>
              </c:pt>
              <c:pt idx="78">
                <c:v>11.955557799012459</c:v>
              </c:pt>
              <c:pt idx="79">
                <c:v>11.955557799012459</c:v>
              </c:pt>
              <c:pt idx="80">
                <c:v>0</c:v>
              </c:pt>
              <c:pt idx="81">
                <c:v>0</c:v>
              </c:pt>
              <c:pt idx="82">
                <c:v>11.955557799012459</c:v>
              </c:pt>
              <c:pt idx="83">
                <c:v>11.955557799012459</c:v>
              </c:pt>
              <c:pt idx="84">
                <c:v>0</c:v>
              </c:pt>
              <c:pt idx="85">
                <c:v>0</c:v>
              </c:pt>
              <c:pt idx="86">
                <c:v>11.955557799012459</c:v>
              </c:pt>
              <c:pt idx="87">
                <c:v>11.955557799012459</c:v>
              </c:pt>
              <c:pt idx="88">
                <c:v>0</c:v>
              </c:pt>
              <c:pt idx="89">
                <c:v>0</c:v>
              </c:pt>
              <c:pt idx="90">
                <c:v>11.955557799012459</c:v>
              </c:pt>
              <c:pt idx="91">
                <c:v>11.955557799012459</c:v>
              </c:pt>
              <c:pt idx="92">
                <c:v>0</c:v>
              </c:pt>
              <c:pt idx="95">
                <c:v>0</c:v>
              </c:pt>
              <c:pt idx="96">
                <c:v>0</c:v>
              </c:pt>
              <c:pt idx="97">
                <c:v>15.327638203862776</c:v>
              </c:pt>
              <c:pt idx="98">
                <c:v>15.327638203862776</c:v>
              </c:pt>
              <c:pt idx="99">
                <c:v>0</c:v>
              </c:pt>
              <c:pt idx="100">
                <c:v>0</c:v>
              </c:pt>
              <c:pt idx="101">
                <c:v>15.327638203862776</c:v>
              </c:pt>
              <c:pt idx="102">
                <c:v>15.327638203862776</c:v>
              </c:pt>
              <c:pt idx="103">
                <c:v>0</c:v>
              </c:pt>
              <c:pt idx="104">
                <c:v>0</c:v>
              </c:pt>
              <c:pt idx="105">
                <c:v>15.327638203862776</c:v>
              </c:pt>
              <c:pt idx="106">
                <c:v>15.327638203862776</c:v>
              </c:pt>
              <c:pt idx="107">
                <c:v>0</c:v>
              </c:pt>
              <c:pt idx="108">
                <c:v>0</c:v>
              </c:pt>
              <c:pt idx="109">
                <c:v>15.327638203862776</c:v>
              </c:pt>
              <c:pt idx="110">
                <c:v>15.327638203862776</c:v>
              </c:pt>
              <c:pt idx="111">
                <c:v>0</c:v>
              </c:pt>
              <c:pt idx="114">
                <c:v>0</c:v>
              </c:pt>
              <c:pt idx="115">
                <c:v>0</c:v>
              </c:pt>
              <c:pt idx="116">
                <c:v>15.864105540997972</c:v>
              </c:pt>
              <c:pt idx="117">
                <c:v>15.864105540997972</c:v>
              </c:pt>
              <c:pt idx="118">
                <c:v>0</c:v>
              </c:pt>
              <c:pt idx="119">
                <c:v>0</c:v>
              </c:pt>
              <c:pt idx="120">
                <c:v>15.864105540997972</c:v>
              </c:pt>
              <c:pt idx="121">
                <c:v>15.864105540997972</c:v>
              </c:pt>
              <c:pt idx="122">
                <c:v>0</c:v>
              </c:pt>
              <c:pt idx="123">
                <c:v>0</c:v>
              </c:pt>
              <c:pt idx="124">
                <c:v>15.864105540997972</c:v>
              </c:pt>
              <c:pt idx="125">
                <c:v>15.864105540997972</c:v>
              </c:pt>
              <c:pt idx="126">
                <c:v>0</c:v>
              </c:pt>
              <c:pt idx="127">
                <c:v>0</c:v>
              </c:pt>
              <c:pt idx="128">
                <c:v>15.864105540997972</c:v>
              </c:pt>
              <c:pt idx="129">
                <c:v>15.864105540997972</c:v>
              </c:pt>
              <c:pt idx="130">
                <c:v>0</c:v>
              </c:pt>
              <c:pt idx="133">
                <c:v>0</c:v>
              </c:pt>
              <c:pt idx="134">
                <c:v>0</c:v>
              </c:pt>
              <c:pt idx="135">
                <c:v>20.883907052762154</c:v>
              </c:pt>
              <c:pt idx="136">
                <c:v>20.883907052762154</c:v>
              </c:pt>
              <c:pt idx="137">
                <c:v>0</c:v>
              </c:pt>
              <c:pt idx="138">
                <c:v>0</c:v>
              </c:pt>
              <c:pt idx="139">
                <c:v>20.883907052762154</c:v>
              </c:pt>
              <c:pt idx="140">
                <c:v>20.883907052762154</c:v>
              </c:pt>
              <c:pt idx="141">
                <c:v>0</c:v>
              </c:pt>
              <c:pt idx="142">
                <c:v>0</c:v>
              </c:pt>
              <c:pt idx="143">
                <c:v>20.883907052762154</c:v>
              </c:pt>
              <c:pt idx="144">
                <c:v>20.883907052762154</c:v>
              </c:pt>
              <c:pt idx="145">
                <c:v>0</c:v>
              </c:pt>
              <c:pt idx="146">
                <c:v>0</c:v>
              </c:pt>
              <c:pt idx="147">
                <c:v>20.883907052762154</c:v>
              </c:pt>
              <c:pt idx="148">
                <c:v>20.883907052762154</c:v>
              </c:pt>
              <c:pt idx="149">
                <c:v>0</c:v>
              </c:pt>
              <c:pt idx="152">
                <c:v>0</c:v>
              </c:pt>
              <c:pt idx="153">
                <c:v>0</c:v>
              </c:pt>
              <c:pt idx="154">
                <c:v>20.155844238079556</c:v>
              </c:pt>
              <c:pt idx="155">
                <c:v>20.155844238079556</c:v>
              </c:pt>
              <c:pt idx="156">
                <c:v>0</c:v>
              </c:pt>
              <c:pt idx="157">
                <c:v>0</c:v>
              </c:pt>
              <c:pt idx="158">
                <c:v>20.155844238079556</c:v>
              </c:pt>
              <c:pt idx="159">
                <c:v>20.155844238079556</c:v>
              </c:pt>
              <c:pt idx="160">
                <c:v>0</c:v>
              </c:pt>
              <c:pt idx="161">
                <c:v>0</c:v>
              </c:pt>
              <c:pt idx="162">
                <c:v>20.155844238079556</c:v>
              </c:pt>
              <c:pt idx="163">
                <c:v>20.155844238079556</c:v>
              </c:pt>
              <c:pt idx="164">
                <c:v>0</c:v>
              </c:pt>
              <c:pt idx="165">
                <c:v>0</c:v>
              </c:pt>
              <c:pt idx="166">
                <c:v>20.155844238079556</c:v>
              </c:pt>
              <c:pt idx="167">
                <c:v>20.155844238079556</c:v>
              </c:pt>
              <c:pt idx="168">
                <c:v>0</c:v>
              </c:pt>
              <c:pt idx="171">
                <c:v>0</c:v>
              </c:pt>
              <c:pt idx="172">
                <c:v>0</c:v>
              </c:pt>
              <c:pt idx="173">
                <c:v>20.500716097666462</c:v>
              </c:pt>
              <c:pt idx="174">
                <c:v>20.500716097666462</c:v>
              </c:pt>
              <c:pt idx="175">
                <c:v>0</c:v>
              </c:pt>
              <c:pt idx="176">
                <c:v>0</c:v>
              </c:pt>
              <c:pt idx="177">
                <c:v>20.500716097666462</c:v>
              </c:pt>
              <c:pt idx="178">
                <c:v>20.500716097666462</c:v>
              </c:pt>
              <c:pt idx="179">
                <c:v>0</c:v>
              </c:pt>
              <c:pt idx="180">
                <c:v>0</c:v>
              </c:pt>
              <c:pt idx="181">
                <c:v>20.500716097666462</c:v>
              </c:pt>
              <c:pt idx="182">
                <c:v>20.500716097666462</c:v>
              </c:pt>
              <c:pt idx="183">
                <c:v>0</c:v>
              </c:pt>
              <c:pt idx="184">
                <c:v>0</c:v>
              </c:pt>
              <c:pt idx="185">
                <c:v>20.500716097666462</c:v>
              </c:pt>
              <c:pt idx="186">
                <c:v>20.500716097666462</c:v>
              </c:pt>
              <c:pt idx="187">
                <c:v>0</c:v>
              </c:pt>
              <c:pt idx="190">
                <c:v>0</c:v>
              </c:pt>
              <c:pt idx="191">
                <c:v>0</c:v>
              </c:pt>
              <c:pt idx="192">
                <c:v>22.225075395600083</c:v>
              </c:pt>
              <c:pt idx="193">
                <c:v>22.225075395600083</c:v>
              </c:pt>
              <c:pt idx="194">
                <c:v>0</c:v>
              </c:pt>
              <c:pt idx="195">
                <c:v>0</c:v>
              </c:pt>
              <c:pt idx="196">
                <c:v>22.225075395600083</c:v>
              </c:pt>
              <c:pt idx="197">
                <c:v>22.225075395600083</c:v>
              </c:pt>
              <c:pt idx="198">
                <c:v>0</c:v>
              </c:pt>
              <c:pt idx="199">
                <c:v>0</c:v>
              </c:pt>
              <c:pt idx="200">
                <c:v>22.225075395600083</c:v>
              </c:pt>
              <c:pt idx="201">
                <c:v>22.225075395600083</c:v>
              </c:pt>
              <c:pt idx="202">
                <c:v>0</c:v>
              </c:pt>
              <c:pt idx="203">
                <c:v>0</c:v>
              </c:pt>
              <c:pt idx="204">
                <c:v>22.225075395600083</c:v>
              </c:pt>
              <c:pt idx="205">
                <c:v>22.225075395600083</c:v>
              </c:pt>
              <c:pt idx="206">
                <c:v>0</c:v>
              </c:pt>
              <c:pt idx="209">
                <c:v>0</c:v>
              </c:pt>
              <c:pt idx="210">
                <c:v>0</c:v>
              </c:pt>
              <c:pt idx="211">
                <c:v>20.462397002156809</c:v>
              </c:pt>
              <c:pt idx="212">
                <c:v>20.462397002156809</c:v>
              </c:pt>
              <c:pt idx="213">
                <c:v>0</c:v>
              </c:pt>
              <c:pt idx="214">
                <c:v>0</c:v>
              </c:pt>
              <c:pt idx="215">
                <c:v>20.462397002156809</c:v>
              </c:pt>
              <c:pt idx="216">
                <c:v>20.462397002156809</c:v>
              </c:pt>
              <c:pt idx="217">
                <c:v>0</c:v>
              </c:pt>
              <c:pt idx="218">
                <c:v>0</c:v>
              </c:pt>
              <c:pt idx="219">
                <c:v>20.462397002156809</c:v>
              </c:pt>
              <c:pt idx="220">
                <c:v>20.462397002156809</c:v>
              </c:pt>
              <c:pt idx="221">
                <c:v>0</c:v>
              </c:pt>
              <c:pt idx="222">
                <c:v>0</c:v>
              </c:pt>
              <c:pt idx="223">
                <c:v>20.462397002156809</c:v>
              </c:pt>
              <c:pt idx="224">
                <c:v>20.462397002156809</c:v>
              </c:pt>
              <c:pt idx="225">
                <c:v>0</c:v>
              </c:pt>
              <c:pt idx="228">
                <c:v>0</c:v>
              </c:pt>
              <c:pt idx="229">
                <c:v>0</c:v>
              </c:pt>
              <c:pt idx="230">
                <c:v>19.887610569511956</c:v>
              </c:pt>
              <c:pt idx="231">
                <c:v>19.887610569511956</c:v>
              </c:pt>
              <c:pt idx="232">
                <c:v>0</c:v>
              </c:pt>
              <c:pt idx="233">
                <c:v>0</c:v>
              </c:pt>
              <c:pt idx="234">
                <c:v>19.887610569511956</c:v>
              </c:pt>
              <c:pt idx="235">
                <c:v>19.887610569511956</c:v>
              </c:pt>
              <c:pt idx="236">
                <c:v>0</c:v>
              </c:pt>
              <c:pt idx="237">
                <c:v>0</c:v>
              </c:pt>
              <c:pt idx="238">
                <c:v>19.887610569511956</c:v>
              </c:pt>
              <c:pt idx="239">
                <c:v>19.887610569511956</c:v>
              </c:pt>
              <c:pt idx="240">
                <c:v>0</c:v>
              </c:pt>
              <c:pt idx="241">
                <c:v>0</c:v>
              </c:pt>
              <c:pt idx="242">
                <c:v>19.887610569511956</c:v>
              </c:pt>
              <c:pt idx="243">
                <c:v>19.887610569511956</c:v>
              </c:pt>
              <c:pt idx="244">
                <c:v>0</c:v>
              </c:pt>
              <c:pt idx="247">
                <c:v>0</c:v>
              </c:pt>
              <c:pt idx="248">
                <c:v>0</c:v>
              </c:pt>
              <c:pt idx="249">
                <c:v>19.887610569511111</c:v>
              </c:pt>
              <c:pt idx="250">
                <c:v>19.887610569511111</c:v>
              </c:pt>
              <c:pt idx="251">
                <c:v>0</c:v>
              </c:pt>
              <c:pt idx="252">
                <c:v>0</c:v>
              </c:pt>
              <c:pt idx="253">
                <c:v>19.887610569511111</c:v>
              </c:pt>
              <c:pt idx="254">
                <c:v>19.887610569511111</c:v>
              </c:pt>
              <c:pt idx="255">
                <c:v>0</c:v>
              </c:pt>
              <c:pt idx="256">
                <c:v>0</c:v>
              </c:pt>
              <c:pt idx="257">
                <c:v>19.887610569511111</c:v>
              </c:pt>
              <c:pt idx="258">
                <c:v>19.887610569511111</c:v>
              </c:pt>
              <c:pt idx="259">
                <c:v>0</c:v>
              </c:pt>
              <c:pt idx="260">
                <c:v>0</c:v>
              </c:pt>
              <c:pt idx="261">
                <c:v>19.887610569511111</c:v>
              </c:pt>
              <c:pt idx="262">
                <c:v>19.887610569511111</c:v>
              </c:pt>
              <c:pt idx="263">
                <c:v>0</c:v>
              </c:pt>
              <c:pt idx="266">
                <c:v>0</c:v>
              </c:pt>
              <c:pt idx="267">
                <c:v>0</c:v>
              </c:pt>
              <c:pt idx="268">
                <c:v>19.925929665021588</c:v>
              </c:pt>
              <c:pt idx="269">
                <c:v>19.925929665021588</c:v>
              </c:pt>
              <c:pt idx="270">
                <c:v>0</c:v>
              </c:pt>
              <c:pt idx="271">
                <c:v>0</c:v>
              </c:pt>
              <c:pt idx="272">
                <c:v>19.925929665021588</c:v>
              </c:pt>
              <c:pt idx="273">
                <c:v>19.925929665021588</c:v>
              </c:pt>
              <c:pt idx="274">
                <c:v>0</c:v>
              </c:pt>
              <c:pt idx="275">
                <c:v>0</c:v>
              </c:pt>
              <c:pt idx="276">
                <c:v>19.925929665021588</c:v>
              </c:pt>
              <c:pt idx="277">
                <c:v>19.925929665021588</c:v>
              </c:pt>
              <c:pt idx="278">
                <c:v>0</c:v>
              </c:pt>
              <c:pt idx="279">
                <c:v>0</c:v>
              </c:pt>
              <c:pt idx="280">
                <c:v>19.925929665021588</c:v>
              </c:pt>
              <c:pt idx="281">
                <c:v>19.925929665021588</c:v>
              </c:pt>
              <c:pt idx="282">
                <c:v>0</c:v>
              </c:pt>
              <c:pt idx="285">
                <c:v>0</c:v>
              </c:pt>
              <c:pt idx="286">
                <c:v>0</c:v>
              </c:pt>
              <c:pt idx="287">
                <c:v>17.971655794029129</c:v>
              </c:pt>
              <c:pt idx="288">
                <c:v>17.971655794029129</c:v>
              </c:pt>
              <c:pt idx="289">
                <c:v>0</c:v>
              </c:pt>
              <c:pt idx="290">
                <c:v>0</c:v>
              </c:pt>
              <c:pt idx="291">
                <c:v>17.971655794029129</c:v>
              </c:pt>
              <c:pt idx="292">
                <c:v>17.971655794029129</c:v>
              </c:pt>
              <c:pt idx="293">
                <c:v>0</c:v>
              </c:pt>
              <c:pt idx="294">
                <c:v>0</c:v>
              </c:pt>
              <c:pt idx="295">
                <c:v>17.971655794029129</c:v>
              </c:pt>
              <c:pt idx="296">
                <c:v>17.971655794029129</c:v>
              </c:pt>
              <c:pt idx="297">
                <c:v>0</c:v>
              </c:pt>
              <c:pt idx="298">
                <c:v>0</c:v>
              </c:pt>
              <c:pt idx="299">
                <c:v>17.971655794029129</c:v>
              </c:pt>
              <c:pt idx="300">
                <c:v>17.971655794029129</c:v>
              </c:pt>
              <c:pt idx="301">
                <c:v>0</c:v>
              </c:pt>
              <c:pt idx="304">
                <c:v>0</c:v>
              </c:pt>
              <c:pt idx="305">
                <c:v>0</c:v>
              </c:pt>
              <c:pt idx="306">
                <c:v>16.285615591603502</c:v>
              </c:pt>
              <c:pt idx="307">
                <c:v>16.285615591603502</c:v>
              </c:pt>
              <c:pt idx="308">
                <c:v>0</c:v>
              </c:pt>
              <c:pt idx="309">
                <c:v>0</c:v>
              </c:pt>
              <c:pt idx="310">
                <c:v>16.285615591603502</c:v>
              </c:pt>
              <c:pt idx="311">
                <c:v>16.285615591603502</c:v>
              </c:pt>
              <c:pt idx="312">
                <c:v>0</c:v>
              </c:pt>
              <c:pt idx="313">
                <c:v>0</c:v>
              </c:pt>
              <c:pt idx="314">
                <c:v>16.285615591603502</c:v>
              </c:pt>
              <c:pt idx="315">
                <c:v>16.285615591603502</c:v>
              </c:pt>
              <c:pt idx="316">
                <c:v>0</c:v>
              </c:pt>
              <c:pt idx="317">
                <c:v>0</c:v>
              </c:pt>
              <c:pt idx="318">
                <c:v>16.285615591603502</c:v>
              </c:pt>
              <c:pt idx="319">
                <c:v>16.285615591603502</c:v>
              </c:pt>
              <c:pt idx="320">
                <c:v>0</c:v>
              </c:pt>
              <c:pt idx="323">
                <c:v>0</c:v>
              </c:pt>
              <c:pt idx="324">
                <c:v>0</c:v>
              </c:pt>
              <c:pt idx="325">
                <c:v>16.247296496094542</c:v>
              </c:pt>
              <c:pt idx="326">
                <c:v>16.247296496094542</c:v>
              </c:pt>
              <c:pt idx="327">
                <c:v>0</c:v>
              </c:pt>
              <c:pt idx="328">
                <c:v>0</c:v>
              </c:pt>
              <c:pt idx="329">
                <c:v>16.247296496094542</c:v>
              </c:pt>
              <c:pt idx="330">
                <c:v>16.247296496094542</c:v>
              </c:pt>
              <c:pt idx="331">
                <c:v>0</c:v>
              </c:pt>
              <c:pt idx="332">
                <c:v>0</c:v>
              </c:pt>
              <c:pt idx="333">
                <c:v>16.247296496094542</c:v>
              </c:pt>
              <c:pt idx="334">
                <c:v>16.247296496094542</c:v>
              </c:pt>
              <c:pt idx="335">
                <c:v>0</c:v>
              </c:pt>
              <c:pt idx="336">
                <c:v>0</c:v>
              </c:pt>
              <c:pt idx="337">
                <c:v>16.247296496094542</c:v>
              </c:pt>
              <c:pt idx="338">
                <c:v>16.247296496094542</c:v>
              </c:pt>
              <c:pt idx="339">
                <c:v>0</c:v>
              </c:pt>
              <c:pt idx="342">
                <c:v>0</c:v>
              </c:pt>
              <c:pt idx="343">
                <c:v>0</c:v>
              </c:pt>
              <c:pt idx="344">
                <c:v>15.864105540997972</c:v>
              </c:pt>
              <c:pt idx="345">
                <c:v>15.864105540997972</c:v>
              </c:pt>
              <c:pt idx="346">
                <c:v>0</c:v>
              </c:pt>
              <c:pt idx="347">
                <c:v>0</c:v>
              </c:pt>
              <c:pt idx="348">
                <c:v>15.864105540997972</c:v>
              </c:pt>
              <c:pt idx="349">
                <c:v>15.864105540997972</c:v>
              </c:pt>
              <c:pt idx="350">
                <c:v>0</c:v>
              </c:pt>
              <c:pt idx="351">
                <c:v>0</c:v>
              </c:pt>
              <c:pt idx="352">
                <c:v>15.864105540997972</c:v>
              </c:pt>
              <c:pt idx="353">
                <c:v>15.864105540997972</c:v>
              </c:pt>
              <c:pt idx="354">
                <c:v>0</c:v>
              </c:pt>
              <c:pt idx="355">
                <c:v>0</c:v>
              </c:pt>
              <c:pt idx="356">
                <c:v>15.864105540997972</c:v>
              </c:pt>
              <c:pt idx="357">
                <c:v>15.864105540997972</c:v>
              </c:pt>
              <c:pt idx="358">
                <c:v>0</c:v>
              </c:pt>
              <c:pt idx="361">
                <c:v>0</c:v>
              </c:pt>
              <c:pt idx="362">
                <c:v>0</c:v>
              </c:pt>
              <c:pt idx="363">
                <c:v>13.411683428379943</c:v>
              </c:pt>
              <c:pt idx="364">
                <c:v>13.411683428379943</c:v>
              </c:pt>
              <c:pt idx="365">
                <c:v>0</c:v>
              </c:pt>
              <c:pt idx="366">
                <c:v>0</c:v>
              </c:pt>
              <c:pt idx="367">
                <c:v>13.411683428379943</c:v>
              </c:pt>
              <c:pt idx="368">
                <c:v>13.411683428379943</c:v>
              </c:pt>
              <c:pt idx="369">
                <c:v>0</c:v>
              </c:pt>
              <c:pt idx="370">
                <c:v>0</c:v>
              </c:pt>
              <c:pt idx="371">
                <c:v>13.411683428379943</c:v>
              </c:pt>
              <c:pt idx="372">
                <c:v>13.411683428379943</c:v>
              </c:pt>
              <c:pt idx="373">
                <c:v>0</c:v>
              </c:pt>
              <c:pt idx="374">
                <c:v>0</c:v>
              </c:pt>
              <c:pt idx="375">
                <c:v>13.411683428379943</c:v>
              </c:pt>
              <c:pt idx="376">
                <c:v>13.411683428379943</c:v>
              </c:pt>
              <c:pt idx="377">
                <c:v>0</c:v>
              </c:pt>
              <c:pt idx="380">
                <c:v>0</c:v>
              </c:pt>
              <c:pt idx="381">
                <c:v>0</c:v>
              </c:pt>
              <c:pt idx="382">
                <c:v>12.530344231657269</c:v>
              </c:pt>
              <c:pt idx="383">
                <c:v>12.530344231657269</c:v>
              </c:pt>
              <c:pt idx="384">
                <c:v>0</c:v>
              </c:pt>
              <c:pt idx="385">
                <c:v>0</c:v>
              </c:pt>
              <c:pt idx="386">
                <c:v>12.530344231657269</c:v>
              </c:pt>
              <c:pt idx="387">
                <c:v>12.530344231657269</c:v>
              </c:pt>
              <c:pt idx="388">
                <c:v>0</c:v>
              </c:pt>
              <c:pt idx="389">
                <c:v>0</c:v>
              </c:pt>
              <c:pt idx="390">
                <c:v>12.530344231657269</c:v>
              </c:pt>
              <c:pt idx="391">
                <c:v>12.530344231657269</c:v>
              </c:pt>
              <c:pt idx="392">
                <c:v>0</c:v>
              </c:pt>
              <c:pt idx="393">
                <c:v>0</c:v>
              </c:pt>
              <c:pt idx="394">
                <c:v>12.530344231657269</c:v>
              </c:pt>
              <c:pt idx="395">
                <c:v>12.530344231657269</c:v>
              </c:pt>
              <c:pt idx="396">
                <c:v>0</c:v>
              </c:pt>
              <c:pt idx="399">
                <c:v>0</c:v>
              </c:pt>
              <c:pt idx="400">
                <c:v>0</c:v>
              </c:pt>
              <c:pt idx="401">
                <c:v>10.537751265155691</c:v>
              </c:pt>
              <c:pt idx="402">
                <c:v>10.537751265155691</c:v>
              </c:pt>
              <c:pt idx="403">
                <c:v>0</c:v>
              </c:pt>
              <c:pt idx="404">
                <c:v>0</c:v>
              </c:pt>
              <c:pt idx="405">
                <c:v>10.537751265155691</c:v>
              </c:pt>
              <c:pt idx="406">
                <c:v>10.537751265155691</c:v>
              </c:pt>
              <c:pt idx="407">
                <c:v>0</c:v>
              </c:pt>
              <c:pt idx="408">
                <c:v>0</c:v>
              </c:pt>
              <c:pt idx="409">
                <c:v>10.537751265155691</c:v>
              </c:pt>
              <c:pt idx="410">
                <c:v>10.537751265155691</c:v>
              </c:pt>
              <c:pt idx="411">
                <c:v>0</c:v>
              </c:pt>
              <c:pt idx="412">
                <c:v>0</c:v>
              </c:pt>
              <c:pt idx="413">
                <c:v>10.537751265155691</c:v>
              </c:pt>
              <c:pt idx="414">
                <c:v>10.537751265155691</c:v>
              </c:pt>
              <c:pt idx="415">
                <c:v>0</c:v>
              </c:pt>
              <c:pt idx="418">
                <c:v>0</c:v>
              </c:pt>
              <c:pt idx="419">
                <c:v>0</c:v>
              </c:pt>
              <c:pt idx="420">
                <c:v>10.154560310059079</c:v>
              </c:pt>
              <c:pt idx="421">
                <c:v>10.154560310059079</c:v>
              </c:pt>
              <c:pt idx="422">
                <c:v>0</c:v>
              </c:pt>
              <c:pt idx="423">
                <c:v>0</c:v>
              </c:pt>
              <c:pt idx="424">
                <c:v>10.154560310059079</c:v>
              </c:pt>
              <c:pt idx="425">
                <c:v>10.154560310059079</c:v>
              </c:pt>
              <c:pt idx="426">
                <c:v>0</c:v>
              </c:pt>
              <c:pt idx="427">
                <c:v>0</c:v>
              </c:pt>
              <c:pt idx="428">
                <c:v>10.154560310059079</c:v>
              </c:pt>
              <c:pt idx="429">
                <c:v>10.154560310059079</c:v>
              </c:pt>
              <c:pt idx="430">
                <c:v>0</c:v>
              </c:pt>
              <c:pt idx="431">
                <c:v>0</c:v>
              </c:pt>
              <c:pt idx="432">
                <c:v>10.154560310059079</c:v>
              </c:pt>
              <c:pt idx="433">
                <c:v>10.154560310059079</c:v>
              </c:pt>
              <c:pt idx="434">
                <c:v>0</c:v>
              </c:pt>
              <c:pt idx="437">
                <c:v>0</c:v>
              </c:pt>
              <c:pt idx="438">
                <c:v>0</c:v>
              </c:pt>
              <c:pt idx="439">
                <c:v>9.3498593043558884</c:v>
              </c:pt>
              <c:pt idx="440">
                <c:v>9.3498593043558884</c:v>
              </c:pt>
              <c:pt idx="441">
                <c:v>0</c:v>
              </c:pt>
              <c:pt idx="442">
                <c:v>0</c:v>
              </c:pt>
              <c:pt idx="443">
                <c:v>9.3498593043558884</c:v>
              </c:pt>
              <c:pt idx="444">
                <c:v>9.3498593043558884</c:v>
              </c:pt>
              <c:pt idx="445">
                <c:v>0</c:v>
              </c:pt>
              <c:pt idx="446">
                <c:v>0</c:v>
              </c:pt>
              <c:pt idx="447">
                <c:v>9.3498593043558884</c:v>
              </c:pt>
              <c:pt idx="448">
                <c:v>9.3498593043558884</c:v>
              </c:pt>
              <c:pt idx="449">
                <c:v>0</c:v>
              </c:pt>
              <c:pt idx="450">
                <c:v>0</c:v>
              </c:pt>
              <c:pt idx="451">
                <c:v>9.3498593043558884</c:v>
              </c:pt>
              <c:pt idx="452">
                <c:v>9.3498593043558884</c:v>
              </c:pt>
              <c:pt idx="453">
                <c:v>0</c:v>
              </c:pt>
              <c:pt idx="456">
                <c:v>0</c:v>
              </c:pt>
              <c:pt idx="457">
                <c:v>0</c:v>
              </c:pt>
              <c:pt idx="458">
                <c:v>7.702138197441049</c:v>
              </c:pt>
              <c:pt idx="459">
                <c:v>7.702138197441049</c:v>
              </c:pt>
              <c:pt idx="460">
                <c:v>0</c:v>
              </c:pt>
              <c:pt idx="461">
                <c:v>0</c:v>
              </c:pt>
              <c:pt idx="462">
                <c:v>7.702138197441049</c:v>
              </c:pt>
              <c:pt idx="463">
                <c:v>7.702138197441049</c:v>
              </c:pt>
              <c:pt idx="464">
                <c:v>0</c:v>
              </c:pt>
              <c:pt idx="465">
                <c:v>0</c:v>
              </c:pt>
              <c:pt idx="466">
                <c:v>7.702138197441049</c:v>
              </c:pt>
              <c:pt idx="467">
                <c:v>7.702138197441049</c:v>
              </c:pt>
              <c:pt idx="468">
                <c:v>0</c:v>
              </c:pt>
              <c:pt idx="469">
                <c:v>0</c:v>
              </c:pt>
              <c:pt idx="470">
                <c:v>7.702138197441049</c:v>
              </c:pt>
              <c:pt idx="471">
                <c:v>7.702138197441049</c:v>
              </c:pt>
              <c:pt idx="472">
                <c:v>0</c:v>
              </c:pt>
              <c:pt idx="475">
                <c:v>0</c:v>
              </c:pt>
              <c:pt idx="476">
                <c:v>0</c:v>
              </c:pt>
              <c:pt idx="477">
                <c:v>6.0160979950161586</c:v>
              </c:pt>
              <c:pt idx="478">
                <c:v>6.0160979950161586</c:v>
              </c:pt>
              <c:pt idx="479">
                <c:v>0</c:v>
              </c:pt>
              <c:pt idx="480">
                <c:v>0</c:v>
              </c:pt>
              <c:pt idx="481">
                <c:v>6.0160979950161586</c:v>
              </c:pt>
              <c:pt idx="482">
                <c:v>6.0160979950161586</c:v>
              </c:pt>
              <c:pt idx="483">
                <c:v>0</c:v>
              </c:pt>
              <c:pt idx="484">
                <c:v>0</c:v>
              </c:pt>
              <c:pt idx="485">
                <c:v>6.0160979950161586</c:v>
              </c:pt>
              <c:pt idx="486">
                <c:v>6.0160979950161586</c:v>
              </c:pt>
              <c:pt idx="487">
                <c:v>0</c:v>
              </c:pt>
              <c:pt idx="488">
                <c:v>0</c:v>
              </c:pt>
              <c:pt idx="489">
                <c:v>6.0160979950161586</c:v>
              </c:pt>
              <c:pt idx="490">
                <c:v>6.0160979950161586</c:v>
              </c:pt>
              <c:pt idx="491">
                <c:v>0</c:v>
              </c:pt>
              <c:pt idx="494">
                <c:v>0</c:v>
              </c:pt>
              <c:pt idx="495">
                <c:v>0</c:v>
              </c:pt>
              <c:pt idx="496">
                <c:v>6.3609698546027627</c:v>
              </c:pt>
              <c:pt idx="497">
                <c:v>6.3609698546027627</c:v>
              </c:pt>
              <c:pt idx="498">
                <c:v>0</c:v>
              </c:pt>
              <c:pt idx="499">
                <c:v>0</c:v>
              </c:pt>
              <c:pt idx="500">
                <c:v>6.3609698546027627</c:v>
              </c:pt>
              <c:pt idx="501">
                <c:v>6.3609698546027627</c:v>
              </c:pt>
              <c:pt idx="502">
                <c:v>0</c:v>
              </c:pt>
              <c:pt idx="503">
                <c:v>0</c:v>
              </c:pt>
              <c:pt idx="504">
                <c:v>6.3609698546027627</c:v>
              </c:pt>
              <c:pt idx="505">
                <c:v>6.3609698546027627</c:v>
              </c:pt>
              <c:pt idx="506">
                <c:v>0</c:v>
              </c:pt>
              <c:pt idx="507">
                <c:v>0</c:v>
              </c:pt>
              <c:pt idx="508">
                <c:v>6.3609698546027627</c:v>
              </c:pt>
              <c:pt idx="509">
                <c:v>6.3609698546027627</c:v>
              </c:pt>
              <c:pt idx="510">
                <c:v>0</c:v>
              </c:pt>
              <c:pt idx="513">
                <c:v>0</c:v>
              </c:pt>
              <c:pt idx="514">
                <c:v>0</c:v>
              </c:pt>
              <c:pt idx="515">
                <c:v>4.5599723656491848</c:v>
              </c:pt>
              <c:pt idx="516">
                <c:v>4.5599723656491848</c:v>
              </c:pt>
              <c:pt idx="517">
                <c:v>0</c:v>
              </c:pt>
              <c:pt idx="518">
                <c:v>0</c:v>
              </c:pt>
              <c:pt idx="519">
                <c:v>4.5599723656491848</c:v>
              </c:pt>
              <c:pt idx="520">
                <c:v>4.5599723656491848</c:v>
              </c:pt>
              <c:pt idx="521">
                <c:v>0</c:v>
              </c:pt>
              <c:pt idx="522">
                <c:v>0</c:v>
              </c:pt>
              <c:pt idx="523">
                <c:v>4.5599723656491848</c:v>
              </c:pt>
              <c:pt idx="524">
                <c:v>4.5599723656491848</c:v>
              </c:pt>
              <c:pt idx="525">
                <c:v>0</c:v>
              </c:pt>
              <c:pt idx="526">
                <c:v>0</c:v>
              </c:pt>
              <c:pt idx="527">
                <c:v>4.5599723656491848</c:v>
              </c:pt>
              <c:pt idx="528">
                <c:v>4.5599723656491848</c:v>
              </c:pt>
              <c:pt idx="529">
                <c:v>0</c:v>
              </c:pt>
              <c:pt idx="532">
                <c:v>0</c:v>
              </c:pt>
              <c:pt idx="533">
                <c:v>0</c:v>
              </c:pt>
              <c:pt idx="534">
                <c:v>4.1001432195333098</c:v>
              </c:pt>
              <c:pt idx="535">
                <c:v>4.1001432195333098</c:v>
              </c:pt>
              <c:pt idx="536">
                <c:v>0</c:v>
              </c:pt>
              <c:pt idx="537">
                <c:v>0</c:v>
              </c:pt>
              <c:pt idx="538">
                <c:v>4.1001432195333098</c:v>
              </c:pt>
              <c:pt idx="539">
                <c:v>4.1001432195333098</c:v>
              </c:pt>
              <c:pt idx="540">
                <c:v>0</c:v>
              </c:pt>
              <c:pt idx="541">
                <c:v>0</c:v>
              </c:pt>
              <c:pt idx="542">
                <c:v>4.1001432195333098</c:v>
              </c:pt>
              <c:pt idx="543">
                <c:v>4.1001432195333098</c:v>
              </c:pt>
              <c:pt idx="544">
                <c:v>0</c:v>
              </c:pt>
              <c:pt idx="545">
                <c:v>0</c:v>
              </c:pt>
              <c:pt idx="546">
                <c:v>4.1001432195333098</c:v>
              </c:pt>
              <c:pt idx="547">
                <c:v>4.1001432195333098</c:v>
              </c:pt>
              <c:pt idx="548">
                <c:v>0</c:v>
              </c:pt>
              <c:pt idx="551">
                <c:v>0</c:v>
              </c:pt>
              <c:pt idx="552">
                <c:v>0</c:v>
              </c:pt>
              <c:pt idx="553">
                <c:v>3.0272085452627344</c:v>
              </c:pt>
              <c:pt idx="554">
                <c:v>3.0272085452627344</c:v>
              </c:pt>
              <c:pt idx="555">
                <c:v>0</c:v>
              </c:pt>
              <c:pt idx="556">
                <c:v>0</c:v>
              </c:pt>
              <c:pt idx="557">
                <c:v>3.0272085452627344</c:v>
              </c:pt>
              <c:pt idx="558">
                <c:v>3.0272085452627344</c:v>
              </c:pt>
              <c:pt idx="559">
                <c:v>0</c:v>
              </c:pt>
              <c:pt idx="560">
                <c:v>0</c:v>
              </c:pt>
              <c:pt idx="561">
                <c:v>3.0272085452627344</c:v>
              </c:pt>
              <c:pt idx="562">
                <c:v>3.0272085452627344</c:v>
              </c:pt>
              <c:pt idx="563">
                <c:v>0</c:v>
              </c:pt>
              <c:pt idx="564">
                <c:v>0</c:v>
              </c:pt>
              <c:pt idx="565">
                <c:v>3.0272085452627344</c:v>
              </c:pt>
              <c:pt idx="566">
                <c:v>3.0272085452627344</c:v>
              </c:pt>
              <c:pt idx="567">
                <c:v>0</c:v>
              </c:pt>
              <c:pt idx="570">
                <c:v>0</c:v>
              </c:pt>
              <c:pt idx="571">
                <c:v>0</c:v>
              </c:pt>
              <c:pt idx="572">
                <c:v>2.0692311575215023</c:v>
              </c:pt>
              <c:pt idx="573">
                <c:v>2.0692311575215023</c:v>
              </c:pt>
              <c:pt idx="574">
                <c:v>0</c:v>
              </c:pt>
              <c:pt idx="575">
                <c:v>0</c:v>
              </c:pt>
              <c:pt idx="576">
                <c:v>2.0692311575215023</c:v>
              </c:pt>
              <c:pt idx="577">
                <c:v>2.0692311575215023</c:v>
              </c:pt>
              <c:pt idx="578">
                <c:v>0</c:v>
              </c:pt>
              <c:pt idx="579">
                <c:v>0</c:v>
              </c:pt>
              <c:pt idx="580">
                <c:v>2.0692311575215023</c:v>
              </c:pt>
              <c:pt idx="581">
                <c:v>2.0692311575215023</c:v>
              </c:pt>
              <c:pt idx="582">
                <c:v>0</c:v>
              </c:pt>
              <c:pt idx="583">
                <c:v>0</c:v>
              </c:pt>
              <c:pt idx="584">
                <c:v>2.0692311575215023</c:v>
              </c:pt>
              <c:pt idx="585">
                <c:v>2.0692311575215023</c:v>
              </c:pt>
              <c:pt idx="586">
                <c:v>0</c:v>
              </c:pt>
              <c:pt idx="589">
                <c:v>0</c:v>
              </c:pt>
              <c:pt idx="590">
                <c:v>0</c:v>
              </c:pt>
              <c:pt idx="591">
                <c:v>2.299145730579419</c:v>
              </c:pt>
              <c:pt idx="592">
                <c:v>2.299145730579419</c:v>
              </c:pt>
              <c:pt idx="593">
                <c:v>0</c:v>
              </c:pt>
              <c:pt idx="594">
                <c:v>0</c:v>
              </c:pt>
              <c:pt idx="595">
                <c:v>2.299145730579419</c:v>
              </c:pt>
              <c:pt idx="596">
                <c:v>2.299145730579419</c:v>
              </c:pt>
              <c:pt idx="597">
                <c:v>0</c:v>
              </c:pt>
              <c:pt idx="598">
                <c:v>0</c:v>
              </c:pt>
              <c:pt idx="599">
                <c:v>2.299145730579419</c:v>
              </c:pt>
              <c:pt idx="600">
                <c:v>2.299145730579419</c:v>
              </c:pt>
              <c:pt idx="601">
                <c:v>0</c:v>
              </c:pt>
              <c:pt idx="602">
                <c:v>0</c:v>
              </c:pt>
              <c:pt idx="603">
                <c:v>2.299145730579419</c:v>
              </c:pt>
              <c:pt idx="604">
                <c:v>2.299145730579419</c:v>
              </c:pt>
              <c:pt idx="605">
                <c:v>0</c:v>
              </c:pt>
              <c:pt idx="608">
                <c:v>0</c:v>
              </c:pt>
              <c:pt idx="609">
                <c:v>0</c:v>
              </c:pt>
              <c:pt idx="610">
                <c:v>1.571082915895865</c:v>
              </c:pt>
              <c:pt idx="611">
                <c:v>1.571082915895865</c:v>
              </c:pt>
              <c:pt idx="612">
                <c:v>0</c:v>
              </c:pt>
              <c:pt idx="613">
                <c:v>0</c:v>
              </c:pt>
              <c:pt idx="614">
                <c:v>1.571082915895865</c:v>
              </c:pt>
              <c:pt idx="615">
                <c:v>1.571082915895865</c:v>
              </c:pt>
              <c:pt idx="616">
                <c:v>0</c:v>
              </c:pt>
              <c:pt idx="617">
                <c:v>0</c:v>
              </c:pt>
              <c:pt idx="618">
                <c:v>1.571082915895865</c:v>
              </c:pt>
              <c:pt idx="619">
                <c:v>1.571082915895865</c:v>
              </c:pt>
              <c:pt idx="620">
                <c:v>0</c:v>
              </c:pt>
              <c:pt idx="621">
                <c:v>0</c:v>
              </c:pt>
              <c:pt idx="622">
                <c:v>1.571082915895865</c:v>
              </c:pt>
              <c:pt idx="623">
                <c:v>1.571082915895865</c:v>
              </c:pt>
              <c:pt idx="624">
                <c:v>0</c:v>
              </c:pt>
              <c:pt idx="627">
                <c:v>0</c:v>
              </c:pt>
              <c:pt idx="628">
                <c:v>0</c:v>
              </c:pt>
              <c:pt idx="629">
                <c:v>0.99629648325105591</c:v>
              </c:pt>
              <c:pt idx="630">
                <c:v>0.99629648325105591</c:v>
              </c:pt>
              <c:pt idx="631">
                <c:v>0</c:v>
              </c:pt>
              <c:pt idx="632">
                <c:v>0</c:v>
              </c:pt>
              <c:pt idx="633">
                <c:v>0.99629648325105591</c:v>
              </c:pt>
              <c:pt idx="634">
                <c:v>0.99629648325105591</c:v>
              </c:pt>
              <c:pt idx="635">
                <c:v>0</c:v>
              </c:pt>
              <c:pt idx="636">
                <c:v>0</c:v>
              </c:pt>
              <c:pt idx="637">
                <c:v>0.99629648325105591</c:v>
              </c:pt>
              <c:pt idx="638">
                <c:v>0.99629648325105591</c:v>
              </c:pt>
              <c:pt idx="639">
                <c:v>0</c:v>
              </c:pt>
              <c:pt idx="640">
                <c:v>0</c:v>
              </c:pt>
              <c:pt idx="641">
                <c:v>0.99629648325105591</c:v>
              </c:pt>
              <c:pt idx="642">
                <c:v>0.99629648325105591</c:v>
              </c:pt>
              <c:pt idx="643">
                <c:v>0</c:v>
              </c:pt>
              <c:pt idx="646">
                <c:v>0</c:v>
              </c:pt>
              <c:pt idx="647">
                <c:v>0</c:v>
              </c:pt>
              <c:pt idx="648">
                <c:v>0.80470100570283487</c:v>
              </c:pt>
              <c:pt idx="649">
                <c:v>0.80470100570283487</c:v>
              </c:pt>
              <c:pt idx="650">
                <c:v>0</c:v>
              </c:pt>
              <c:pt idx="651">
                <c:v>0</c:v>
              </c:pt>
              <c:pt idx="652">
                <c:v>0.80470100570283487</c:v>
              </c:pt>
              <c:pt idx="653">
                <c:v>0.80470100570283487</c:v>
              </c:pt>
              <c:pt idx="654">
                <c:v>0</c:v>
              </c:pt>
              <c:pt idx="655">
                <c:v>0</c:v>
              </c:pt>
              <c:pt idx="656">
                <c:v>0.80470100570283487</c:v>
              </c:pt>
              <c:pt idx="657">
                <c:v>0.80470100570283487</c:v>
              </c:pt>
              <c:pt idx="658">
                <c:v>0</c:v>
              </c:pt>
              <c:pt idx="659">
                <c:v>0</c:v>
              </c:pt>
              <c:pt idx="660">
                <c:v>0.80470100570283487</c:v>
              </c:pt>
              <c:pt idx="661">
                <c:v>0.80470100570283487</c:v>
              </c:pt>
              <c:pt idx="662">
                <c:v>0</c:v>
              </c:pt>
              <c:pt idx="665">
                <c:v>0</c:v>
              </c:pt>
              <c:pt idx="666">
                <c:v>0</c:v>
              </c:pt>
              <c:pt idx="667">
                <c:v>0.34487185958685984</c:v>
              </c:pt>
              <c:pt idx="668">
                <c:v>0.34487185958685984</c:v>
              </c:pt>
              <c:pt idx="669">
                <c:v>0</c:v>
              </c:pt>
              <c:pt idx="670">
                <c:v>0</c:v>
              </c:pt>
              <c:pt idx="671">
                <c:v>0.34487185958685984</c:v>
              </c:pt>
              <c:pt idx="672">
                <c:v>0.34487185958685984</c:v>
              </c:pt>
              <c:pt idx="673">
                <c:v>0</c:v>
              </c:pt>
              <c:pt idx="674">
                <c:v>0</c:v>
              </c:pt>
              <c:pt idx="675">
                <c:v>0.34487185958685984</c:v>
              </c:pt>
              <c:pt idx="676">
                <c:v>0.34487185958685984</c:v>
              </c:pt>
              <c:pt idx="677">
                <c:v>0</c:v>
              </c:pt>
              <c:pt idx="678">
                <c:v>0</c:v>
              </c:pt>
              <c:pt idx="679">
                <c:v>0.34487185958685984</c:v>
              </c:pt>
              <c:pt idx="680">
                <c:v>0.34487185958685984</c:v>
              </c:pt>
              <c:pt idx="681">
                <c:v>0</c:v>
              </c:pt>
              <c:pt idx="684">
                <c:v>0</c:v>
              </c:pt>
              <c:pt idx="685">
                <c:v>0</c:v>
              </c:pt>
              <c:pt idx="686">
                <c:v>0.19159547754830616</c:v>
              </c:pt>
              <c:pt idx="687">
                <c:v>0.19159547754830616</c:v>
              </c:pt>
              <c:pt idx="688">
                <c:v>0</c:v>
              </c:pt>
              <c:pt idx="689">
                <c:v>0</c:v>
              </c:pt>
              <c:pt idx="690">
                <c:v>0.19159547754830616</c:v>
              </c:pt>
              <c:pt idx="691">
                <c:v>0.19159547754830616</c:v>
              </c:pt>
              <c:pt idx="692">
                <c:v>0</c:v>
              </c:pt>
              <c:pt idx="693">
                <c:v>0</c:v>
              </c:pt>
              <c:pt idx="694">
                <c:v>0.19159547754830616</c:v>
              </c:pt>
              <c:pt idx="695">
                <c:v>0.19159547754830616</c:v>
              </c:pt>
              <c:pt idx="696">
                <c:v>0</c:v>
              </c:pt>
              <c:pt idx="697">
                <c:v>0</c:v>
              </c:pt>
              <c:pt idx="698">
                <c:v>0.19159547754830616</c:v>
              </c:pt>
              <c:pt idx="699">
                <c:v>0.19159547754830616</c:v>
              </c:pt>
              <c:pt idx="700">
                <c:v>0</c:v>
              </c:pt>
              <c:pt idx="703">
                <c:v>0</c:v>
              </c:pt>
              <c:pt idx="704">
                <c:v>0</c:v>
              </c:pt>
              <c:pt idx="705">
                <c:v>0.15327638203861091</c:v>
              </c:pt>
              <c:pt idx="706">
                <c:v>0.15327638203861091</c:v>
              </c:pt>
              <c:pt idx="707">
                <c:v>0</c:v>
              </c:pt>
              <c:pt idx="708">
                <c:v>0</c:v>
              </c:pt>
              <c:pt idx="709">
                <c:v>0.15327638203861091</c:v>
              </c:pt>
              <c:pt idx="710">
                <c:v>0.15327638203861091</c:v>
              </c:pt>
              <c:pt idx="711">
                <c:v>0</c:v>
              </c:pt>
              <c:pt idx="712">
                <c:v>0</c:v>
              </c:pt>
              <c:pt idx="713">
                <c:v>0.15327638203861091</c:v>
              </c:pt>
              <c:pt idx="714">
                <c:v>0.15327638203861091</c:v>
              </c:pt>
              <c:pt idx="715">
                <c:v>0</c:v>
              </c:pt>
              <c:pt idx="716">
                <c:v>0</c:v>
              </c:pt>
              <c:pt idx="717">
                <c:v>0.15327638203861091</c:v>
              </c:pt>
              <c:pt idx="718">
                <c:v>0.15327638203861091</c:v>
              </c:pt>
              <c:pt idx="719">
                <c:v>0</c:v>
              </c:pt>
              <c:pt idx="722">
                <c:v>0</c:v>
              </c:pt>
              <c:pt idx="723">
                <c:v>0</c:v>
              </c:pt>
              <c:pt idx="724">
                <c:v>0.15327638203864694</c:v>
              </c:pt>
              <c:pt idx="725">
                <c:v>0.15327638203864694</c:v>
              </c:pt>
              <c:pt idx="726">
                <c:v>0</c:v>
              </c:pt>
              <c:pt idx="727">
                <c:v>0</c:v>
              </c:pt>
              <c:pt idx="728">
                <c:v>0.15327638203864694</c:v>
              </c:pt>
              <c:pt idx="729">
                <c:v>0.15327638203864694</c:v>
              </c:pt>
              <c:pt idx="730">
                <c:v>0</c:v>
              </c:pt>
              <c:pt idx="731">
                <c:v>0</c:v>
              </c:pt>
              <c:pt idx="732">
                <c:v>0.15327638203864694</c:v>
              </c:pt>
              <c:pt idx="733">
                <c:v>0.15327638203864694</c:v>
              </c:pt>
              <c:pt idx="734">
                <c:v>0</c:v>
              </c:pt>
              <c:pt idx="735">
                <c:v>0</c:v>
              </c:pt>
              <c:pt idx="736">
                <c:v>0.15327638203864694</c:v>
              </c:pt>
              <c:pt idx="737">
                <c:v>0.15327638203864694</c:v>
              </c:pt>
              <c:pt idx="738">
                <c:v>0</c:v>
              </c:pt>
              <c:pt idx="741">
                <c:v>0</c:v>
              </c:pt>
              <c:pt idx="742">
                <c:v>0</c:v>
              </c:pt>
              <c:pt idx="743">
                <c:v>0.11495728652895817</c:v>
              </c:pt>
              <c:pt idx="744">
                <c:v>0.11495728652895817</c:v>
              </c:pt>
              <c:pt idx="745">
                <c:v>0</c:v>
              </c:pt>
              <c:pt idx="746">
                <c:v>0</c:v>
              </c:pt>
              <c:pt idx="747">
                <c:v>0.11495728652895817</c:v>
              </c:pt>
              <c:pt idx="748">
                <c:v>0.11495728652895817</c:v>
              </c:pt>
              <c:pt idx="749">
                <c:v>0</c:v>
              </c:pt>
              <c:pt idx="750">
                <c:v>0</c:v>
              </c:pt>
              <c:pt idx="751">
                <c:v>0.11495728652895817</c:v>
              </c:pt>
              <c:pt idx="752">
                <c:v>0.11495728652895817</c:v>
              </c:pt>
              <c:pt idx="753">
                <c:v>0</c:v>
              </c:pt>
              <c:pt idx="754">
                <c:v>0</c:v>
              </c:pt>
              <c:pt idx="755">
                <c:v>0.11495728652895817</c:v>
              </c:pt>
              <c:pt idx="756">
                <c:v>0.11495728652895817</c:v>
              </c:pt>
              <c:pt idx="757">
                <c:v>0</c:v>
              </c:pt>
            </c:numLit>
          </c:yVal>
          <c:smooth val="0"/>
          <c:extLst>
            <c:ext xmlns:c16="http://schemas.microsoft.com/office/drawing/2014/chart" uri="{C3380CC4-5D6E-409C-BE32-E72D297353CC}">
              <c16:uniqueId val="{00000000-06D5-4630-B6B0-55E0FC2E45A7}"/>
            </c:ext>
          </c:extLst>
        </c:ser>
        <c:ser>
          <c:idx val="1"/>
          <c:order val="1"/>
          <c:tx>
            <c:v>Outline</c:v>
          </c:tx>
          <c:spPr>
            <a:ln w="38100" cap="rnd" cmpd="sng" algn="ctr">
              <a:solidFill>
                <a:srgbClr val="000000">
                  <a:alpha val="20000"/>
                </a:srgbClr>
              </a:solidFill>
              <a:prstDash val="solid"/>
              <a:round/>
              <a:headEnd type="none" w="med" len="med"/>
              <a:tailEnd type="none" w="med" len="med"/>
            </a:ln>
          </c:spPr>
          <c:marker>
            <c:symbol val="none"/>
          </c:marker>
          <c:xVal>
            <c:numLit>
              <c:formatCode>General</c:formatCode>
              <c:ptCount val="125"/>
              <c:pt idx="0">
                <c:v>0.7396215447693284</c:v>
              </c:pt>
              <c:pt idx="1">
                <c:v>0.7396215447693284</c:v>
              </c:pt>
              <c:pt idx="2">
                <c:v>0.7396215447693284</c:v>
              </c:pt>
              <c:pt idx="3">
                <c:v>0.74223120970713463</c:v>
              </c:pt>
              <c:pt idx="4">
                <c:v>0.74223120970713463</c:v>
              </c:pt>
              <c:pt idx="5">
                <c:v>0.74223120970713463</c:v>
              </c:pt>
              <c:pt idx="6">
                <c:v>0.74484087464494098</c:v>
              </c:pt>
              <c:pt idx="7">
                <c:v>0.74484087464494098</c:v>
              </c:pt>
              <c:pt idx="8">
                <c:v>0.74484087464494098</c:v>
              </c:pt>
              <c:pt idx="9">
                <c:v>0.74745053958274721</c:v>
              </c:pt>
              <c:pt idx="10">
                <c:v>0.74745053958274721</c:v>
              </c:pt>
              <c:pt idx="11">
                <c:v>0.74745053958274721</c:v>
              </c:pt>
              <c:pt idx="12">
                <c:v>0.75006020452055344</c:v>
              </c:pt>
              <c:pt idx="13">
                <c:v>0.75006020452055344</c:v>
              </c:pt>
              <c:pt idx="14">
                <c:v>0.75006020452055344</c:v>
              </c:pt>
              <c:pt idx="15">
                <c:v>0.75266986945835979</c:v>
              </c:pt>
              <c:pt idx="16">
                <c:v>0.75266986945835979</c:v>
              </c:pt>
              <c:pt idx="17">
                <c:v>0.75266986945835979</c:v>
              </c:pt>
              <c:pt idx="18">
                <c:v>0.75527953439616602</c:v>
              </c:pt>
              <c:pt idx="19">
                <c:v>0.75527953439616602</c:v>
              </c:pt>
              <c:pt idx="20">
                <c:v>0.75527953439616602</c:v>
              </c:pt>
              <c:pt idx="21">
                <c:v>0.75788919933397225</c:v>
              </c:pt>
              <c:pt idx="22">
                <c:v>0.75788919933397225</c:v>
              </c:pt>
              <c:pt idx="23">
                <c:v>0.75788919933397225</c:v>
              </c:pt>
              <c:pt idx="24">
                <c:v>0.7604988642717786</c:v>
              </c:pt>
              <c:pt idx="25">
                <c:v>0.7604988642717786</c:v>
              </c:pt>
              <c:pt idx="26">
                <c:v>0.7604988642717786</c:v>
              </c:pt>
              <c:pt idx="27">
                <c:v>0.76310852920958483</c:v>
              </c:pt>
              <c:pt idx="28">
                <c:v>0.76310852920958483</c:v>
              </c:pt>
              <c:pt idx="29">
                <c:v>0.76310852920958483</c:v>
              </c:pt>
              <c:pt idx="30">
                <c:v>0.76571819414739106</c:v>
              </c:pt>
              <c:pt idx="31">
                <c:v>0.76571819414739106</c:v>
              </c:pt>
              <c:pt idx="32">
                <c:v>0.76571819414739106</c:v>
              </c:pt>
              <c:pt idx="33">
                <c:v>0.76832785908519741</c:v>
              </c:pt>
              <c:pt idx="34">
                <c:v>0.76832785908519741</c:v>
              </c:pt>
              <c:pt idx="35">
                <c:v>0.76832785908519741</c:v>
              </c:pt>
              <c:pt idx="36">
                <c:v>0.77093752402300364</c:v>
              </c:pt>
              <c:pt idx="37">
                <c:v>0.77093752402300364</c:v>
              </c:pt>
              <c:pt idx="38">
                <c:v>0.77093752402300364</c:v>
              </c:pt>
              <c:pt idx="39">
                <c:v>0.77354718896080987</c:v>
              </c:pt>
              <c:pt idx="40">
                <c:v>0.77354718896080987</c:v>
              </c:pt>
              <c:pt idx="41">
                <c:v>0.77354718896080987</c:v>
              </c:pt>
              <c:pt idx="42">
                <c:v>0.77615685389861622</c:v>
              </c:pt>
              <c:pt idx="43">
                <c:v>0.77615685389861622</c:v>
              </c:pt>
              <c:pt idx="44">
                <c:v>0.77615685389861622</c:v>
              </c:pt>
              <c:pt idx="45">
                <c:v>0.77876651883642245</c:v>
              </c:pt>
              <c:pt idx="46">
                <c:v>0.77876651883642245</c:v>
              </c:pt>
              <c:pt idx="47">
                <c:v>0.77876651883642245</c:v>
              </c:pt>
              <c:pt idx="48">
                <c:v>0.78137618377422868</c:v>
              </c:pt>
              <c:pt idx="49">
                <c:v>0.78137618377422868</c:v>
              </c:pt>
              <c:pt idx="50">
                <c:v>0.78137618377422868</c:v>
              </c:pt>
              <c:pt idx="51">
                <c:v>0.78398584871203503</c:v>
              </c:pt>
              <c:pt idx="52">
                <c:v>0.78398584871203503</c:v>
              </c:pt>
              <c:pt idx="53">
                <c:v>0.78398584871203503</c:v>
              </c:pt>
              <c:pt idx="54">
                <c:v>0.78659551364984126</c:v>
              </c:pt>
              <c:pt idx="55">
                <c:v>0.78659551364984126</c:v>
              </c:pt>
              <c:pt idx="56">
                <c:v>0.78659551364984126</c:v>
              </c:pt>
              <c:pt idx="57">
                <c:v>0.78920517858764749</c:v>
              </c:pt>
              <c:pt idx="58">
                <c:v>0.78920517858764749</c:v>
              </c:pt>
              <c:pt idx="59">
                <c:v>0.78920517858764749</c:v>
              </c:pt>
              <c:pt idx="60">
                <c:v>0.79181484352545373</c:v>
              </c:pt>
              <c:pt idx="61">
                <c:v>0.79181484352545373</c:v>
              </c:pt>
              <c:pt idx="62">
                <c:v>0.79181484352545373</c:v>
              </c:pt>
              <c:pt idx="63">
                <c:v>0.79442450846326007</c:v>
              </c:pt>
              <c:pt idx="64">
                <c:v>0.79442450846326007</c:v>
              </c:pt>
              <c:pt idx="65">
                <c:v>0.79442450846326007</c:v>
              </c:pt>
              <c:pt idx="66">
                <c:v>0.7970341734010663</c:v>
              </c:pt>
              <c:pt idx="67">
                <c:v>0.7970341734010663</c:v>
              </c:pt>
              <c:pt idx="68">
                <c:v>0.7970341734010663</c:v>
              </c:pt>
              <c:pt idx="69">
                <c:v>0.79964383833887254</c:v>
              </c:pt>
              <c:pt idx="70">
                <c:v>0.79964383833887254</c:v>
              </c:pt>
              <c:pt idx="71">
                <c:v>0.79964383833887254</c:v>
              </c:pt>
              <c:pt idx="72">
                <c:v>0.80225350327667888</c:v>
              </c:pt>
              <c:pt idx="73">
                <c:v>0.80225350327667888</c:v>
              </c:pt>
              <c:pt idx="74">
                <c:v>0.80225350327667888</c:v>
              </c:pt>
              <c:pt idx="75">
                <c:v>0.80486316821448511</c:v>
              </c:pt>
              <c:pt idx="76">
                <c:v>0.80486316821448511</c:v>
              </c:pt>
              <c:pt idx="77">
                <c:v>0.80486316821448511</c:v>
              </c:pt>
              <c:pt idx="78">
                <c:v>0.80747283315229135</c:v>
              </c:pt>
              <c:pt idx="79">
                <c:v>0.80747283315229135</c:v>
              </c:pt>
              <c:pt idx="80">
                <c:v>0.80747283315229135</c:v>
              </c:pt>
              <c:pt idx="81">
                <c:v>0.81008249809009769</c:v>
              </c:pt>
              <c:pt idx="82">
                <c:v>0.81008249809009769</c:v>
              </c:pt>
              <c:pt idx="83">
                <c:v>0.81008249809009769</c:v>
              </c:pt>
              <c:pt idx="84">
                <c:v>0.81269216302790392</c:v>
              </c:pt>
              <c:pt idx="85">
                <c:v>0.81269216302790392</c:v>
              </c:pt>
              <c:pt idx="86">
                <c:v>0.81269216302790392</c:v>
              </c:pt>
              <c:pt idx="87">
                <c:v>0.81530182796571016</c:v>
              </c:pt>
              <c:pt idx="88">
                <c:v>0.81530182796571016</c:v>
              </c:pt>
              <c:pt idx="89">
                <c:v>0.81530182796571016</c:v>
              </c:pt>
              <c:pt idx="90">
                <c:v>0.8179114929035165</c:v>
              </c:pt>
              <c:pt idx="91">
                <c:v>0.8179114929035165</c:v>
              </c:pt>
              <c:pt idx="92">
                <c:v>0.8179114929035165</c:v>
              </c:pt>
              <c:pt idx="93">
                <c:v>0.82052115784132273</c:v>
              </c:pt>
              <c:pt idx="94">
                <c:v>0.82052115784132273</c:v>
              </c:pt>
              <c:pt idx="95">
                <c:v>0.82052115784132273</c:v>
              </c:pt>
              <c:pt idx="96">
                <c:v>0.82313082277912897</c:v>
              </c:pt>
              <c:pt idx="97">
                <c:v>0.82313082277912897</c:v>
              </c:pt>
              <c:pt idx="98">
                <c:v>0.82313082277912897</c:v>
              </c:pt>
              <c:pt idx="99">
                <c:v>0.82574048771693531</c:v>
              </c:pt>
              <c:pt idx="100">
                <c:v>0.82574048771693531</c:v>
              </c:pt>
              <c:pt idx="101">
                <c:v>0.82574048771693531</c:v>
              </c:pt>
              <c:pt idx="102">
                <c:v>0.82835015265474154</c:v>
              </c:pt>
              <c:pt idx="103">
                <c:v>0.82835015265474154</c:v>
              </c:pt>
              <c:pt idx="104">
                <c:v>0.82835015265474154</c:v>
              </c:pt>
              <c:pt idx="105">
                <c:v>0.83095981759254778</c:v>
              </c:pt>
              <c:pt idx="106">
                <c:v>0.83095981759254778</c:v>
              </c:pt>
              <c:pt idx="107">
                <c:v>0.83095981759254778</c:v>
              </c:pt>
              <c:pt idx="108">
                <c:v>0.83356948253035412</c:v>
              </c:pt>
              <c:pt idx="109">
                <c:v>0.83356948253035412</c:v>
              </c:pt>
              <c:pt idx="110">
                <c:v>0.83356948253035412</c:v>
              </c:pt>
              <c:pt idx="111">
                <c:v>0.83617914746816036</c:v>
              </c:pt>
              <c:pt idx="112">
                <c:v>0.83617914746816036</c:v>
              </c:pt>
              <c:pt idx="113">
                <c:v>0.83617914746816036</c:v>
              </c:pt>
              <c:pt idx="114">
                <c:v>0.83878881240596659</c:v>
              </c:pt>
              <c:pt idx="115">
                <c:v>0.83878881240596659</c:v>
              </c:pt>
              <c:pt idx="116">
                <c:v>0.83878881240596659</c:v>
              </c:pt>
              <c:pt idx="117">
                <c:v>0.84139847734377293</c:v>
              </c:pt>
              <c:pt idx="118">
                <c:v>0.84139847734377293</c:v>
              </c:pt>
              <c:pt idx="119">
                <c:v>0.84139847734377293</c:v>
              </c:pt>
              <c:pt idx="120">
                <c:v>0.84400814228157917</c:v>
              </c:pt>
              <c:pt idx="121">
                <c:v>0.84400814228157917</c:v>
              </c:pt>
              <c:pt idx="122">
                <c:v>0.84400814228157917</c:v>
              </c:pt>
            </c:numLit>
          </c:xVal>
          <c:yVal>
            <c:numLit>
              <c:formatCode>General</c:formatCode>
              <c:ptCount val="125"/>
              <c:pt idx="0">
                <c:v>0</c:v>
              </c:pt>
              <c:pt idx="1">
                <c:v>0</c:v>
              </c:pt>
              <c:pt idx="2">
                <c:v>0.19159547754828474</c:v>
              </c:pt>
              <c:pt idx="3">
                <c:v>0.19159547754828474</c:v>
              </c:pt>
              <c:pt idx="4">
                <c:v>0</c:v>
              </c:pt>
              <c:pt idx="5">
                <c:v>0.99629648325103815</c:v>
              </c:pt>
              <c:pt idx="6">
                <c:v>0.99629648325103815</c:v>
              </c:pt>
              <c:pt idx="7">
                <c:v>0</c:v>
              </c:pt>
              <c:pt idx="8">
                <c:v>4.6366105566684901</c:v>
              </c:pt>
              <c:pt idx="9">
                <c:v>4.6366105566684901</c:v>
              </c:pt>
              <c:pt idx="10">
                <c:v>0</c:v>
              </c:pt>
              <c:pt idx="11">
                <c:v>7.4722236243831057</c:v>
              </c:pt>
              <c:pt idx="12">
                <c:v>7.4722236243831057</c:v>
              </c:pt>
              <c:pt idx="13">
                <c:v>0</c:v>
              </c:pt>
              <c:pt idx="14">
                <c:v>11.955557799012459</c:v>
              </c:pt>
              <c:pt idx="15">
                <c:v>11.955557799012459</c:v>
              </c:pt>
              <c:pt idx="16">
                <c:v>0</c:v>
              </c:pt>
              <c:pt idx="17">
                <c:v>15.327638203862776</c:v>
              </c:pt>
              <c:pt idx="18">
                <c:v>15.327638203862776</c:v>
              </c:pt>
              <c:pt idx="19">
                <c:v>0</c:v>
              </c:pt>
              <c:pt idx="20">
                <c:v>15.864105540997972</c:v>
              </c:pt>
              <c:pt idx="21">
                <c:v>15.864105540997972</c:v>
              </c:pt>
              <c:pt idx="22">
                <c:v>0</c:v>
              </c:pt>
              <c:pt idx="23">
                <c:v>20.883907052762154</c:v>
              </c:pt>
              <c:pt idx="24">
                <c:v>20.883907052762154</c:v>
              </c:pt>
              <c:pt idx="25">
                <c:v>0</c:v>
              </c:pt>
              <c:pt idx="26">
                <c:v>20.155844238079556</c:v>
              </c:pt>
              <c:pt idx="27">
                <c:v>20.155844238079556</c:v>
              </c:pt>
              <c:pt idx="28">
                <c:v>0</c:v>
              </c:pt>
              <c:pt idx="29">
                <c:v>20.500716097666462</c:v>
              </c:pt>
              <c:pt idx="30">
                <c:v>20.500716097666462</c:v>
              </c:pt>
              <c:pt idx="31">
                <c:v>0</c:v>
              </c:pt>
              <c:pt idx="32">
                <c:v>22.225075395600083</c:v>
              </c:pt>
              <c:pt idx="33">
                <c:v>22.225075395600083</c:v>
              </c:pt>
              <c:pt idx="34">
                <c:v>0</c:v>
              </c:pt>
              <c:pt idx="35">
                <c:v>20.462397002156809</c:v>
              </c:pt>
              <c:pt idx="36">
                <c:v>20.462397002156809</c:v>
              </c:pt>
              <c:pt idx="37">
                <c:v>0</c:v>
              </c:pt>
              <c:pt idx="38">
                <c:v>19.887610569511956</c:v>
              </c:pt>
              <c:pt idx="39">
                <c:v>19.887610569511956</c:v>
              </c:pt>
              <c:pt idx="40">
                <c:v>0</c:v>
              </c:pt>
              <c:pt idx="41">
                <c:v>19.887610569511111</c:v>
              </c:pt>
              <c:pt idx="42">
                <c:v>19.887610569511111</c:v>
              </c:pt>
              <c:pt idx="43">
                <c:v>0</c:v>
              </c:pt>
              <c:pt idx="44">
                <c:v>19.925929665021588</c:v>
              </c:pt>
              <c:pt idx="45">
                <c:v>19.925929665021588</c:v>
              </c:pt>
              <c:pt idx="46">
                <c:v>0</c:v>
              </c:pt>
              <c:pt idx="47">
                <c:v>17.971655794029129</c:v>
              </c:pt>
              <c:pt idx="48">
                <c:v>17.971655794029129</c:v>
              </c:pt>
              <c:pt idx="49">
                <c:v>0</c:v>
              </c:pt>
              <c:pt idx="50">
                <c:v>16.285615591603502</c:v>
              </c:pt>
              <c:pt idx="51">
                <c:v>16.285615591603502</c:v>
              </c:pt>
              <c:pt idx="52">
                <c:v>0</c:v>
              </c:pt>
              <c:pt idx="53">
                <c:v>16.247296496094542</c:v>
              </c:pt>
              <c:pt idx="54">
                <c:v>16.247296496094542</c:v>
              </c:pt>
              <c:pt idx="55">
                <c:v>0</c:v>
              </c:pt>
              <c:pt idx="56">
                <c:v>15.864105540997972</c:v>
              </c:pt>
              <c:pt idx="57">
                <c:v>15.864105540997972</c:v>
              </c:pt>
              <c:pt idx="58">
                <c:v>0</c:v>
              </c:pt>
              <c:pt idx="59">
                <c:v>13.411683428379943</c:v>
              </c:pt>
              <c:pt idx="60">
                <c:v>13.411683428379943</c:v>
              </c:pt>
              <c:pt idx="61">
                <c:v>0</c:v>
              </c:pt>
              <c:pt idx="62">
                <c:v>12.530344231657269</c:v>
              </c:pt>
              <c:pt idx="63">
                <c:v>12.530344231657269</c:v>
              </c:pt>
              <c:pt idx="64">
                <c:v>0</c:v>
              </c:pt>
              <c:pt idx="65">
                <c:v>10.537751265155691</c:v>
              </c:pt>
              <c:pt idx="66">
                <c:v>10.537751265155691</c:v>
              </c:pt>
              <c:pt idx="67">
                <c:v>0</c:v>
              </c:pt>
              <c:pt idx="68">
                <c:v>10.154560310059079</c:v>
              </c:pt>
              <c:pt idx="69">
                <c:v>10.154560310059079</c:v>
              </c:pt>
              <c:pt idx="70">
                <c:v>0</c:v>
              </c:pt>
              <c:pt idx="71">
                <c:v>9.3498593043558884</c:v>
              </c:pt>
              <c:pt idx="72">
                <c:v>9.3498593043558884</c:v>
              </c:pt>
              <c:pt idx="73">
                <c:v>0</c:v>
              </c:pt>
              <c:pt idx="74">
                <c:v>7.702138197441049</c:v>
              </c:pt>
              <c:pt idx="75">
                <c:v>7.702138197441049</c:v>
              </c:pt>
              <c:pt idx="76">
                <c:v>0</c:v>
              </c:pt>
              <c:pt idx="77">
                <c:v>6.0160979950161586</c:v>
              </c:pt>
              <c:pt idx="78">
                <c:v>6.0160979950161586</c:v>
              </c:pt>
              <c:pt idx="79">
                <c:v>0</c:v>
              </c:pt>
              <c:pt idx="80">
                <c:v>6.3609698546027627</c:v>
              </c:pt>
              <c:pt idx="81">
                <c:v>6.3609698546027627</c:v>
              </c:pt>
              <c:pt idx="82">
                <c:v>0</c:v>
              </c:pt>
              <c:pt idx="83">
                <c:v>4.5599723656491848</c:v>
              </c:pt>
              <c:pt idx="84">
                <c:v>4.5599723656491848</c:v>
              </c:pt>
              <c:pt idx="85">
                <c:v>0</c:v>
              </c:pt>
              <c:pt idx="86">
                <c:v>4.1001432195333098</c:v>
              </c:pt>
              <c:pt idx="87">
                <c:v>4.1001432195333098</c:v>
              </c:pt>
              <c:pt idx="88">
                <c:v>0</c:v>
              </c:pt>
              <c:pt idx="89">
                <c:v>3.0272085452627344</c:v>
              </c:pt>
              <c:pt idx="90">
                <c:v>3.0272085452627344</c:v>
              </c:pt>
              <c:pt idx="91">
                <c:v>0</c:v>
              </c:pt>
              <c:pt idx="92">
                <c:v>2.0692311575215023</c:v>
              </c:pt>
              <c:pt idx="93">
                <c:v>2.0692311575215023</c:v>
              </c:pt>
              <c:pt idx="94">
                <c:v>0</c:v>
              </c:pt>
              <c:pt idx="95">
                <c:v>2.299145730579419</c:v>
              </c:pt>
              <c:pt idx="96">
                <c:v>2.299145730579419</c:v>
              </c:pt>
              <c:pt idx="97">
                <c:v>0</c:v>
              </c:pt>
              <c:pt idx="98">
                <c:v>1.571082915895865</c:v>
              </c:pt>
              <c:pt idx="99">
                <c:v>1.571082915895865</c:v>
              </c:pt>
              <c:pt idx="100">
                <c:v>0</c:v>
              </c:pt>
              <c:pt idx="101">
                <c:v>0.99629648325105591</c:v>
              </c:pt>
              <c:pt idx="102">
                <c:v>0.99629648325105591</c:v>
              </c:pt>
              <c:pt idx="103">
                <c:v>0</c:v>
              </c:pt>
              <c:pt idx="104">
                <c:v>0.80470100570283487</c:v>
              </c:pt>
              <c:pt idx="105">
                <c:v>0.80470100570283487</c:v>
              </c:pt>
              <c:pt idx="106">
                <c:v>0</c:v>
              </c:pt>
              <c:pt idx="107">
                <c:v>0.34487185958685984</c:v>
              </c:pt>
              <c:pt idx="108">
                <c:v>0.34487185958685984</c:v>
              </c:pt>
              <c:pt idx="109">
                <c:v>0</c:v>
              </c:pt>
              <c:pt idx="110">
                <c:v>0.19159547754830616</c:v>
              </c:pt>
              <c:pt idx="111">
                <c:v>0.19159547754830616</c:v>
              </c:pt>
              <c:pt idx="112">
                <c:v>0</c:v>
              </c:pt>
              <c:pt idx="113">
                <c:v>0.15327638203861091</c:v>
              </c:pt>
              <c:pt idx="114">
                <c:v>0.15327638203861091</c:v>
              </c:pt>
              <c:pt idx="115">
                <c:v>0</c:v>
              </c:pt>
              <c:pt idx="116">
                <c:v>0.15327638203864694</c:v>
              </c:pt>
              <c:pt idx="117">
                <c:v>0.15327638203864694</c:v>
              </c:pt>
              <c:pt idx="118">
                <c:v>0</c:v>
              </c:pt>
              <c:pt idx="119">
                <c:v>0.11495728652895817</c:v>
              </c:pt>
              <c:pt idx="120">
                <c:v>0.11495728652895817</c:v>
              </c:pt>
              <c:pt idx="121">
                <c:v>0</c:v>
              </c:pt>
              <c:pt idx="122">
                <c:v>0</c:v>
              </c:pt>
              <c:pt idx="123">
                <c:v>0</c:v>
              </c:pt>
              <c:pt idx="124">
                <c:v>0</c:v>
              </c:pt>
            </c:numLit>
          </c:yVal>
          <c:smooth val="0"/>
          <c:extLst>
            <c:ext xmlns:c16="http://schemas.microsoft.com/office/drawing/2014/chart" uri="{C3380CC4-5D6E-409C-BE32-E72D297353CC}">
              <c16:uniqueId val="{00000001-06D5-4630-B6B0-55E0FC2E45A7}"/>
            </c:ext>
          </c:extLst>
        </c:ser>
        <c:ser>
          <c:idx val="2"/>
          <c:order val="2"/>
          <c:tx>
            <c:v>xDelimiter</c:v>
          </c:tx>
          <c:spPr>
            <a:ln w="19050">
              <a:noFill/>
            </a:ln>
          </c:spPr>
          <c:marker>
            <c:symbol val="diamond"/>
            <c:size val="5"/>
            <c:spPr>
              <a:solidFill>
                <a:srgbClr val="000000"/>
              </a:solidFill>
            </c:spPr>
          </c:marker>
          <c:dLbls>
            <c:dLbl>
              <c:idx val="0"/>
              <c:layout>
                <c:manualLayout>
                  <c:x val="-6.6742299529939111E-2"/>
                  <c:y val="-0.11214904211739887"/>
                </c:manualLayout>
              </c:layout>
              <c:tx>
                <c:rich>
                  <a:bodyPr wrap="square" lIns="38100" tIns="19050" rIns="38100" bIns="19050" anchor="ctr">
                    <a:spAutoFit/>
                  </a:bodyPr>
                  <a:lstStyle/>
                  <a:p>
                    <a:pPr>
                      <a:defRPr sz="750">
                        <a:solidFill>
                          <a:srgbClr val="000000"/>
                        </a:solidFill>
                        <a:latin typeface="Tahoma"/>
                        <a:ea typeface="Tahoma"/>
                        <a:cs typeface="Tahoma"/>
                      </a:defRPr>
                    </a:pPr>
                    <a:r>
                      <a:rPr lang="en-US"/>
                      <a:t>0.7491</a:t>
                    </a:r>
                  </a:p>
                </c:rich>
              </c:tx>
              <c:spPr>
                <a:noFill/>
                <a:ln>
                  <a:noFill/>
                </a:ln>
                <a:effectLst/>
              </c:spPr>
              <c:dLblPos val="r"/>
              <c:showLegendKey val="0"/>
              <c:showVal val="1"/>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02-06D5-4630-B6B0-55E0FC2E45A7}"/>
                </c:ext>
              </c:extLst>
            </c:dLbl>
            <c:dLbl>
              <c:idx val="1"/>
              <c:layout>
                <c:manualLayout>
                  <c:x val="-6.6742299529939111E-2"/>
                  <c:y val="-0.11214904211739887"/>
                </c:manualLayout>
              </c:layout>
              <c:tx>
                <c:rich>
                  <a:bodyPr wrap="square" lIns="38100" tIns="19050" rIns="38100" bIns="19050" anchor="ctr">
                    <a:spAutoFit/>
                  </a:bodyPr>
                  <a:lstStyle/>
                  <a:p>
                    <a:pPr>
                      <a:defRPr sz="750">
                        <a:solidFill>
                          <a:srgbClr val="000000"/>
                        </a:solidFill>
                        <a:latin typeface="Tahoma"/>
                        <a:ea typeface="Tahoma"/>
                        <a:cs typeface="Tahoma"/>
                      </a:defRPr>
                    </a:pPr>
                    <a:r>
                      <a:rPr lang="en-US"/>
                      <a:t>0.8166</a:t>
                    </a:r>
                  </a:p>
                </c:rich>
              </c:tx>
              <c:spPr>
                <a:noFill/>
                <a:ln>
                  <a:noFill/>
                </a:ln>
                <a:effectLst/>
              </c:spPr>
              <c:dLblPos val="r"/>
              <c:showLegendKey val="0"/>
              <c:showVal val="1"/>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03-06D5-4630-B6B0-55E0FC2E45A7}"/>
                </c:ext>
              </c:extLst>
            </c:dLbl>
            <c:spPr>
              <a:noFill/>
              <a:ln>
                <a:noFill/>
              </a:ln>
              <a:effectLst/>
            </c:spPr>
            <c:showLegendKey val="0"/>
            <c:showVal val="0"/>
            <c:showCatName val="0"/>
            <c:showSerName val="0"/>
            <c:showPercent val="0"/>
            <c:showBubbleSize val="0"/>
            <c:extLst>
              <c:ext xmlns:c15="http://schemas.microsoft.com/office/drawing/2012/chart" uri="{CE6537A1-D6FC-4f65-9D91-7224C49458BB}">
                <c15:showLeaderLines val="0"/>
              </c:ext>
            </c:extLst>
          </c:dLbls>
          <c:errBars>
            <c:errDir val="y"/>
            <c:errBarType val="minus"/>
            <c:errValType val="fixedVal"/>
            <c:noEndCap val="0"/>
            <c:val val="25"/>
            <c:spPr>
              <a:ln w="12700">
                <a:solidFill>
                  <a:srgbClr val="000000"/>
                </a:solidFill>
                <a:prstDash val="sysDash"/>
              </a:ln>
            </c:spPr>
          </c:errBars>
          <c:xVal>
            <c:numLit>
              <c:formatCode>General</c:formatCode>
              <c:ptCount val="2"/>
              <c:pt idx="0">
                <c:v>0.74905418140422864</c:v>
              </c:pt>
              <c:pt idx="1">
                <c:v>0.81662011807376556</c:v>
              </c:pt>
            </c:numLit>
          </c:xVal>
          <c:yVal>
            <c:numLit>
              <c:formatCode>General</c:formatCode>
              <c:ptCount val="2"/>
              <c:pt idx="0">
                <c:v>25</c:v>
              </c:pt>
              <c:pt idx="1">
                <c:v>25</c:v>
              </c:pt>
            </c:numLit>
          </c:yVal>
          <c:smooth val="1"/>
          <c:extLst>
            <c:ext xmlns:c16="http://schemas.microsoft.com/office/drawing/2014/chart" uri="{C3380CC4-5D6E-409C-BE32-E72D297353CC}">
              <c16:uniqueId val="{00000004-06D5-4630-B6B0-55E0FC2E45A7}"/>
            </c:ext>
          </c:extLst>
        </c:ser>
        <c:ser>
          <c:idx val="3"/>
          <c:order val="3"/>
          <c:tx>
            <c:v>xPDelimiter1</c:v>
          </c:tx>
          <c:spPr>
            <a:ln w="19050">
              <a:noFill/>
            </a:ln>
          </c:spPr>
          <c:marker>
            <c:symbol val="none"/>
          </c:marker>
          <c:dLbls>
            <c:dLbl>
              <c:idx val="0"/>
              <c:layout>
                <c:manualLayout>
                  <c:x val="-8.9837296786264439E-2"/>
                  <c:y val="-4.2056070005352442E-2"/>
                </c:manualLayout>
              </c:layout>
              <c:tx>
                <c:rich>
                  <a:bodyPr wrap="square" lIns="38100" tIns="19050" rIns="38100" bIns="19050" anchor="ctr">
                    <a:noAutofit/>
                  </a:bodyPr>
                  <a:lstStyle/>
                  <a:p>
                    <a:pPr>
                      <a:defRPr sz="750">
                        <a:solidFill>
                          <a:srgbClr val="000000"/>
                        </a:solidFill>
                        <a:latin typeface="Tahoma"/>
                        <a:ea typeface="Tahoma"/>
                        <a:cs typeface="Tahoma"/>
                      </a:defRPr>
                    </a:pPr>
                    <a:r>
                      <a:rPr lang="en-US"/>
                      <a:t>2.5%</a:t>
                    </a:r>
                  </a:p>
                </c:rich>
              </c:tx>
              <c:spPr>
                <a:noFill/>
                <a:ln w="9525">
                  <a:solidFill>
                    <a:srgbClr val="000000"/>
                  </a:solidFill>
                </a:ln>
                <a:effectLst/>
              </c:spPr>
              <c:dLblPos val="r"/>
              <c:showLegendKey val="0"/>
              <c:showVal val="1"/>
              <c:showCatName val="0"/>
              <c:showSerName val="0"/>
              <c:showPercent val="0"/>
              <c:showBubbleSize val="0"/>
              <c:extLst>
                <c:ext xmlns:c15="http://schemas.microsoft.com/office/drawing/2012/chart" uri="{CE6537A1-D6FC-4f65-9D91-7224C49458BB}">
                  <c15:layout>
                    <c:manualLayout>
                      <c:w val="0.14273091787855532"/>
                      <c:h val="6.5420560747663545E-2"/>
                    </c:manualLayout>
                  </c15:layout>
                  <c15:showDataLabelsRange val="0"/>
                </c:ext>
                <c:ext xmlns:c16="http://schemas.microsoft.com/office/drawing/2014/chart" uri="{C3380CC4-5D6E-409C-BE32-E72D297353CC}">
                  <c16:uniqueId val="{00000005-06D5-4630-B6B0-55E0FC2E45A7}"/>
                </c:ext>
              </c:extLst>
            </c:dLbl>
            <c:dLbl>
              <c:idx val="1"/>
              <c:layout>
                <c:manualLayout>
                  <c:x val="-0.12502535419848337"/>
                  <c:y val="-4.2056070005352442E-2"/>
                </c:manualLayout>
              </c:layout>
              <c:tx>
                <c:rich>
                  <a:bodyPr wrap="square" lIns="38100" tIns="19050" rIns="38100" bIns="19050" anchor="ctr">
                    <a:noAutofit/>
                  </a:bodyPr>
                  <a:lstStyle/>
                  <a:p>
                    <a:pPr>
                      <a:defRPr sz="750">
                        <a:solidFill>
                          <a:srgbClr val="000000"/>
                        </a:solidFill>
                        <a:latin typeface="Tahoma"/>
                        <a:ea typeface="Tahoma"/>
                        <a:cs typeface="Tahoma"/>
                      </a:defRPr>
                    </a:pPr>
                    <a:r>
                      <a:rPr lang="en-US"/>
                      <a:t>2.5%</a:t>
                    </a:r>
                  </a:p>
                </c:rich>
              </c:tx>
              <c:spPr>
                <a:noFill/>
                <a:ln w="9525">
                  <a:solidFill>
                    <a:srgbClr val="000000"/>
                  </a:solidFill>
                </a:ln>
                <a:effectLst/>
              </c:spPr>
              <c:dLblPos val="r"/>
              <c:showLegendKey val="0"/>
              <c:showVal val="1"/>
              <c:showCatName val="0"/>
              <c:showSerName val="0"/>
              <c:showPercent val="0"/>
              <c:showBubbleSize val="0"/>
              <c:extLst>
                <c:ext xmlns:c15="http://schemas.microsoft.com/office/drawing/2012/chart" uri="{CE6537A1-D6FC-4f65-9D91-7224C49458BB}">
                  <c15:layout>
                    <c:manualLayout>
                      <c:w val="0.21310702819567984"/>
                      <c:h val="6.5420560747663545E-2"/>
                    </c:manualLayout>
                  </c15:layout>
                  <c15:showDataLabelsRange val="0"/>
                </c:ext>
                <c:ext xmlns:c16="http://schemas.microsoft.com/office/drawing/2014/chart" uri="{C3380CC4-5D6E-409C-BE32-E72D297353CC}">
                  <c16:uniqueId val="{00000006-06D5-4630-B6B0-55E0FC2E45A7}"/>
                </c:ext>
              </c:extLst>
            </c:dLbl>
            <c:dLbl>
              <c:idx val="2"/>
              <c:layout>
                <c:manualLayout>
                  <c:x val="-0.18443324937027708"/>
                  <c:y val="-4.2056070005352442E-2"/>
                </c:manualLayout>
              </c:layout>
              <c:tx>
                <c:rich>
                  <a:bodyPr wrap="square" lIns="38100" tIns="19050" rIns="38100" bIns="19050" anchor="ctr">
                    <a:noAutofit/>
                  </a:bodyPr>
                  <a:lstStyle/>
                  <a:p>
                    <a:pPr>
                      <a:defRPr sz="750">
                        <a:solidFill>
                          <a:srgbClr val="FFFFFF"/>
                        </a:solidFill>
                        <a:latin typeface="Tahoma"/>
                        <a:ea typeface="Tahoma"/>
                        <a:cs typeface="Tahoma"/>
                      </a:defRPr>
                    </a:pPr>
                    <a:r>
                      <a:rPr lang="en-US"/>
                      <a:t>95.0%</a:t>
                    </a:r>
                  </a:p>
                </c:rich>
              </c:tx>
              <c:spPr>
                <a:solidFill>
                  <a:srgbClr val="DC143C"/>
                </a:solidFill>
                <a:ln w="9525">
                  <a:solidFill>
                    <a:srgbClr val="000000"/>
                  </a:solidFill>
                </a:ln>
                <a:effectLst/>
              </c:spPr>
              <c:dLblPos val="r"/>
              <c:showLegendKey val="0"/>
              <c:showVal val="1"/>
              <c:showCatName val="0"/>
              <c:showSerName val="0"/>
              <c:showPercent val="0"/>
              <c:showBubbleSize val="0"/>
              <c:extLst>
                <c:ext xmlns:c15="http://schemas.microsoft.com/office/drawing/2012/chart" uri="{CE6537A1-D6FC-4f65-9D91-7224C49458BB}">
                  <c15:layout>
                    <c:manualLayout>
                      <c:w val="0.3319228882553395"/>
                      <c:h val="6.5420560747663545E-2"/>
                    </c:manualLayout>
                  </c15:layout>
                  <c15:showDataLabelsRange val="0"/>
                </c:ext>
                <c:ext xmlns:c16="http://schemas.microsoft.com/office/drawing/2014/chart" uri="{C3380CC4-5D6E-409C-BE32-E72D297353CC}">
                  <c16:uniqueId val="{00000007-06D5-4630-B6B0-55E0FC2E45A7}"/>
                </c:ext>
              </c:extLst>
            </c:dLbl>
            <c:spPr>
              <a:noFill/>
              <a:ln>
                <a:noFill/>
              </a:ln>
              <a:effectLst/>
            </c:spPr>
            <c:showLegendKey val="0"/>
            <c:showVal val="0"/>
            <c:showCatName val="0"/>
            <c:showSerName val="0"/>
            <c:showPercent val="0"/>
            <c:showBubbleSize val="0"/>
            <c:extLst>
              <c:ext xmlns:c15="http://schemas.microsoft.com/office/drawing/2012/chart" uri="{CE6537A1-D6FC-4f65-9D91-7224C49458BB}">
                <c15:showLeaderLines val="0"/>
              </c:ext>
            </c:extLst>
          </c:dLbls>
          <c:xVal>
            <c:numLit>
              <c:formatCode>General</c:formatCode>
              <c:ptCount val="3"/>
              <c:pt idx="0">
                <c:v>0.73452709070211442</c:v>
              </c:pt>
              <c:pt idx="1">
                <c:v>0.83831005903688283</c:v>
              </c:pt>
              <c:pt idx="2">
                <c:v>0.7828371497389971</c:v>
              </c:pt>
            </c:numLit>
          </c:xVal>
          <c:yVal>
            <c:numLit>
              <c:formatCode>General</c:formatCode>
              <c:ptCount val="3"/>
              <c:pt idx="0">
                <c:v>25</c:v>
              </c:pt>
              <c:pt idx="1">
                <c:v>25</c:v>
              </c:pt>
              <c:pt idx="2">
                <c:v>25</c:v>
              </c:pt>
            </c:numLit>
          </c:yVal>
          <c:smooth val="1"/>
          <c:extLst>
            <c:ext xmlns:c16="http://schemas.microsoft.com/office/drawing/2014/chart" uri="{C3380CC4-5D6E-409C-BE32-E72D297353CC}">
              <c16:uniqueId val="{00000008-06D5-4630-B6B0-55E0FC2E45A7}"/>
            </c:ext>
          </c:extLst>
        </c:ser>
        <c:dLbls>
          <c:showLegendKey val="0"/>
          <c:showVal val="0"/>
          <c:showCatName val="0"/>
          <c:showSerName val="0"/>
          <c:showPercent val="0"/>
          <c:showBubbleSize val="0"/>
        </c:dLbls>
        <c:axId val="378909064"/>
        <c:axId val="184954776"/>
      </c:scatterChart>
      <c:valAx>
        <c:axId val="378909064"/>
        <c:scaling>
          <c:orientation val="minMax"/>
          <c:max val="0.86000000000000021"/>
          <c:min val="0.7200000000000002"/>
        </c:scaling>
        <c:delete val="0"/>
        <c:axPos val="b"/>
        <c:majorGridlines>
          <c:spPr>
            <a:ln>
              <a:solidFill>
                <a:srgbClr val="C0C0C0"/>
              </a:solidFill>
              <a:prstDash val="solid"/>
            </a:ln>
          </c:spPr>
        </c:majorGridlines>
        <c:numFmt formatCode="0.00" sourceLinked="0"/>
        <c:majorTickMark val="out"/>
        <c:minorTickMark val="none"/>
        <c:tickLblPos val="nextTo"/>
        <c:txPr>
          <a:bodyPr rot="-5400000" vert="horz"/>
          <a:lstStyle/>
          <a:p>
            <a:pPr>
              <a:defRPr sz="750" b="0" i="0" u="none" strike="noStrike">
                <a:solidFill>
                  <a:srgbClr val="000000"/>
                </a:solidFill>
                <a:latin typeface="Tahoma"/>
                <a:ea typeface="Tahoma"/>
                <a:cs typeface="Tahoma"/>
              </a:defRPr>
            </a:pPr>
            <a:endParaRPr lang="en-US"/>
          </a:p>
        </c:txPr>
        <c:crossAx val="184954776"/>
        <c:crossesAt val="0"/>
        <c:crossBetween val="midCat"/>
        <c:majorUnit val="0.02"/>
      </c:valAx>
      <c:valAx>
        <c:axId val="184954776"/>
        <c:scaling>
          <c:orientation val="minMax"/>
          <c:max val="25"/>
          <c:min val="0"/>
        </c:scaling>
        <c:delete val="0"/>
        <c:axPos val="l"/>
        <c:majorGridlines>
          <c:spPr>
            <a:ln>
              <a:solidFill>
                <a:srgbClr val="C0C0C0"/>
              </a:solidFill>
              <a:prstDash val="solid"/>
            </a:ln>
          </c:spPr>
        </c:majorGridlines>
        <c:numFmt formatCode="0" sourceLinked="0"/>
        <c:majorTickMark val="out"/>
        <c:minorTickMark val="none"/>
        <c:tickLblPos val="nextTo"/>
        <c:txPr>
          <a:bodyPr/>
          <a:lstStyle/>
          <a:p>
            <a:pPr>
              <a:defRPr sz="750" b="0" i="0" u="none" strike="noStrike">
                <a:solidFill>
                  <a:srgbClr val="000000"/>
                </a:solidFill>
                <a:latin typeface="Tahoma"/>
                <a:ea typeface="Tahoma"/>
                <a:cs typeface="Tahoma"/>
              </a:defRPr>
            </a:pPr>
            <a:endParaRPr lang="en-US"/>
          </a:p>
        </c:txPr>
        <c:crossAx val="378909064"/>
        <c:crossesAt val="0.7200000000000002"/>
        <c:crossBetween val="midCat"/>
        <c:majorUnit val="5"/>
      </c:valAx>
      <c:spPr>
        <a:solidFill>
          <a:srgbClr val="F5F5F5"/>
        </a:solidFill>
        <a:ln>
          <a:noFill/>
        </a:ln>
        <a:effectLst/>
        <a:extLst>
          <a:ext uri="{91240B29-F687-4F45-9708-019B960494DF}">
            <a14:hiddenLine xmlns:a14="http://schemas.microsoft.com/office/drawing/2010/main">
              <a:noFill/>
            </a14:hiddenLine>
          </a:ext>
        </a:extLst>
      </c:spPr>
    </c:plotArea>
    <c:legend>
      <c:legendPos val="r"/>
      <c:legendEntry>
        <c:idx val="1"/>
        <c:delete val="1"/>
      </c:legendEntry>
      <c:legendEntry>
        <c:idx val="2"/>
        <c:delete val="1"/>
      </c:legendEntry>
      <c:legendEntry>
        <c:idx val="3"/>
        <c:delete val="1"/>
      </c:legendEntry>
      <c:layout>
        <c:manualLayout>
          <c:xMode val="edge"/>
          <c:yMode val="edge"/>
          <c:x val="0.77413937867338367"/>
          <c:y val="0.51293755171826327"/>
          <c:w val="0.18891687657430731"/>
          <c:h val="9.3457943925233641E-2"/>
        </c:manualLayout>
      </c:layout>
      <c:overlay val="1"/>
      <c:spPr>
        <a:ln w="25400">
          <a:noFill/>
        </a:ln>
      </c:spPr>
      <c:txPr>
        <a:bodyPr/>
        <a:lstStyle/>
        <a:p>
          <a:pPr>
            <a:defRPr sz="563"/>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rgbClr val="FFFFFF"/>
    </a:solidFill>
    <a:ln w="9525"/>
  </c:sp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6974706242456236"/>
          <c:y val="0.14158925773099001"/>
          <c:w val="0.69571082292479736"/>
          <c:h val="0.80092592592592593"/>
        </c:manualLayout>
      </c:layout>
      <c:pieChart>
        <c:varyColors val="1"/>
        <c:ser>
          <c:idx val="0"/>
          <c:order val="0"/>
          <c:dPt>
            <c:idx val="0"/>
            <c:bubble3D val="0"/>
            <c:spPr>
              <a:solidFill>
                <a:schemeClr val="accent1"/>
              </a:solidFill>
              <a:ln>
                <a:noFill/>
              </a:ln>
              <a:effectLst/>
            </c:spPr>
            <c:extLst>
              <c:ext xmlns:c16="http://schemas.microsoft.com/office/drawing/2014/chart" uri="{C3380CC4-5D6E-409C-BE32-E72D297353CC}">
                <c16:uniqueId val="{00000001-2ED5-4FAD-9F9B-4CB0A231874C}"/>
              </c:ext>
            </c:extLst>
          </c:dPt>
          <c:dPt>
            <c:idx val="1"/>
            <c:bubble3D val="0"/>
            <c:spPr>
              <a:solidFill>
                <a:schemeClr val="accent2"/>
              </a:solidFill>
              <a:ln>
                <a:noFill/>
              </a:ln>
              <a:effectLst/>
            </c:spPr>
            <c:extLst>
              <c:ext xmlns:c16="http://schemas.microsoft.com/office/drawing/2014/chart" uri="{C3380CC4-5D6E-409C-BE32-E72D297353CC}">
                <c16:uniqueId val="{00000003-2ED5-4FAD-9F9B-4CB0A231874C}"/>
              </c:ext>
            </c:extLst>
          </c:dPt>
          <c:dPt>
            <c:idx val="2"/>
            <c:bubble3D val="0"/>
            <c:spPr>
              <a:solidFill>
                <a:schemeClr val="accent3"/>
              </a:solidFill>
              <a:ln>
                <a:noFill/>
              </a:ln>
              <a:effectLst/>
            </c:spPr>
            <c:extLst>
              <c:ext xmlns:c16="http://schemas.microsoft.com/office/drawing/2014/chart" uri="{C3380CC4-5D6E-409C-BE32-E72D297353CC}">
                <c16:uniqueId val="{00000005-2ED5-4FAD-9F9B-4CB0A231874C}"/>
              </c:ext>
            </c:extLst>
          </c:dPt>
          <c:dPt>
            <c:idx val="3"/>
            <c:bubble3D val="0"/>
            <c:spPr>
              <a:solidFill>
                <a:schemeClr val="accent4"/>
              </a:solidFill>
              <a:ln>
                <a:noFill/>
              </a:ln>
              <a:effectLst/>
            </c:spPr>
            <c:extLst>
              <c:ext xmlns:c16="http://schemas.microsoft.com/office/drawing/2014/chart" uri="{C3380CC4-5D6E-409C-BE32-E72D297353CC}">
                <c16:uniqueId val="{00000007-2ED5-4FAD-9F9B-4CB0A231874C}"/>
              </c:ext>
            </c:extLst>
          </c:dPt>
          <c:dPt>
            <c:idx val="4"/>
            <c:bubble3D val="0"/>
            <c:spPr>
              <a:solidFill>
                <a:schemeClr val="accent5"/>
              </a:solidFill>
              <a:ln>
                <a:noFill/>
              </a:ln>
              <a:effectLst/>
            </c:spPr>
            <c:extLst>
              <c:ext xmlns:c16="http://schemas.microsoft.com/office/drawing/2014/chart" uri="{C3380CC4-5D6E-409C-BE32-E72D297353CC}">
                <c16:uniqueId val="{00000009-2ED5-4FAD-9F9B-4CB0A231874C}"/>
              </c:ext>
            </c:extLst>
          </c:dPt>
          <c:dPt>
            <c:idx val="5"/>
            <c:bubble3D val="0"/>
            <c:spPr>
              <a:solidFill>
                <a:schemeClr val="accent6"/>
              </a:solidFill>
              <a:ln>
                <a:noFill/>
              </a:ln>
              <a:effectLst/>
            </c:spPr>
            <c:extLst>
              <c:ext xmlns:c16="http://schemas.microsoft.com/office/drawing/2014/chart" uri="{C3380CC4-5D6E-409C-BE32-E72D297353CC}">
                <c16:uniqueId val="{0000000B-2ED5-4FAD-9F9B-4CB0A231874C}"/>
              </c:ext>
            </c:extLst>
          </c:dPt>
          <c:dPt>
            <c:idx val="6"/>
            <c:bubble3D val="0"/>
            <c:spPr>
              <a:solidFill>
                <a:schemeClr val="accent1">
                  <a:lumMod val="60000"/>
                </a:schemeClr>
              </a:solidFill>
              <a:ln>
                <a:noFill/>
              </a:ln>
              <a:effectLst/>
            </c:spPr>
            <c:extLst>
              <c:ext xmlns:c16="http://schemas.microsoft.com/office/drawing/2014/chart" uri="{C3380CC4-5D6E-409C-BE32-E72D297353CC}">
                <c16:uniqueId val="{0000000D-8485-4C42-A7B1-A0593719E9F1}"/>
              </c:ext>
            </c:extLst>
          </c:dPt>
          <c:dPt>
            <c:idx val="7"/>
            <c:bubble3D val="0"/>
            <c:spPr>
              <a:solidFill>
                <a:schemeClr val="accent2">
                  <a:lumMod val="60000"/>
                </a:schemeClr>
              </a:solidFill>
              <a:ln>
                <a:noFill/>
              </a:ln>
              <a:effectLst/>
            </c:spPr>
            <c:extLst>
              <c:ext xmlns:c16="http://schemas.microsoft.com/office/drawing/2014/chart" uri="{C3380CC4-5D6E-409C-BE32-E72D297353CC}">
                <c16:uniqueId val="{0000000D-2ED5-4FAD-9F9B-4CB0A231874C}"/>
              </c:ext>
            </c:extLst>
          </c:dPt>
          <c:dLbls>
            <c:dLbl>
              <c:idx val="1"/>
              <c:layout>
                <c:manualLayout>
                  <c:x val="-0.21092711962555319"/>
                  <c:y val="0.15788224422108005"/>
                </c:manualLayout>
              </c:layout>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bg1"/>
                      </a:solidFill>
                      <a:latin typeface="+mj-lt"/>
                      <a:ea typeface="+mn-ea"/>
                      <a:cs typeface="+mn-cs"/>
                    </a:defRPr>
                  </a:pPr>
                  <a:endParaRPr lang="en-US"/>
                </a:p>
              </c:txPr>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3-2ED5-4FAD-9F9B-4CB0A231874C}"/>
                </c:ext>
              </c:extLst>
            </c:dLbl>
            <c:dLbl>
              <c:idx val="2"/>
              <c:layout>
                <c:manualLayout>
                  <c:x val="-5.722055074470591E-2"/>
                  <c:y val="-0.18839089044737575"/>
                </c:manualLayout>
              </c:layout>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bg1"/>
                      </a:solidFill>
                      <a:latin typeface="+mj-lt"/>
                      <a:ea typeface="+mn-ea"/>
                      <a:cs typeface="+mn-cs"/>
                    </a:defRPr>
                  </a:pPr>
                  <a:endParaRPr lang="en-US"/>
                </a:p>
              </c:txPr>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5-2ED5-4FAD-9F9B-4CB0A231874C}"/>
                </c:ext>
              </c:extLst>
            </c:dLbl>
            <c:dLbl>
              <c:idx val="3"/>
              <c:layout>
                <c:manualLayout>
                  <c:x val="0.21357149644058337"/>
                  <c:y val="4.4993923589133351E-2"/>
                </c:manualLayout>
              </c:layout>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bg1"/>
                      </a:solidFill>
                      <a:latin typeface="+mj-lt"/>
                      <a:ea typeface="+mn-ea"/>
                      <a:cs typeface="+mn-cs"/>
                    </a:defRPr>
                  </a:pPr>
                  <a:endParaRPr lang="en-US"/>
                </a:p>
              </c:txPr>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7-2ED5-4FAD-9F9B-4CB0A231874C}"/>
                </c:ext>
              </c:extLst>
            </c:dLbl>
            <c:dLbl>
              <c:idx val="4"/>
              <c:layout>
                <c:manualLayout>
                  <c:x val="0.14170037350147097"/>
                  <c:y val="0.14907530753987444"/>
                </c:manualLayout>
              </c:layout>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9-2ED5-4FAD-9F9B-4CB0A231874C}"/>
                </c:ext>
              </c:extLst>
            </c:dLbl>
            <c:dLbl>
              <c:idx val="5"/>
              <c:layout>
                <c:manualLayout>
                  <c:x val="-3.0346775991826336E-2"/>
                  <c:y val="1.9937440393725202E-2"/>
                </c:manualLayout>
              </c:layout>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65000"/>
                          <a:lumOff val="35000"/>
                        </a:schemeClr>
                      </a:solidFill>
                      <a:latin typeface="+mj-lt"/>
                      <a:ea typeface="+mn-ea"/>
                      <a:cs typeface="+mn-cs"/>
                    </a:defRPr>
                  </a:pPr>
                  <a:endParaRPr lang="en-US"/>
                </a:p>
              </c:txPr>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B-2ED5-4FAD-9F9B-4CB0A231874C}"/>
                </c:ext>
              </c:extLst>
            </c:dLbl>
            <c:dLbl>
              <c:idx val="6"/>
              <c:layout>
                <c:manualLayout>
                  <c:x val="7.4440051901960028E-2"/>
                  <c:y val="1.1214810221470426E-2"/>
                </c:manualLayout>
              </c:layout>
              <c:tx>
                <c:rich>
                  <a:bodyPr rot="0" spcFirstLastPara="1" vertOverflow="ellipsis" vert="horz" wrap="square" lIns="38100" tIns="19050" rIns="38100" bIns="19050" anchor="ctr" anchorCtr="1">
                    <a:spAutoFit/>
                  </a:bodyPr>
                  <a:lstStyle/>
                  <a:p>
                    <a:pPr>
                      <a:defRPr sz="900" b="0" i="0" u="none" strike="noStrike" kern="1200" baseline="0">
                        <a:solidFill>
                          <a:schemeClr val="tx1">
                            <a:lumMod val="65000"/>
                            <a:lumOff val="35000"/>
                          </a:schemeClr>
                        </a:solidFill>
                        <a:latin typeface="+mj-lt"/>
                        <a:ea typeface="+mn-ea"/>
                        <a:cs typeface="+mn-cs"/>
                      </a:defRPr>
                    </a:pPr>
                    <a:fld id="{F94723AE-C2D0-487B-9412-191624282AC0}" type="CATEGORYNAME">
                      <a:rPr lang="en-US"/>
                      <a:pPr>
                        <a:defRPr>
                          <a:solidFill>
                            <a:schemeClr val="tx1">
                              <a:lumMod val="65000"/>
                              <a:lumOff val="35000"/>
                            </a:schemeClr>
                          </a:solidFill>
                          <a:latin typeface="+mj-lt"/>
                        </a:defRPr>
                      </a:pPr>
                      <a:t>[CATEGORY NAME]</a:t>
                    </a:fld>
                    <a:r>
                      <a:rPr lang="en-US" baseline="0"/>
                      <a:t>
&lt;1%</a:t>
                    </a:r>
                  </a:p>
                </c:rich>
              </c:tx>
              <c:numFmt formatCode="0.00%" sourceLinked="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65000"/>
                          <a:lumOff val="35000"/>
                        </a:schemeClr>
                      </a:solidFill>
                      <a:latin typeface="+mj-lt"/>
                      <a:ea typeface="+mn-ea"/>
                      <a:cs typeface="+mn-cs"/>
                    </a:defRPr>
                  </a:pPr>
                  <a:endParaRPr lang="en-US"/>
                </a:p>
              </c:txPr>
              <c:dLblPos val="bestFit"/>
              <c:showLegendKey val="0"/>
              <c:showVal val="0"/>
              <c:showCatName val="1"/>
              <c:showSerName val="0"/>
              <c:showPercent val="1"/>
              <c:showBubbleSize val="0"/>
              <c:extLst>
                <c:ext xmlns:c15="http://schemas.microsoft.com/office/drawing/2012/chart" uri="{CE6537A1-D6FC-4f65-9D91-7224C49458BB}">
                  <c15:dlblFieldTable/>
                  <c15:showDataLabelsRange val="0"/>
                </c:ext>
                <c:ext xmlns:c16="http://schemas.microsoft.com/office/drawing/2014/chart" uri="{C3380CC4-5D6E-409C-BE32-E72D297353CC}">
                  <c16:uniqueId val="{0000000D-8485-4C42-A7B1-A0593719E9F1}"/>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j-lt"/>
                    <a:ea typeface="+mn-ea"/>
                    <a:cs typeface="+mn-cs"/>
                  </a:defRPr>
                </a:pPr>
                <a:endParaRPr lang="en-US"/>
              </a:p>
            </c:txPr>
            <c:dLblPos val="bestFit"/>
            <c:showLegendKey val="0"/>
            <c:showVal val="0"/>
            <c:showCatName val="1"/>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'ODS Subs'!$S$200:$S$206</c:f>
              <c:strCache>
                <c:ptCount val="7"/>
                <c:pt idx="1">
                  <c:v>HFC-134a</c:v>
                </c:pt>
                <c:pt idx="2">
                  <c:v>HFC-125</c:v>
                </c:pt>
                <c:pt idx="3">
                  <c:v>HFC-143a</c:v>
                </c:pt>
                <c:pt idx="4">
                  <c:v>Others</c:v>
                </c:pt>
                <c:pt idx="5">
                  <c:v>HFC-32</c:v>
                </c:pt>
                <c:pt idx="6">
                  <c:v>HFC-236fa</c:v>
                </c:pt>
              </c:strCache>
            </c:strRef>
          </c:cat>
          <c:val>
            <c:numRef>
              <c:f>'ODS Subs'!$T$200:$T$206</c:f>
              <c:numCache>
                <c:formatCode>#,##0.00</c:formatCode>
                <c:ptCount val="7"/>
                <c:pt idx="1">
                  <c:v>0.22843100235635691</c:v>
                </c:pt>
                <c:pt idx="2">
                  <c:v>0.34025860668278146</c:v>
                </c:pt>
                <c:pt idx="3">
                  <c:v>0.14077387040754646</c:v>
                </c:pt>
                <c:pt idx="4">
                  <c:v>7.979685874198128E-2</c:v>
                </c:pt>
                <c:pt idx="5">
                  <c:v>4.9874669525202149E-2</c:v>
                </c:pt>
                <c:pt idx="6">
                  <c:v>2.7592459525477798E-3</c:v>
                </c:pt>
              </c:numCache>
            </c:numRef>
          </c:val>
          <c:extLst>
            <c:ext xmlns:c16="http://schemas.microsoft.com/office/drawing/2014/chart" uri="{C3380CC4-5D6E-409C-BE32-E72D297353CC}">
              <c16:uniqueId val="{0000000C-2ED5-4FAD-9F9B-4CB0A231874C}"/>
            </c:ext>
          </c:extLst>
        </c:ser>
        <c:dLbls>
          <c:dLblPos val="bestFit"/>
          <c:showLegendKey val="0"/>
          <c:showVal val="1"/>
          <c:showCatName val="0"/>
          <c:showSerName val="0"/>
          <c:showPercent val="0"/>
          <c:showBubbleSize val="0"/>
          <c:showLeaderLines val="1"/>
        </c:dLbls>
        <c:firstSliceAng val="0"/>
      </c:pieChart>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latin typeface="Calibri" panose="020F0502020204030204" pitchFamily="34" charset="0"/>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4515044796615613E-2"/>
          <c:y val="4.3807248108323378E-2"/>
          <c:w val="0.88614599599100741"/>
          <c:h val="0.75328677295316571"/>
        </c:manualLayout>
      </c:layout>
      <c:barChart>
        <c:barDir val="col"/>
        <c:grouping val="stacked"/>
        <c:varyColors val="0"/>
        <c:ser>
          <c:idx val="0"/>
          <c:order val="0"/>
          <c:tx>
            <c:strRef>
              <c:f>'ODS and Subs'!$A$5</c:f>
              <c:strCache>
                <c:ptCount val="1"/>
                <c:pt idx="0">
                  <c:v>ODS (not included in GHG Inventory)</c:v>
                </c:pt>
              </c:strCache>
            </c:strRef>
          </c:tx>
          <c:spPr>
            <a:solidFill>
              <a:schemeClr val="accent2"/>
            </a:solidFill>
            <a:ln>
              <a:solidFill>
                <a:schemeClr val="bg1">
                  <a:alpha val="0"/>
                </a:schemeClr>
              </a:solidFill>
            </a:ln>
            <a:effectLst/>
          </c:spPr>
          <c:invertIfNegative val="0"/>
          <c:dLbls>
            <c:dLbl>
              <c:idx val="0"/>
              <c:layout>
                <c:manualLayout>
                  <c:x val="5.304498622870546E-2"/>
                  <c:y val="-0.10408426662225738"/>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186E-4E13-B62E-D82B68EEE3C3}"/>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ysClr val="windowText" lastClr="000000"/>
                    </a:solidFill>
                    <a:latin typeface="+mj-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extLst>
                <c:ext xmlns:c15="http://schemas.microsoft.com/office/drawing/2012/chart" uri="{02D57815-91ED-43cb-92C2-25804820EDAC}">
                  <c15:fullRef>
                    <c15:sqref>'ODS and Subs'!$B$3:$M$3</c15:sqref>
                  </c15:fullRef>
                </c:ext>
              </c:extLst>
              <c:f>('ODS and Subs'!$B$3:$D$3,'ODS and Subs'!$H$3:$M$3)</c:f>
              <c:numCache>
                <c:formatCode>General</c:formatCode>
                <c:ptCount val="9"/>
                <c:pt idx="0">
                  <c:v>1990</c:v>
                </c:pt>
                <c:pt idx="1">
                  <c:v>2005</c:v>
                </c:pt>
                <c:pt idx="2">
                  <c:v>2007</c:v>
                </c:pt>
                <c:pt idx="3">
                  <c:v>2017</c:v>
                </c:pt>
                <c:pt idx="4">
                  <c:v>2018</c:v>
                </c:pt>
                <c:pt idx="5">
                  <c:v>2019</c:v>
                </c:pt>
                <c:pt idx="6">
                  <c:v>2020</c:v>
                </c:pt>
                <c:pt idx="7">
                  <c:v>2021</c:v>
                </c:pt>
                <c:pt idx="8">
                  <c:v>2022</c:v>
                </c:pt>
              </c:numCache>
            </c:numRef>
          </c:cat>
          <c:val>
            <c:numRef>
              <c:extLst>
                <c:ext xmlns:c15="http://schemas.microsoft.com/office/drawing/2012/chart" uri="{02D57815-91ED-43cb-92C2-25804820EDAC}">
                  <c15:fullRef>
                    <c15:sqref>'ODS and Subs'!$B$5:$M$5</c15:sqref>
                  </c15:fullRef>
                </c:ext>
              </c:extLst>
              <c:f>('ODS and Subs'!$B$5:$D$5,'ODS and Subs'!$H$5:$M$5)</c:f>
              <c:numCache>
                <c:formatCode>0.00</c:formatCode>
                <c:ptCount val="9"/>
                <c:pt idx="0">
                  <c:v>10.406179141361914</c:v>
                </c:pt>
                <c:pt idx="1">
                  <c:v>2.6917065723833007</c:v>
                </c:pt>
                <c:pt idx="2">
                  <c:v>2.0916220170647475</c:v>
                </c:pt>
                <c:pt idx="3">
                  <c:v>0.7805440354148514</c:v>
                </c:pt>
                <c:pt idx="4">
                  <c:v>0.70148463226520164</c:v>
                </c:pt>
                <c:pt idx="5">
                  <c:v>0.61887590493067401</c:v>
                </c:pt>
                <c:pt idx="6">
                  <c:v>0.52902657135286213</c:v>
                </c:pt>
                <c:pt idx="7">
                  <c:v>0.4910369794203705</c:v>
                </c:pt>
                <c:pt idx="8">
                  <c:v>0.44201728503760934</c:v>
                </c:pt>
              </c:numCache>
            </c:numRef>
          </c:val>
          <c:extLst>
            <c:ext xmlns:c16="http://schemas.microsoft.com/office/drawing/2014/chart" uri="{C3380CC4-5D6E-409C-BE32-E72D297353CC}">
              <c16:uniqueId val="{00000000-AC20-49F4-9899-1B6F59A2F836}"/>
            </c:ext>
          </c:extLst>
        </c:ser>
        <c:ser>
          <c:idx val="1"/>
          <c:order val="1"/>
          <c:tx>
            <c:strRef>
              <c:f>'ODS and Subs'!$A$6</c:f>
              <c:strCache>
                <c:ptCount val="1"/>
                <c:pt idx="0">
                  <c:v>ODS Substitutes (included in GHG Inventory)</c:v>
                </c:pt>
              </c:strCache>
            </c:strRef>
          </c:tx>
          <c:spPr>
            <a:solidFill>
              <a:schemeClr val="accent1"/>
            </a:solidFill>
            <a:ln>
              <a:solidFill>
                <a:schemeClr val="bg1">
                  <a:alpha val="0"/>
                </a:schemeClr>
              </a:solidFill>
            </a:ln>
            <a:effectLst/>
          </c:spPr>
          <c:invertIfNegative val="0"/>
          <c:dLbls>
            <c:dLbl>
              <c:idx val="0"/>
              <c:layout>
                <c:manualLayout>
                  <c:x val="1.9984012789768186E-3"/>
                  <c:y val="-4.6721032959565083E-2"/>
                </c:manualLayout>
              </c:layout>
              <c:tx>
                <c:rich>
                  <a:bodyPr/>
                  <a:lstStyle/>
                  <a:p>
                    <a:r>
                      <a:rPr lang="en-US">
                        <a:solidFill>
                          <a:sysClr val="windowText" lastClr="000000"/>
                        </a:solidFill>
                        <a:latin typeface="+mj-lt"/>
                      </a:rPr>
                      <a:t>0.001</a:t>
                    </a:r>
                  </a:p>
                </c:rich>
              </c:tx>
              <c:dLblPos val="ctr"/>
              <c:showLegendKey val="0"/>
              <c:showVal val="1"/>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01-AC20-49F4-9899-1B6F59A2F836}"/>
                </c:ext>
              </c:extLst>
            </c:dLbl>
            <c:dLbl>
              <c:idx val="1"/>
              <c:layout>
                <c:manualLayout>
                  <c:x val="0"/>
                  <c:y val="-5.9463132857628269E-2"/>
                </c:manualLayout>
              </c:layout>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9-9EF9-4797-905B-93ADCAC2407D}"/>
                </c:ext>
              </c:extLst>
            </c:dLbl>
            <c:dLbl>
              <c:idx val="2"/>
              <c:layout>
                <c:manualLayout>
                  <c:x val="-1.998401278976855E-3"/>
                  <c:y val="-5.09683995922528E-2"/>
                </c:manualLayout>
              </c:layout>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8-9EF9-4797-905B-93ADCAC2407D}"/>
                </c:ext>
              </c:extLst>
            </c:dLbl>
            <c:dLbl>
              <c:idx val="3"/>
              <c:layout>
                <c:manualLayout>
                  <c:x val="-7.3273867096517947E-17"/>
                  <c:y val="-4.2473666326878117E-3"/>
                </c:manualLayout>
              </c:layout>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bg1"/>
                      </a:solidFill>
                      <a:latin typeface="+mj-lt"/>
                      <a:ea typeface="+mn-ea"/>
                      <a:cs typeface="+mn-cs"/>
                    </a:defRPr>
                  </a:pPr>
                  <a:endParaRPr lang="en-US"/>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9EF9-4797-905B-93ADCAC2407D}"/>
                </c:ext>
              </c:extLst>
            </c:dLbl>
            <c:dLbl>
              <c:idx val="4"/>
              <c:layout>
                <c:manualLayout>
                  <c:x val="-1.9984012789768186E-3"/>
                  <c:y val="4.2473666326875775E-3"/>
                </c:manualLayout>
              </c:layout>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bg1"/>
                      </a:solidFill>
                      <a:latin typeface="+mj-lt"/>
                      <a:ea typeface="+mn-ea"/>
                      <a:cs typeface="+mn-cs"/>
                    </a:defRPr>
                  </a:pPr>
                  <a:endParaRPr lang="en-US"/>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9EF9-4797-905B-93ADCAC2407D}"/>
                </c:ext>
              </c:extLst>
            </c:dLbl>
            <c:dLbl>
              <c:idx val="5"/>
              <c:layout>
                <c:manualLayout>
                  <c:x val="0"/>
                  <c:y val="-4.2473666326877336E-3"/>
                </c:manualLayout>
              </c:layout>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bg1"/>
                      </a:solidFill>
                      <a:latin typeface="+mj-lt"/>
                      <a:ea typeface="+mn-ea"/>
                      <a:cs typeface="+mn-cs"/>
                    </a:defRPr>
                  </a:pPr>
                  <a:endParaRPr lang="en-US"/>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9EF9-4797-905B-93ADCAC2407D}"/>
                </c:ext>
              </c:extLst>
            </c:dLbl>
            <c:dLbl>
              <c:idx val="6"/>
              <c:layout>
                <c:manualLayout>
                  <c:x val="0"/>
                  <c:y val="0"/>
                </c:manualLayout>
              </c:layout>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bg1"/>
                      </a:solidFill>
                      <a:latin typeface="+mj-lt"/>
                      <a:ea typeface="+mn-ea"/>
                      <a:cs typeface="+mn-cs"/>
                    </a:defRPr>
                  </a:pPr>
                  <a:endParaRPr lang="en-US"/>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9EF9-4797-905B-93ADCAC2407D}"/>
                </c:ext>
              </c:extLst>
            </c:dLbl>
            <c:dLbl>
              <c:idx val="7"/>
              <c:layout>
                <c:manualLayout>
                  <c:x val="1.9984012789768186E-3"/>
                  <c:y val="0"/>
                </c:manualLayout>
              </c:layout>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bg1"/>
                      </a:solidFill>
                      <a:latin typeface="+mj-lt"/>
                      <a:ea typeface="+mn-ea"/>
                      <a:cs typeface="+mn-cs"/>
                    </a:defRPr>
                  </a:pPr>
                  <a:endParaRPr lang="en-US"/>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9EF9-4797-905B-93ADCAC2407D}"/>
                </c:ext>
              </c:extLst>
            </c:dLbl>
            <c:dLbl>
              <c:idx val="8"/>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bg2"/>
                      </a:solidFill>
                      <a:latin typeface="+mj-lt"/>
                      <a:ea typeface="+mn-ea"/>
                      <a:cs typeface="+mn-cs"/>
                    </a:defRPr>
                  </a:pPr>
                  <a:endParaRPr lang="en-US"/>
                </a:p>
              </c:txPr>
              <c:dLblPos val="ctr"/>
              <c:showLegendKey val="0"/>
              <c:showVal val="1"/>
              <c:showCatName val="0"/>
              <c:showSerName val="0"/>
              <c:showPercent val="0"/>
              <c:showBubbleSize val="0"/>
              <c:extLst>
                <c:ext xmlns:c16="http://schemas.microsoft.com/office/drawing/2014/chart" uri="{C3380CC4-5D6E-409C-BE32-E72D297353CC}">
                  <c16:uniqueId val="{00000003-8315-40F9-94C4-54E78F0445A8}"/>
                </c:ext>
              </c:extLst>
            </c:dLbl>
            <c:spPr>
              <a:solidFill>
                <a:schemeClr val="bg1"/>
              </a:solid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ysClr val="windowText" lastClr="000000"/>
                    </a:solidFill>
                    <a:latin typeface="+mj-lt"/>
                    <a:ea typeface="+mn-ea"/>
                    <a:cs typeface="+mn-cs"/>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extLst>
                <c:ext xmlns:c15="http://schemas.microsoft.com/office/drawing/2012/chart" uri="{02D57815-91ED-43cb-92C2-25804820EDAC}">
                  <c15:fullRef>
                    <c15:sqref>'ODS and Subs'!$B$3:$M$3</c15:sqref>
                  </c15:fullRef>
                </c:ext>
              </c:extLst>
              <c:f>('ODS and Subs'!$B$3:$D$3,'ODS and Subs'!$H$3:$M$3)</c:f>
              <c:numCache>
                <c:formatCode>General</c:formatCode>
                <c:ptCount val="9"/>
                <c:pt idx="0">
                  <c:v>1990</c:v>
                </c:pt>
                <c:pt idx="1">
                  <c:v>2005</c:v>
                </c:pt>
                <c:pt idx="2">
                  <c:v>2007</c:v>
                </c:pt>
                <c:pt idx="3">
                  <c:v>2017</c:v>
                </c:pt>
                <c:pt idx="4">
                  <c:v>2018</c:v>
                </c:pt>
                <c:pt idx="5">
                  <c:v>2019</c:v>
                </c:pt>
                <c:pt idx="6">
                  <c:v>2020</c:v>
                </c:pt>
                <c:pt idx="7">
                  <c:v>2021</c:v>
                </c:pt>
                <c:pt idx="8">
                  <c:v>2022</c:v>
                </c:pt>
              </c:numCache>
            </c:numRef>
          </c:cat>
          <c:val>
            <c:numRef>
              <c:extLst>
                <c:ext xmlns:c15="http://schemas.microsoft.com/office/drawing/2012/chart" uri="{02D57815-91ED-43cb-92C2-25804820EDAC}">
                  <c15:fullRef>
                    <c15:sqref>'ODS and Subs'!$B$6:$M$6</c15:sqref>
                  </c15:fullRef>
                </c:ext>
              </c:extLst>
              <c:f>('ODS and Subs'!$B$6:$D$6,'ODS and Subs'!$H$6:$M$6)</c:f>
              <c:numCache>
                <c:formatCode>0.00</c:formatCode>
                <c:ptCount val="9"/>
                <c:pt idx="0">
                  <c:v>1.2951478637102561E-3</c:v>
                </c:pt>
                <c:pt idx="1">
                  <c:v>0.46181603711610281</c:v>
                </c:pt>
                <c:pt idx="2">
                  <c:v>0.52285565538432754</c:v>
                </c:pt>
                <c:pt idx="3">
                  <c:v>0.78208292023898518</c:v>
                </c:pt>
                <c:pt idx="4">
                  <c:v>0.78992219245559414</c:v>
                </c:pt>
                <c:pt idx="5">
                  <c:v>0.80497522367443008</c:v>
                </c:pt>
                <c:pt idx="6">
                  <c:v>0.74999641597544886</c:v>
                </c:pt>
                <c:pt idx="7">
                  <c:v>0.8088312514492102</c:v>
                </c:pt>
                <c:pt idx="8">
                  <c:v>0.84217783737580731</c:v>
                </c:pt>
              </c:numCache>
            </c:numRef>
          </c:val>
          <c:extLst>
            <c:ext xmlns:c15="http://schemas.microsoft.com/office/drawing/2012/chart" uri="{02D57815-91ED-43cb-92C2-25804820EDAC}">
              <c15:categoryFilterExceptions>
                <c15:categoryFilterException>
                  <c15:sqref>'ODS and Subs'!$E$6</c15:sqref>
                  <c15:dLbl>
                    <c:idx val="2"/>
                    <c:layout>
                      <c:manualLayout>
                        <c:x val="0"/>
                        <c:y val="0"/>
                      </c:manualLayout>
                    </c:layout>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bg1"/>
                            </a:solidFill>
                            <a:latin typeface="+mj-lt"/>
                            <a:ea typeface="+mn-ea"/>
                            <a:cs typeface="+mn-cs"/>
                          </a:defRPr>
                        </a:pPr>
                        <a:endParaRPr lang="en-US"/>
                      </a:p>
                    </c:txPr>
                    <c:dLblPos val="ctr"/>
                    <c:showLegendKey val="0"/>
                    <c:showVal val="1"/>
                    <c:showCatName val="0"/>
                    <c:showSerName val="0"/>
                    <c:showPercent val="0"/>
                    <c:showBubbleSize val="0"/>
                    <c:extLst>
                      <c:ext uri="{CE6537A1-D6FC-4f65-9D91-7224C49458BB}"/>
                      <c:ext xmlns:c16="http://schemas.microsoft.com/office/drawing/2014/chart" uri="{C3380CC4-5D6E-409C-BE32-E72D297353CC}">
                        <c16:uniqueId val="{00000000-137C-42BD-9928-4919DF98C6E7}"/>
                      </c:ext>
                    </c:extLst>
                  </c15:dLbl>
                </c15:categoryFilterException>
                <c15:categoryFilterException>
                  <c15:sqref>'ODS and Subs'!$F$6</c15:sqref>
                  <c15:dLbl>
                    <c:idx val="2"/>
                    <c:layout>
                      <c:manualLayout>
                        <c:x val="0"/>
                        <c:y val="0"/>
                      </c:manualLayout>
                    </c:layout>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bg1"/>
                            </a:solidFill>
                            <a:latin typeface="+mj-lt"/>
                            <a:ea typeface="+mn-ea"/>
                            <a:cs typeface="+mn-cs"/>
                          </a:defRPr>
                        </a:pPr>
                        <a:endParaRPr lang="en-US"/>
                      </a:p>
                    </c:txPr>
                    <c:dLblPos val="ctr"/>
                    <c:showLegendKey val="0"/>
                    <c:showVal val="1"/>
                    <c:showCatName val="0"/>
                    <c:showSerName val="0"/>
                    <c:showPercent val="0"/>
                    <c:showBubbleSize val="0"/>
                    <c:extLst>
                      <c:ext uri="{CE6537A1-D6FC-4f65-9D91-7224C49458BB}"/>
                      <c:ext xmlns:c16="http://schemas.microsoft.com/office/drawing/2014/chart" uri="{C3380CC4-5D6E-409C-BE32-E72D297353CC}">
                        <c16:uniqueId val="{00000001-137C-42BD-9928-4919DF98C6E7}"/>
                      </c:ext>
                    </c:extLst>
                  </c15:dLbl>
                </c15:categoryFilterException>
                <c15:categoryFilterException>
                  <c15:sqref>'ODS and Subs'!$G$6</c15:sqref>
                  <c15:dLbl>
                    <c:idx val="2"/>
                    <c:layout>
                      <c:manualLayout>
                        <c:x val="0"/>
                        <c:y val="-4.2473666326877336E-3"/>
                      </c:manualLayout>
                    </c:layout>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bg1"/>
                            </a:solidFill>
                            <a:latin typeface="+mj-lt"/>
                            <a:ea typeface="+mn-ea"/>
                            <a:cs typeface="+mn-cs"/>
                          </a:defRPr>
                        </a:pPr>
                        <a:endParaRPr lang="en-US"/>
                      </a:p>
                    </c:txPr>
                    <c:dLblPos val="ctr"/>
                    <c:showLegendKey val="0"/>
                    <c:showVal val="1"/>
                    <c:showCatName val="0"/>
                    <c:showSerName val="0"/>
                    <c:showPercent val="0"/>
                    <c:showBubbleSize val="0"/>
                    <c:extLst>
                      <c:ext uri="{CE6537A1-D6FC-4f65-9D91-7224C49458BB}"/>
                      <c:ext xmlns:c16="http://schemas.microsoft.com/office/drawing/2014/chart" uri="{C3380CC4-5D6E-409C-BE32-E72D297353CC}">
                        <c16:uniqueId val="{00000002-137C-42BD-9928-4919DF98C6E7}"/>
                      </c:ext>
                    </c:extLst>
                  </c15:dLbl>
                </c15:categoryFilterException>
              </c15:categoryFilterExceptions>
            </c:ext>
            <c:ext xmlns:c16="http://schemas.microsoft.com/office/drawing/2014/chart" uri="{C3380CC4-5D6E-409C-BE32-E72D297353CC}">
              <c16:uniqueId val="{00000002-AC20-49F4-9899-1B6F59A2F836}"/>
            </c:ext>
          </c:extLst>
        </c:ser>
        <c:dLbls>
          <c:showLegendKey val="0"/>
          <c:showVal val="0"/>
          <c:showCatName val="0"/>
          <c:showSerName val="0"/>
          <c:showPercent val="0"/>
          <c:showBubbleSize val="0"/>
        </c:dLbls>
        <c:gapWidth val="150"/>
        <c:overlap val="100"/>
        <c:axId val="1134304624"/>
        <c:axId val="1134305016"/>
      </c:barChart>
      <c:catAx>
        <c:axId val="113430462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j-lt"/>
                <a:ea typeface="+mn-ea"/>
                <a:cs typeface="+mn-cs"/>
              </a:defRPr>
            </a:pPr>
            <a:endParaRPr lang="en-US"/>
          </a:p>
        </c:txPr>
        <c:crossAx val="1134305016"/>
        <c:crosses val="autoZero"/>
        <c:auto val="1"/>
        <c:lblAlgn val="ctr"/>
        <c:lblOffset val="100"/>
        <c:noMultiLvlLbl val="1"/>
      </c:catAx>
      <c:valAx>
        <c:axId val="1134305016"/>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900" b="0" i="0" u="none" strike="noStrike" kern="1200" baseline="0">
                    <a:solidFill>
                      <a:schemeClr val="tx1">
                        <a:lumMod val="65000"/>
                        <a:lumOff val="35000"/>
                      </a:schemeClr>
                    </a:solidFill>
                    <a:latin typeface="+mj-lt"/>
                    <a:ea typeface="+mn-ea"/>
                    <a:cs typeface="+mn-cs"/>
                  </a:defRPr>
                </a:pPr>
                <a:r>
                  <a:rPr lang="en-US" sz="900">
                    <a:latin typeface="+mj-lt"/>
                  </a:rPr>
                  <a:t>MMT CO</a:t>
                </a:r>
                <a:r>
                  <a:rPr lang="en-US" sz="900" baseline="-25000">
                    <a:latin typeface="+mj-lt"/>
                  </a:rPr>
                  <a:t>2</a:t>
                </a:r>
                <a:r>
                  <a:rPr lang="en-US" sz="900">
                    <a:latin typeface="+mj-lt"/>
                  </a:rPr>
                  <a:t> Eq.</a:t>
                </a:r>
              </a:p>
            </c:rich>
          </c:tx>
          <c:layout>
            <c:manualLayout>
              <c:xMode val="edge"/>
              <c:yMode val="edge"/>
              <c:x val="2.4631024382821713E-2"/>
              <c:y val="0.36178771517930547"/>
            </c:manualLayout>
          </c:layout>
          <c:overlay val="0"/>
          <c:spPr>
            <a:noFill/>
            <a:ln>
              <a:noFill/>
            </a:ln>
            <a:effectLst/>
          </c:spPr>
          <c:txPr>
            <a:bodyPr rot="-5400000" spcFirstLastPara="1" vertOverflow="ellipsis" vert="horz" wrap="square" anchor="ctr" anchorCtr="1"/>
            <a:lstStyle/>
            <a:p>
              <a:pPr>
                <a:defRPr sz="900" b="0" i="0" u="none" strike="noStrike" kern="1200" baseline="0">
                  <a:solidFill>
                    <a:schemeClr val="tx1">
                      <a:lumMod val="65000"/>
                      <a:lumOff val="35000"/>
                    </a:schemeClr>
                  </a:solidFill>
                  <a:latin typeface="+mj-lt"/>
                  <a:ea typeface="+mn-ea"/>
                  <a:cs typeface="+mn-cs"/>
                </a:defRPr>
              </a:pPr>
              <a:endParaRPr lang="en-US"/>
            </a:p>
          </c:txPr>
        </c:title>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j-lt"/>
                <a:ea typeface="+mn-ea"/>
                <a:cs typeface="+mn-cs"/>
              </a:defRPr>
            </a:pPr>
            <a:endParaRPr lang="en-US"/>
          </a:p>
        </c:txPr>
        <c:crossAx val="1134304624"/>
        <c:crosses val="autoZero"/>
        <c:crossBetween val="between"/>
      </c:valAx>
      <c:spPr>
        <a:noFill/>
        <a:ln>
          <a:noFill/>
        </a:ln>
        <a:effectLst/>
      </c:spPr>
    </c:plotArea>
    <c:legend>
      <c:legendPos val="b"/>
      <c:layout>
        <c:manualLayout>
          <c:xMode val="edge"/>
          <c:yMode val="edge"/>
          <c:x val="0.14128990996378615"/>
          <c:y val="0.89916569901313448"/>
          <c:w val="0.80111282766869329"/>
          <c:h val="6.0549401184916481E-2"/>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j-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a:latin typeface="Calibri" panose="020F0502020204030204" pitchFamily="34" charset="0"/>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4515044796615613E-2"/>
          <c:y val="4.3807248108323378E-2"/>
          <c:w val="0.88614599599100741"/>
          <c:h val="0.84248155907117117"/>
        </c:manualLayout>
      </c:layout>
      <c:barChart>
        <c:barDir val="col"/>
        <c:grouping val="stacked"/>
        <c:varyColors val="0"/>
        <c:ser>
          <c:idx val="0"/>
          <c:order val="0"/>
          <c:tx>
            <c:strRef>
              <c:f>'ODS and Subs'!$A$5</c:f>
              <c:strCache>
                <c:ptCount val="1"/>
                <c:pt idx="0">
                  <c:v>ODS (not included in GHG Inventory)</c:v>
                </c:pt>
              </c:strCache>
            </c:strRef>
          </c:tx>
          <c:spPr>
            <a:solidFill>
              <a:schemeClr val="accent2"/>
            </a:solidFill>
            <a:ln>
              <a:solidFill>
                <a:schemeClr val="bg1">
                  <a:alpha val="0"/>
                </a:schemeClr>
              </a:solidFill>
            </a:ln>
            <a:effectLst/>
          </c:spPr>
          <c:invertIfNegative val="0"/>
          <c:dLbls>
            <c:dLbl>
              <c:idx val="0"/>
              <c:layout>
                <c:manualLayout>
                  <c:x val="6.3036971997205343E-2"/>
                  <c:y val="6.3473048284866532E-3"/>
                </c:manualLayout>
              </c:layout>
              <c:spPr>
                <a:noFill/>
                <a:ln>
                  <a:noFill/>
                </a:ln>
                <a:effectLst/>
              </c:spPr>
              <c:txPr>
                <a:bodyPr rot="0" spcFirstLastPara="1" vertOverflow="ellipsis" vert="horz" wrap="square" lIns="38100" tIns="19050" rIns="38100" bIns="19050" anchor="ctr" anchorCtr="1">
                  <a:spAutoFit/>
                </a:bodyPr>
                <a:lstStyle/>
                <a:p>
                  <a:pPr>
                    <a:defRPr sz="850" b="0" i="0" u="none" strike="noStrike" kern="1200" baseline="0">
                      <a:solidFill>
                        <a:schemeClr val="tx1">
                          <a:lumMod val="65000"/>
                          <a:lumOff val="35000"/>
                        </a:schemeClr>
                      </a:solidFill>
                      <a:latin typeface="+mn-lt"/>
                      <a:ea typeface="+mn-ea"/>
                      <a:cs typeface="+mn-cs"/>
                    </a:defRPr>
                  </a:pPr>
                  <a:endParaRPr lang="en-US"/>
                </a:p>
              </c:txP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CE75-4BF4-9E8F-82326F0A4405}"/>
                </c:ext>
              </c:extLst>
            </c:dLbl>
            <c:spPr>
              <a:noFill/>
              <a:ln>
                <a:noFill/>
              </a:ln>
              <a:effectLst/>
            </c:spPr>
            <c:txPr>
              <a:bodyPr rot="0" spcFirstLastPara="1" vertOverflow="ellipsis" vert="horz" wrap="square" lIns="38100" tIns="19050" rIns="38100" bIns="19050" anchor="ctr" anchorCtr="1">
                <a:spAutoFit/>
              </a:bodyPr>
              <a:lstStyle/>
              <a:p>
                <a:pPr>
                  <a:defRPr sz="850" b="0" i="0" u="none" strike="noStrike" kern="1200" baseline="0">
                    <a:solidFill>
                      <a:schemeClr val="tx1">
                        <a:lumMod val="85000"/>
                        <a:lumOff val="15000"/>
                      </a:schemeClr>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'ODS and Subs'!$B$3:$M$3</c:f>
              <c:numCache>
                <c:formatCode>General</c:formatCode>
                <c:ptCount val="12"/>
                <c:pt idx="0">
                  <c:v>1990</c:v>
                </c:pt>
                <c:pt idx="1">
                  <c:v>2005</c:v>
                </c:pt>
                <c:pt idx="2">
                  <c:v>2007</c:v>
                </c:pt>
                <c:pt idx="3">
                  <c:v>2010</c:v>
                </c:pt>
                <c:pt idx="4">
                  <c:v>2015</c:v>
                </c:pt>
                <c:pt idx="5">
                  <c:v>2016</c:v>
                </c:pt>
                <c:pt idx="6">
                  <c:v>2017</c:v>
                </c:pt>
                <c:pt idx="7">
                  <c:v>2018</c:v>
                </c:pt>
                <c:pt idx="8">
                  <c:v>2019</c:v>
                </c:pt>
                <c:pt idx="9">
                  <c:v>2020</c:v>
                </c:pt>
                <c:pt idx="10">
                  <c:v>2021</c:v>
                </c:pt>
                <c:pt idx="11">
                  <c:v>2022</c:v>
                </c:pt>
              </c:numCache>
            </c:numRef>
          </c:cat>
          <c:val>
            <c:numRef>
              <c:f>'ODS and Subs'!$B$5:$M$5</c:f>
              <c:numCache>
                <c:formatCode>0.00</c:formatCode>
                <c:ptCount val="12"/>
                <c:pt idx="0">
                  <c:v>10.406179141361914</c:v>
                </c:pt>
                <c:pt idx="1">
                  <c:v>2.6917065723833007</c:v>
                </c:pt>
                <c:pt idx="2">
                  <c:v>2.0916220170647475</c:v>
                </c:pt>
                <c:pt idx="3">
                  <c:v>1.37168831860305</c:v>
                </c:pt>
                <c:pt idx="4">
                  <c:v>0.92042622013494269</c:v>
                </c:pt>
                <c:pt idx="5">
                  <c:v>0.84653427352069333</c:v>
                </c:pt>
                <c:pt idx="6">
                  <c:v>0.7805440354148514</c:v>
                </c:pt>
                <c:pt idx="7">
                  <c:v>0.70148463226520164</c:v>
                </c:pt>
                <c:pt idx="8">
                  <c:v>0.61887590493067401</c:v>
                </c:pt>
                <c:pt idx="9">
                  <c:v>0.52902657135286213</c:v>
                </c:pt>
                <c:pt idx="10">
                  <c:v>0.4910369794203705</c:v>
                </c:pt>
                <c:pt idx="11">
                  <c:v>0.44201728503760934</c:v>
                </c:pt>
              </c:numCache>
            </c:numRef>
          </c:val>
          <c:extLst>
            <c:ext xmlns:c16="http://schemas.microsoft.com/office/drawing/2014/chart" uri="{C3380CC4-5D6E-409C-BE32-E72D297353CC}">
              <c16:uniqueId val="{00000001-CE75-4BF4-9E8F-82326F0A4405}"/>
            </c:ext>
          </c:extLst>
        </c:ser>
        <c:ser>
          <c:idx val="1"/>
          <c:order val="1"/>
          <c:tx>
            <c:strRef>
              <c:f>'ODS and Subs'!$A$6</c:f>
              <c:strCache>
                <c:ptCount val="1"/>
                <c:pt idx="0">
                  <c:v>ODS Substitutes (included in GHG Inventory)</c:v>
                </c:pt>
              </c:strCache>
            </c:strRef>
          </c:tx>
          <c:spPr>
            <a:solidFill>
              <a:schemeClr val="accent1"/>
            </a:solidFill>
            <a:ln>
              <a:solidFill>
                <a:schemeClr val="bg1">
                  <a:alpha val="0"/>
                </a:schemeClr>
              </a:solidFill>
            </a:ln>
            <a:effectLst/>
          </c:spPr>
          <c:invertIfNegative val="0"/>
          <c:dLbls>
            <c:dLbl>
              <c:idx val="0"/>
              <c:layout>
                <c:manualLayout>
                  <c:x val="7.9936051159072735E-2"/>
                  <c:y val="-8.4947332653754863E-3"/>
                </c:manualLayout>
              </c:layout>
              <c:tx>
                <c:rich>
                  <a:bodyPr rot="0" spcFirstLastPara="1" vertOverflow="ellipsis" vert="horz" wrap="square" lIns="38100" tIns="19050" rIns="38100" bIns="19050" anchor="ctr" anchorCtr="1">
                    <a:spAutoFit/>
                  </a:bodyPr>
                  <a:lstStyle/>
                  <a:p>
                    <a:pPr>
                      <a:defRPr sz="850" b="0" i="0" u="none" strike="noStrike" kern="1200" baseline="0">
                        <a:solidFill>
                          <a:schemeClr val="tx1">
                            <a:lumMod val="65000"/>
                            <a:lumOff val="35000"/>
                          </a:schemeClr>
                        </a:solidFill>
                        <a:latin typeface="+mn-lt"/>
                        <a:ea typeface="+mn-ea"/>
                        <a:cs typeface="+mn-cs"/>
                      </a:defRPr>
                    </a:pPr>
                    <a:r>
                      <a:rPr lang="en-US" sz="850">
                        <a:solidFill>
                          <a:schemeClr val="tx1">
                            <a:lumMod val="65000"/>
                            <a:lumOff val="35000"/>
                          </a:schemeClr>
                        </a:solidFill>
                        <a:latin typeface="+mj-lt"/>
                      </a:rPr>
                      <a:t>&lt; 0.01</a:t>
                    </a:r>
                  </a:p>
                </c:rich>
              </c:tx>
              <c:spPr>
                <a:solidFill>
                  <a:schemeClr val="bg1"/>
                </a:solidFill>
                <a:ln>
                  <a:noFill/>
                </a:ln>
                <a:effectLst/>
              </c:spPr>
              <c:txPr>
                <a:bodyPr rot="0" spcFirstLastPara="1" vertOverflow="ellipsis" vert="horz" wrap="square" lIns="38100" tIns="19050" rIns="38100" bIns="19050" anchor="ctr" anchorCtr="1">
                  <a:spAutoFit/>
                </a:bodyPr>
                <a:lstStyle/>
                <a:p>
                  <a:pPr>
                    <a:defRPr sz="850" b="0" i="0" u="none" strike="noStrike" kern="1200" baseline="0">
                      <a:solidFill>
                        <a:schemeClr val="tx1">
                          <a:lumMod val="65000"/>
                          <a:lumOff val="35000"/>
                        </a:schemeClr>
                      </a:solidFill>
                      <a:latin typeface="+mn-lt"/>
                      <a:ea typeface="+mn-ea"/>
                      <a:cs typeface="+mn-cs"/>
                    </a:defRPr>
                  </a:pPr>
                  <a:endParaRPr lang="en-US"/>
                </a:p>
              </c:txPr>
              <c:dLblPos val="ctr"/>
              <c:showLegendKey val="0"/>
              <c:showVal val="1"/>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02-CE75-4BF4-9E8F-82326F0A4405}"/>
                </c:ext>
              </c:extLst>
            </c:dLbl>
            <c:dLbl>
              <c:idx val="1"/>
              <c:layout>
                <c:manualLayout>
                  <c:x val="-1.9984012789768186E-3"/>
                  <c:y val="-4.2473666326877338E-2"/>
                </c:manualLayout>
              </c:layout>
              <c:spPr>
                <a:solidFill>
                  <a:schemeClr val="bg1"/>
                </a:solidFill>
                <a:ln>
                  <a:noFill/>
                </a:ln>
                <a:effectLst/>
              </c:spPr>
              <c:txPr>
                <a:bodyPr rot="0" spcFirstLastPara="1" vertOverflow="ellipsis" vert="horz" wrap="square" lIns="38100" tIns="19050" rIns="38100" bIns="19050" anchor="ctr" anchorCtr="1">
                  <a:spAutoFit/>
                </a:bodyPr>
                <a:lstStyle/>
                <a:p>
                  <a:pPr>
                    <a:defRPr sz="850" b="0" i="0" u="none" strike="noStrike" kern="1200" baseline="0">
                      <a:solidFill>
                        <a:schemeClr val="tx1">
                          <a:lumMod val="65000"/>
                          <a:lumOff val="35000"/>
                        </a:schemeClr>
                      </a:solidFill>
                      <a:latin typeface="+mn-lt"/>
                      <a:ea typeface="+mn-ea"/>
                      <a:cs typeface="+mn-cs"/>
                    </a:defRPr>
                  </a:pPr>
                  <a:endParaRPr lang="en-US"/>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CE75-4BF4-9E8F-82326F0A4405}"/>
                </c:ext>
              </c:extLst>
            </c:dLbl>
            <c:dLbl>
              <c:idx val="2"/>
              <c:layout>
                <c:manualLayout>
                  <c:x val="-1.998401278976855E-3"/>
                  <c:y val="-5.09683995922528E-2"/>
                </c:manualLayout>
              </c:layout>
              <c:spPr>
                <a:solidFill>
                  <a:schemeClr val="bg1"/>
                </a:solidFill>
                <a:ln>
                  <a:noFill/>
                </a:ln>
                <a:effectLst/>
              </c:spPr>
              <c:txPr>
                <a:bodyPr rot="0" spcFirstLastPara="1" vertOverflow="ellipsis" vert="horz" wrap="square" lIns="38100" tIns="19050" rIns="38100" bIns="19050" anchor="ctr" anchorCtr="1">
                  <a:spAutoFit/>
                </a:bodyPr>
                <a:lstStyle/>
                <a:p>
                  <a:pPr>
                    <a:defRPr sz="850" b="0" i="0" u="none" strike="noStrike" kern="1200" baseline="0">
                      <a:solidFill>
                        <a:schemeClr val="tx1">
                          <a:lumMod val="65000"/>
                          <a:lumOff val="35000"/>
                        </a:schemeClr>
                      </a:solidFill>
                      <a:latin typeface="+mn-lt"/>
                      <a:ea typeface="+mn-ea"/>
                      <a:cs typeface="+mn-cs"/>
                    </a:defRPr>
                  </a:pPr>
                  <a:endParaRPr lang="en-US"/>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CE75-4BF4-9E8F-82326F0A4405}"/>
                </c:ext>
              </c:extLst>
            </c:dLbl>
            <c:dLbl>
              <c:idx val="3"/>
              <c:layout>
                <c:manualLayout>
                  <c:x val="0"/>
                  <c:y val="0"/>
                </c:manualLayout>
              </c:layout>
              <c:spPr>
                <a:noFill/>
                <a:ln>
                  <a:noFill/>
                </a:ln>
                <a:effectLst/>
              </c:spPr>
              <c:txPr>
                <a:bodyPr rot="0" spcFirstLastPara="1" vertOverflow="ellipsis" vert="horz" wrap="square" lIns="38100" tIns="19050" rIns="38100" bIns="19050" anchor="ctr" anchorCtr="1">
                  <a:spAutoFit/>
                </a:bodyPr>
                <a:lstStyle/>
                <a:p>
                  <a:pPr>
                    <a:defRPr sz="850" b="0" i="0" u="none" strike="noStrike" kern="1200" baseline="0">
                      <a:solidFill>
                        <a:schemeClr val="bg1"/>
                      </a:solidFill>
                      <a:latin typeface="+mn-lt"/>
                      <a:ea typeface="+mn-ea"/>
                      <a:cs typeface="+mn-cs"/>
                    </a:defRPr>
                  </a:pPr>
                  <a:endParaRPr lang="en-US"/>
                </a:p>
              </c:txPr>
              <c:dLblPos val="ctr"/>
              <c:showLegendKey val="0"/>
              <c:showVal val="1"/>
              <c:showCatName val="0"/>
              <c:showSerName val="0"/>
              <c:showPercent val="0"/>
              <c:showBubbleSize val="0"/>
              <c:extLst xmlns:c15="http://schemas.microsoft.com/office/drawing/2012/chart">
                <c:ext xmlns:c15="http://schemas.microsoft.com/office/drawing/2012/chart" uri="{CE6537A1-D6FC-4f65-9D91-7224C49458BB}"/>
                <c:ext xmlns:c16="http://schemas.microsoft.com/office/drawing/2014/chart" uri="{C3380CC4-5D6E-409C-BE32-E72D297353CC}">
                  <c16:uniqueId val="{00000000-1BDF-47A0-829D-CDF2D29B11A3}"/>
                </c:ext>
              </c:extLst>
            </c:dLbl>
            <c:dLbl>
              <c:idx val="4"/>
              <c:layout>
                <c:manualLayout>
                  <c:x val="0"/>
                  <c:y val="0"/>
                </c:manualLayout>
              </c:layout>
              <c:spPr>
                <a:noFill/>
                <a:ln>
                  <a:noFill/>
                </a:ln>
                <a:effectLst/>
              </c:spPr>
              <c:txPr>
                <a:bodyPr rot="0" spcFirstLastPara="1" vertOverflow="ellipsis" vert="horz" wrap="square" lIns="38100" tIns="19050" rIns="38100" bIns="19050" anchor="ctr" anchorCtr="1">
                  <a:spAutoFit/>
                </a:bodyPr>
                <a:lstStyle/>
                <a:p>
                  <a:pPr>
                    <a:defRPr sz="850" b="0" i="0" u="none" strike="noStrike" kern="1200" baseline="0">
                      <a:solidFill>
                        <a:schemeClr val="bg1"/>
                      </a:solidFill>
                      <a:latin typeface="+mn-lt"/>
                      <a:ea typeface="+mn-ea"/>
                      <a:cs typeface="+mn-cs"/>
                    </a:defRPr>
                  </a:pPr>
                  <a:endParaRPr lang="en-US"/>
                </a:p>
              </c:txPr>
              <c:dLblPos val="ctr"/>
              <c:showLegendKey val="0"/>
              <c:showVal val="1"/>
              <c:showCatName val="0"/>
              <c:showSerName val="0"/>
              <c:showPercent val="0"/>
              <c:showBubbleSize val="0"/>
              <c:extLst xmlns:c15="http://schemas.microsoft.com/office/drawing/2012/chart">
                <c:ext xmlns:c15="http://schemas.microsoft.com/office/drawing/2012/chart" uri="{CE6537A1-D6FC-4f65-9D91-7224C49458BB}"/>
                <c:ext xmlns:c16="http://schemas.microsoft.com/office/drawing/2014/chart" uri="{C3380CC4-5D6E-409C-BE32-E72D297353CC}">
                  <c16:uniqueId val="{00000001-1BDF-47A0-829D-CDF2D29B11A3}"/>
                </c:ext>
              </c:extLst>
            </c:dLbl>
            <c:dLbl>
              <c:idx val="5"/>
              <c:layout>
                <c:manualLayout>
                  <c:x val="0"/>
                  <c:y val="-4.2473666326877336E-3"/>
                </c:manualLayout>
              </c:layout>
              <c:spPr>
                <a:noFill/>
                <a:ln>
                  <a:noFill/>
                </a:ln>
                <a:effectLst/>
              </c:spPr>
              <c:txPr>
                <a:bodyPr rot="0" spcFirstLastPara="1" vertOverflow="ellipsis" vert="horz" wrap="square" lIns="38100" tIns="19050" rIns="38100" bIns="19050" anchor="ctr" anchorCtr="1">
                  <a:spAutoFit/>
                </a:bodyPr>
                <a:lstStyle/>
                <a:p>
                  <a:pPr>
                    <a:defRPr sz="850" b="0" i="0" u="none" strike="noStrike" kern="1200" baseline="0">
                      <a:solidFill>
                        <a:schemeClr val="bg1"/>
                      </a:solidFill>
                      <a:latin typeface="+mn-lt"/>
                      <a:ea typeface="+mn-ea"/>
                      <a:cs typeface="+mn-cs"/>
                    </a:defRPr>
                  </a:pPr>
                  <a:endParaRPr lang="en-US"/>
                </a:p>
              </c:txPr>
              <c:dLblPos val="ctr"/>
              <c:showLegendKey val="0"/>
              <c:showVal val="1"/>
              <c:showCatName val="0"/>
              <c:showSerName val="0"/>
              <c:showPercent val="0"/>
              <c:showBubbleSize val="0"/>
              <c:extLst xmlns:c15="http://schemas.microsoft.com/office/drawing/2012/chart">
                <c:ext xmlns:c15="http://schemas.microsoft.com/office/drawing/2012/chart" uri="{CE6537A1-D6FC-4f65-9D91-7224C49458BB}"/>
                <c:ext xmlns:c16="http://schemas.microsoft.com/office/drawing/2014/chart" uri="{C3380CC4-5D6E-409C-BE32-E72D297353CC}">
                  <c16:uniqueId val="{00000002-1BDF-47A0-829D-CDF2D29B11A3}"/>
                </c:ext>
              </c:extLst>
            </c:dLbl>
            <c:dLbl>
              <c:idx val="6"/>
              <c:layout>
                <c:manualLayout>
                  <c:x val="-7.3273867096517947E-17"/>
                  <c:y val="-4.2473666326878117E-3"/>
                </c:manualLayout>
              </c:layout>
              <c:spPr>
                <a:noFill/>
                <a:ln>
                  <a:noFill/>
                </a:ln>
                <a:effectLst/>
              </c:spPr>
              <c:txPr>
                <a:bodyPr rot="0" spcFirstLastPara="1" vertOverflow="ellipsis" vert="horz" wrap="square" lIns="38100" tIns="19050" rIns="38100" bIns="19050" anchor="ctr" anchorCtr="1">
                  <a:spAutoFit/>
                </a:bodyPr>
                <a:lstStyle/>
                <a:p>
                  <a:pPr>
                    <a:defRPr sz="850" b="0" i="0" u="none" strike="noStrike" kern="1200" baseline="0">
                      <a:solidFill>
                        <a:schemeClr val="bg1"/>
                      </a:solidFill>
                      <a:latin typeface="+mn-lt"/>
                      <a:ea typeface="+mn-ea"/>
                      <a:cs typeface="+mn-cs"/>
                    </a:defRPr>
                  </a:pPr>
                  <a:endParaRPr lang="en-US"/>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CE75-4BF4-9E8F-82326F0A4405}"/>
                </c:ext>
              </c:extLst>
            </c:dLbl>
            <c:dLbl>
              <c:idx val="7"/>
              <c:layout>
                <c:manualLayout>
                  <c:x val="-1.9984012789768186E-3"/>
                  <c:y val="4.2473666326875775E-3"/>
                </c:manualLayout>
              </c:layout>
              <c:spPr>
                <a:noFill/>
                <a:ln>
                  <a:noFill/>
                </a:ln>
                <a:effectLst/>
              </c:spPr>
              <c:txPr>
                <a:bodyPr rot="0" spcFirstLastPara="1" vertOverflow="ellipsis" vert="horz" wrap="square" lIns="38100" tIns="19050" rIns="38100" bIns="19050" anchor="ctr" anchorCtr="1">
                  <a:spAutoFit/>
                </a:bodyPr>
                <a:lstStyle/>
                <a:p>
                  <a:pPr>
                    <a:defRPr sz="850" b="0" i="0" u="none" strike="noStrike" kern="1200" baseline="0">
                      <a:solidFill>
                        <a:schemeClr val="bg1"/>
                      </a:solidFill>
                      <a:latin typeface="+mn-lt"/>
                      <a:ea typeface="+mn-ea"/>
                      <a:cs typeface="+mn-cs"/>
                    </a:defRPr>
                  </a:pPr>
                  <a:endParaRPr lang="en-US"/>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6-CE75-4BF4-9E8F-82326F0A4405}"/>
                </c:ext>
              </c:extLst>
            </c:dLbl>
            <c:dLbl>
              <c:idx val="8"/>
              <c:layout>
                <c:manualLayout>
                  <c:x val="0"/>
                  <c:y val="-4.2473666326877336E-3"/>
                </c:manualLayout>
              </c:layout>
              <c:spPr>
                <a:noFill/>
                <a:ln>
                  <a:noFill/>
                </a:ln>
                <a:effectLst/>
              </c:spPr>
              <c:txPr>
                <a:bodyPr rot="0" spcFirstLastPara="1" vertOverflow="ellipsis" vert="horz" wrap="square" lIns="38100" tIns="19050" rIns="38100" bIns="19050" anchor="ctr" anchorCtr="1">
                  <a:spAutoFit/>
                </a:bodyPr>
                <a:lstStyle/>
                <a:p>
                  <a:pPr>
                    <a:defRPr sz="850" b="0" i="0" u="none" strike="noStrike" kern="1200" baseline="0">
                      <a:solidFill>
                        <a:schemeClr val="bg1"/>
                      </a:solidFill>
                      <a:latin typeface="+mn-lt"/>
                      <a:ea typeface="+mn-ea"/>
                      <a:cs typeface="+mn-cs"/>
                    </a:defRPr>
                  </a:pPr>
                  <a:endParaRPr lang="en-US"/>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7-CE75-4BF4-9E8F-82326F0A4405}"/>
                </c:ext>
              </c:extLst>
            </c:dLbl>
            <c:dLbl>
              <c:idx val="9"/>
              <c:layout>
                <c:manualLayout>
                  <c:x val="0"/>
                  <c:y val="0"/>
                </c:manualLayout>
              </c:layout>
              <c:spPr>
                <a:noFill/>
                <a:ln>
                  <a:noFill/>
                </a:ln>
                <a:effectLst/>
              </c:spPr>
              <c:txPr>
                <a:bodyPr rot="0" spcFirstLastPara="1" vertOverflow="ellipsis" vert="horz" wrap="square" lIns="38100" tIns="19050" rIns="38100" bIns="19050" anchor="ctr" anchorCtr="1">
                  <a:spAutoFit/>
                </a:bodyPr>
                <a:lstStyle/>
                <a:p>
                  <a:pPr>
                    <a:defRPr sz="850" b="0" i="0" u="none" strike="noStrike" kern="1200" baseline="0">
                      <a:solidFill>
                        <a:schemeClr val="bg1"/>
                      </a:solidFill>
                      <a:latin typeface="+mn-lt"/>
                      <a:ea typeface="+mn-ea"/>
                      <a:cs typeface="+mn-cs"/>
                    </a:defRPr>
                  </a:pPr>
                  <a:endParaRPr lang="en-US"/>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8-CE75-4BF4-9E8F-82326F0A4405}"/>
                </c:ext>
              </c:extLst>
            </c:dLbl>
            <c:dLbl>
              <c:idx val="10"/>
              <c:layout>
                <c:manualLayout>
                  <c:x val="1.9984012789768186E-3"/>
                  <c:y val="0"/>
                </c:manualLayout>
              </c:layout>
              <c:spPr>
                <a:noFill/>
                <a:ln>
                  <a:noFill/>
                </a:ln>
                <a:effectLst/>
              </c:spPr>
              <c:txPr>
                <a:bodyPr rot="0" spcFirstLastPara="1" vertOverflow="ellipsis" vert="horz" wrap="square" lIns="38100" tIns="19050" rIns="38100" bIns="19050" anchor="ctr" anchorCtr="1">
                  <a:spAutoFit/>
                </a:bodyPr>
                <a:lstStyle/>
                <a:p>
                  <a:pPr>
                    <a:defRPr sz="850" b="0" i="0" u="none" strike="noStrike" kern="1200" baseline="0">
                      <a:solidFill>
                        <a:schemeClr val="bg1"/>
                      </a:solidFill>
                      <a:latin typeface="+mn-lt"/>
                      <a:ea typeface="+mn-ea"/>
                      <a:cs typeface="+mn-cs"/>
                    </a:defRPr>
                  </a:pPr>
                  <a:endParaRPr lang="en-US"/>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9-CE75-4BF4-9E8F-82326F0A4405}"/>
                </c:ext>
              </c:extLst>
            </c:dLbl>
            <c:dLbl>
              <c:idx val="11"/>
              <c:spPr>
                <a:noFill/>
                <a:ln>
                  <a:noFill/>
                </a:ln>
                <a:effectLst/>
              </c:spPr>
              <c:txPr>
                <a:bodyPr rot="0" spcFirstLastPara="1" vertOverflow="ellipsis" vert="horz" wrap="square" lIns="38100" tIns="19050" rIns="38100" bIns="19050" anchor="ctr" anchorCtr="1">
                  <a:spAutoFit/>
                </a:bodyPr>
                <a:lstStyle/>
                <a:p>
                  <a:pPr>
                    <a:defRPr sz="850" b="0" i="0" u="none" strike="noStrike" kern="1200" baseline="0">
                      <a:solidFill>
                        <a:schemeClr val="bg2"/>
                      </a:solidFill>
                      <a:latin typeface="+mn-lt"/>
                      <a:ea typeface="+mn-ea"/>
                      <a:cs typeface="+mn-cs"/>
                    </a:defRPr>
                  </a:pPr>
                  <a:endParaRPr lang="en-US"/>
                </a:p>
              </c:txPr>
              <c:dLblPos val="ctr"/>
              <c:showLegendKey val="0"/>
              <c:showVal val="1"/>
              <c:showCatName val="0"/>
              <c:showSerName val="0"/>
              <c:showPercent val="0"/>
              <c:showBubbleSize val="0"/>
              <c:extLst>
                <c:ext xmlns:c16="http://schemas.microsoft.com/office/drawing/2014/chart" uri="{C3380CC4-5D6E-409C-BE32-E72D297353CC}">
                  <c16:uniqueId val="{0000000A-CE75-4BF4-9E8F-82326F0A4405}"/>
                </c:ext>
              </c:extLst>
            </c:dLbl>
            <c:spPr>
              <a:solidFill>
                <a:schemeClr val="bg1"/>
              </a:solidFill>
              <a:ln>
                <a:noFill/>
              </a:ln>
              <a:effectLst/>
            </c:spPr>
            <c:txPr>
              <a:bodyPr rot="0" spcFirstLastPara="1" vertOverflow="ellipsis" vert="horz" wrap="square" lIns="38100" tIns="19050" rIns="38100" bIns="19050" anchor="ctr" anchorCtr="1">
                <a:spAutoFit/>
              </a:bodyPr>
              <a:lstStyle/>
              <a:p>
                <a:pPr>
                  <a:defRPr sz="850" b="0" i="0" u="none" strike="noStrike" kern="1200" baseline="0">
                    <a:solidFill>
                      <a:sysClr val="windowText" lastClr="000000"/>
                    </a:solidFill>
                    <a:latin typeface="+mn-lt"/>
                    <a:ea typeface="+mn-ea"/>
                    <a:cs typeface="+mn-cs"/>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'ODS and Subs'!$B$3:$M$3</c:f>
              <c:numCache>
                <c:formatCode>General</c:formatCode>
                <c:ptCount val="12"/>
                <c:pt idx="0">
                  <c:v>1990</c:v>
                </c:pt>
                <c:pt idx="1">
                  <c:v>2005</c:v>
                </c:pt>
                <c:pt idx="2">
                  <c:v>2007</c:v>
                </c:pt>
                <c:pt idx="3">
                  <c:v>2010</c:v>
                </c:pt>
                <c:pt idx="4">
                  <c:v>2015</c:v>
                </c:pt>
                <c:pt idx="5">
                  <c:v>2016</c:v>
                </c:pt>
                <c:pt idx="6">
                  <c:v>2017</c:v>
                </c:pt>
                <c:pt idx="7">
                  <c:v>2018</c:v>
                </c:pt>
                <c:pt idx="8">
                  <c:v>2019</c:v>
                </c:pt>
                <c:pt idx="9">
                  <c:v>2020</c:v>
                </c:pt>
                <c:pt idx="10">
                  <c:v>2021</c:v>
                </c:pt>
                <c:pt idx="11">
                  <c:v>2022</c:v>
                </c:pt>
              </c:numCache>
            </c:numRef>
          </c:cat>
          <c:val>
            <c:numRef>
              <c:f>'ODS and Subs'!$B$6:$M$6</c:f>
              <c:numCache>
                <c:formatCode>0.00</c:formatCode>
                <c:ptCount val="12"/>
                <c:pt idx="0">
                  <c:v>1.2951478637102561E-3</c:v>
                </c:pt>
                <c:pt idx="1">
                  <c:v>0.46181603711610281</c:v>
                </c:pt>
                <c:pt idx="2">
                  <c:v>0.52285565538432754</c:v>
                </c:pt>
                <c:pt idx="3">
                  <c:v>0.64547087176434936</c:v>
                </c:pt>
                <c:pt idx="4">
                  <c:v>0.77304586812249554</c:v>
                </c:pt>
                <c:pt idx="5">
                  <c:v>0.77936215912470419</c:v>
                </c:pt>
                <c:pt idx="6">
                  <c:v>0.78208292023898518</c:v>
                </c:pt>
                <c:pt idx="7">
                  <c:v>0.78992219245559414</c:v>
                </c:pt>
                <c:pt idx="8">
                  <c:v>0.80497522367443008</c:v>
                </c:pt>
                <c:pt idx="9">
                  <c:v>0.74999641597544886</c:v>
                </c:pt>
                <c:pt idx="10">
                  <c:v>0.8088312514492102</c:v>
                </c:pt>
                <c:pt idx="11">
                  <c:v>0.84217783737580731</c:v>
                </c:pt>
              </c:numCache>
            </c:numRef>
          </c:val>
          <c:extLst>
            <c:ext xmlns:c16="http://schemas.microsoft.com/office/drawing/2014/chart" uri="{C3380CC4-5D6E-409C-BE32-E72D297353CC}">
              <c16:uniqueId val="{0000000B-CE75-4BF4-9E8F-82326F0A4405}"/>
            </c:ext>
          </c:extLst>
        </c:ser>
        <c:dLbls>
          <c:showLegendKey val="0"/>
          <c:showVal val="0"/>
          <c:showCatName val="0"/>
          <c:showSerName val="0"/>
          <c:showPercent val="0"/>
          <c:showBubbleSize val="0"/>
        </c:dLbls>
        <c:gapWidth val="100"/>
        <c:overlap val="100"/>
        <c:axId val="1134304624"/>
        <c:axId val="1134305016"/>
      </c:barChart>
      <c:catAx>
        <c:axId val="113430462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j-lt"/>
                <a:ea typeface="+mn-ea"/>
                <a:cs typeface="+mn-cs"/>
              </a:defRPr>
            </a:pPr>
            <a:endParaRPr lang="en-US"/>
          </a:p>
        </c:txPr>
        <c:crossAx val="1134305016"/>
        <c:crosses val="autoZero"/>
        <c:auto val="1"/>
        <c:lblAlgn val="ctr"/>
        <c:lblOffset val="100"/>
        <c:noMultiLvlLbl val="1"/>
      </c:catAx>
      <c:valAx>
        <c:axId val="1134305016"/>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900" b="0" i="0" u="none" strike="noStrike" kern="1200" baseline="0">
                    <a:solidFill>
                      <a:schemeClr val="tx1">
                        <a:lumMod val="65000"/>
                        <a:lumOff val="35000"/>
                      </a:schemeClr>
                    </a:solidFill>
                    <a:latin typeface="+mj-lt"/>
                    <a:ea typeface="+mn-ea"/>
                    <a:cs typeface="+mn-cs"/>
                  </a:defRPr>
                </a:pPr>
                <a:r>
                  <a:rPr lang="en-US" sz="900">
                    <a:latin typeface="+mj-lt"/>
                  </a:rPr>
                  <a:t>MMT </a:t>
                </a:r>
                <a:r>
                  <a:rPr lang="en-US" sz="1050">
                    <a:latin typeface="+mj-lt"/>
                  </a:rPr>
                  <a:t>CO</a:t>
                </a:r>
                <a:r>
                  <a:rPr lang="en-US" sz="1050" baseline="-25000">
                    <a:latin typeface="+mj-lt"/>
                  </a:rPr>
                  <a:t>2</a:t>
                </a:r>
                <a:r>
                  <a:rPr lang="en-US" sz="900">
                    <a:latin typeface="+mj-lt"/>
                  </a:rPr>
                  <a:t> Eq.</a:t>
                </a:r>
              </a:p>
            </c:rich>
          </c:tx>
          <c:layout>
            <c:manualLayout>
              <c:xMode val="edge"/>
              <c:yMode val="edge"/>
              <c:x val="2.4631024382821713E-2"/>
              <c:y val="0.36178771517930547"/>
            </c:manualLayout>
          </c:layout>
          <c:overlay val="0"/>
          <c:spPr>
            <a:noFill/>
            <a:ln>
              <a:noFill/>
            </a:ln>
            <a:effectLst/>
          </c:spPr>
          <c:txPr>
            <a:bodyPr rot="-5400000" spcFirstLastPara="1" vertOverflow="ellipsis" vert="horz" wrap="square" anchor="ctr" anchorCtr="1"/>
            <a:lstStyle/>
            <a:p>
              <a:pPr>
                <a:defRPr sz="900" b="0" i="0" u="none" strike="noStrike" kern="1200" baseline="0">
                  <a:solidFill>
                    <a:schemeClr val="tx1">
                      <a:lumMod val="65000"/>
                      <a:lumOff val="35000"/>
                    </a:schemeClr>
                  </a:solidFill>
                  <a:latin typeface="+mj-lt"/>
                  <a:ea typeface="+mn-ea"/>
                  <a:cs typeface="+mn-cs"/>
                </a:defRPr>
              </a:pPr>
              <a:endParaRPr lang="en-US"/>
            </a:p>
          </c:txPr>
        </c:title>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j-lt"/>
                <a:ea typeface="+mn-ea"/>
                <a:cs typeface="+mn-cs"/>
              </a:defRPr>
            </a:pPr>
            <a:endParaRPr lang="en-US"/>
          </a:p>
        </c:txPr>
        <c:crossAx val="1134304624"/>
        <c:crosses val="autoZero"/>
        <c:crossBetween val="between"/>
      </c:valAx>
      <c:spPr>
        <a:noFill/>
        <a:ln>
          <a:noFill/>
        </a:ln>
        <a:effectLst/>
      </c:spPr>
    </c:plotArea>
    <c:legend>
      <c:legendPos val="b"/>
      <c:layout>
        <c:manualLayout>
          <c:xMode val="edge"/>
          <c:yMode val="edge"/>
          <c:x val="0.53497501211629117"/>
          <c:y val="6.2434617308922004E-2"/>
          <c:w val="0.43940217904416634"/>
          <c:h val="0.17947565422823675"/>
        </c:manualLayout>
      </c:layout>
      <c:overlay val="0"/>
      <c:spPr>
        <a:solidFill>
          <a:schemeClr val="bg1"/>
        </a:solidFill>
        <a:ln>
          <a:solidFill>
            <a:schemeClr val="tx2"/>
          </a:solid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j-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a:latin typeface="Calibri" panose="020F0502020204030204" pitchFamily="34" charset="0"/>
        </a:defRPr>
      </a:pPr>
      <a:endParaRPr lang="en-US"/>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b="0" i="0" u="none" strike="noStrike">
                <a:solidFill>
                  <a:srgbClr val="000000"/>
                </a:solidFill>
                <a:latin typeface="Tahoma"/>
                <a:ea typeface="Tahoma"/>
                <a:cs typeface="Tahoma"/>
              </a:defRPr>
            </a:pPr>
            <a:r>
              <a:rPr lang="en-US"/>
              <a:t>CO2 Emissions from Cement Production</a:t>
            </a:r>
          </a:p>
        </c:rich>
      </c:tx>
      <c:overlay val="0"/>
    </c:title>
    <c:autoTitleDeleted val="0"/>
    <c:plotArea>
      <c:layout>
        <c:manualLayout>
          <c:xMode val="edge"/>
          <c:yMode val="edge"/>
          <c:x val="2.0151133501259445E-2"/>
          <c:y val="0.28971962616822428"/>
          <c:w val="0.77917716204869858"/>
          <c:h val="0.61889927409519663"/>
        </c:manualLayout>
      </c:layout>
      <c:scatterChart>
        <c:scatterStyle val="smoothMarker"/>
        <c:varyColors val="0"/>
        <c:ser>
          <c:idx val="0"/>
          <c:order val="0"/>
          <c:tx>
            <c:v>Cement2017</c:v>
          </c:tx>
          <c:spPr>
            <a:ln w="25400">
              <a:noFill/>
            </a:ln>
          </c:spPr>
          <c:marker>
            <c:symbol val="plus"/>
            <c:size val="5"/>
            <c:spPr>
              <a:noFill/>
              <a:ln>
                <a:solidFill>
                  <a:srgbClr val="DC143C"/>
                </a:solidFill>
                <a:prstDash val="solid"/>
              </a:ln>
            </c:spPr>
          </c:marker>
          <c:errBars>
            <c:errDir val="y"/>
            <c:errBarType val="plus"/>
            <c:errValType val="fixedVal"/>
            <c:noEndCap val="0"/>
            <c:val val="10000000"/>
            <c:spPr>
              <a:ln w="38100">
                <a:solidFill>
                  <a:srgbClr val="DC143C"/>
                </a:solidFill>
                <a:prstDash val="solid"/>
              </a:ln>
            </c:spPr>
          </c:errBars>
          <c:xVal>
            <c:numLit>
              <c:formatCode>General</c:formatCode>
              <c:ptCount val="1"/>
              <c:pt idx="0">
                <c:v>0</c:v>
              </c:pt>
            </c:numLit>
          </c:xVal>
          <c:yVal>
            <c:numLit>
              <c:formatCode>General</c:formatCode>
              <c:ptCount val="1"/>
              <c:pt idx="0">
                <c:v>0</c:v>
              </c:pt>
            </c:numLit>
          </c:yVal>
          <c:smooth val="0"/>
          <c:extLst>
            <c:ext xmlns:c16="http://schemas.microsoft.com/office/drawing/2014/chart" uri="{C3380CC4-5D6E-409C-BE32-E72D297353CC}">
              <c16:uniqueId val="{00000000-FE19-42EE-BE11-98F236993E8F}"/>
            </c:ext>
          </c:extLst>
        </c:ser>
        <c:ser>
          <c:idx val="1"/>
          <c:order val="1"/>
          <c:tx>
            <c:v>xDelimiter</c:v>
          </c:tx>
          <c:spPr>
            <a:ln w="19050">
              <a:noFill/>
            </a:ln>
          </c:spPr>
          <c:marker>
            <c:symbol val="diamond"/>
            <c:size val="5"/>
            <c:spPr>
              <a:solidFill>
                <a:srgbClr val="000000"/>
              </a:solidFill>
            </c:spPr>
          </c:marker>
          <c:dLbls>
            <c:dLbl>
              <c:idx val="0"/>
              <c:layout>
                <c:manualLayout>
                  <c:x val="-5.9865791335277044E-2"/>
                  <c:y val="-0.11214904211739887"/>
                </c:manualLayout>
              </c:layout>
              <c:tx>
                <c:rich>
                  <a:bodyPr wrap="square" lIns="38100" tIns="19050" rIns="38100" bIns="19050" anchor="ctr">
                    <a:spAutoFit/>
                  </a:bodyPr>
                  <a:lstStyle/>
                  <a:p>
                    <a:pPr>
                      <a:defRPr sz="750">
                        <a:solidFill>
                          <a:srgbClr val="000000"/>
                        </a:solidFill>
                        <a:latin typeface="Tahoma"/>
                        <a:ea typeface="Tahoma"/>
                        <a:cs typeface="Tahoma"/>
                      </a:defRPr>
                    </a:pPr>
                    <a:r>
                      <a:rPr lang="en-US"/>
                      <a:t>0.000</a:t>
                    </a:r>
                  </a:p>
                </c:rich>
              </c:tx>
              <c:spPr>
                <a:noFill/>
                <a:ln>
                  <a:noFill/>
                </a:ln>
                <a:effectLst/>
              </c:spPr>
              <c:dLblPos val="r"/>
              <c:showLegendKey val="0"/>
              <c:showVal val="1"/>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01-FE19-42EE-BE11-98F236993E8F}"/>
                </c:ext>
              </c:extLst>
            </c:dLbl>
            <c:dLbl>
              <c:idx val="1"/>
              <c:layout>
                <c:manualLayout>
                  <c:x val="-5.9865791335277044E-2"/>
                  <c:y val="-0.11214904211739887"/>
                </c:manualLayout>
              </c:layout>
              <c:tx>
                <c:rich>
                  <a:bodyPr wrap="square" lIns="38100" tIns="19050" rIns="38100" bIns="19050" anchor="ctr">
                    <a:spAutoFit/>
                  </a:bodyPr>
                  <a:lstStyle/>
                  <a:p>
                    <a:pPr>
                      <a:defRPr sz="750">
                        <a:solidFill>
                          <a:srgbClr val="000000"/>
                        </a:solidFill>
                        <a:latin typeface="Tahoma"/>
                        <a:ea typeface="Tahoma"/>
                        <a:cs typeface="Tahoma"/>
                      </a:defRPr>
                    </a:pPr>
                    <a:r>
                      <a:rPr lang="en-US"/>
                      <a:t>0.000</a:t>
                    </a:r>
                  </a:p>
                </c:rich>
              </c:tx>
              <c:spPr>
                <a:noFill/>
                <a:ln>
                  <a:noFill/>
                </a:ln>
                <a:effectLst/>
              </c:spPr>
              <c:dLblPos val="r"/>
              <c:showLegendKey val="0"/>
              <c:showVal val="1"/>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02-FE19-42EE-BE11-98F236993E8F}"/>
                </c:ext>
              </c:extLst>
            </c:dLbl>
            <c:spPr>
              <a:noFill/>
              <a:ln>
                <a:noFill/>
              </a:ln>
              <a:effectLst/>
            </c:spPr>
            <c:showLegendKey val="0"/>
            <c:showVal val="0"/>
            <c:showCatName val="0"/>
            <c:showSerName val="0"/>
            <c:showPercent val="0"/>
            <c:showBubbleSize val="0"/>
            <c:extLst>
              <c:ext xmlns:c15="http://schemas.microsoft.com/office/drawing/2012/chart" uri="{CE6537A1-D6FC-4f65-9D91-7224C49458BB}">
                <c15:showLeaderLines val="0"/>
              </c:ext>
            </c:extLst>
          </c:dLbls>
          <c:errBars>
            <c:errDir val="y"/>
            <c:errBarType val="minus"/>
            <c:errValType val="fixedVal"/>
            <c:noEndCap val="0"/>
            <c:val val="1"/>
            <c:spPr>
              <a:ln w="12700">
                <a:solidFill>
                  <a:srgbClr val="000000"/>
                </a:solidFill>
                <a:prstDash val="sysDash"/>
              </a:ln>
            </c:spPr>
          </c:errBars>
          <c:xVal>
            <c:numLit>
              <c:formatCode>General</c:formatCode>
              <c:ptCount val="2"/>
              <c:pt idx="0">
                <c:v>0</c:v>
              </c:pt>
              <c:pt idx="1">
                <c:v>0</c:v>
              </c:pt>
            </c:numLit>
          </c:xVal>
          <c:yVal>
            <c:numLit>
              <c:formatCode>General</c:formatCode>
              <c:ptCount val="2"/>
              <c:pt idx="0">
                <c:v>1</c:v>
              </c:pt>
              <c:pt idx="1">
                <c:v>1</c:v>
              </c:pt>
            </c:numLit>
          </c:yVal>
          <c:smooth val="1"/>
          <c:extLst>
            <c:ext xmlns:c16="http://schemas.microsoft.com/office/drawing/2014/chart" uri="{C3380CC4-5D6E-409C-BE32-E72D297353CC}">
              <c16:uniqueId val="{00000003-FE19-42EE-BE11-98F236993E8F}"/>
            </c:ext>
          </c:extLst>
        </c:ser>
        <c:ser>
          <c:idx val="2"/>
          <c:order val="2"/>
          <c:tx>
            <c:v>xPDelimiter1</c:v>
          </c:tx>
          <c:spPr>
            <a:ln w="19050">
              <a:noFill/>
            </a:ln>
          </c:spPr>
          <c:marker>
            <c:symbol val="none"/>
          </c:marker>
          <c:dLbls>
            <c:dLbl>
              <c:idx val="0"/>
              <c:layout>
                <c:manualLayout>
                  <c:x val="-0.19228439014392723"/>
                  <c:y val="-4.2056070005352442E-2"/>
                </c:manualLayout>
              </c:layout>
              <c:tx>
                <c:rich>
                  <a:bodyPr wrap="square" lIns="38100" tIns="19050" rIns="38100" bIns="19050" anchor="ctr">
                    <a:noAutofit/>
                  </a:bodyPr>
                  <a:lstStyle/>
                  <a:p>
                    <a:pPr>
                      <a:defRPr sz="750">
                        <a:solidFill>
                          <a:srgbClr val="000000"/>
                        </a:solidFill>
                        <a:latin typeface="Tahoma"/>
                        <a:ea typeface="Tahoma"/>
                        <a:cs typeface="Tahoma"/>
                      </a:defRPr>
                    </a:pPr>
                    <a:r>
                      <a:rPr lang="en-US"/>
                      <a:t>2.5%</a:t>
                    </a:r>
                  </a:p>
                </c:rich>
              </c:tx>
              <c:spPr>
                <a:noFill/>
                <a:ln w="9525">
                  <a:solidFill>
                    <a:srgbClr val="000000"/>
                  </a:solidFill>
                </a:ln>
                <a:effectLst/>
              </c:spPr>
              <c:dLblPos val="r"/>
              <c:showLegendKey val="0"/>
              <c:showVal val="1"/>
              <c:showCatName val="0"/>
              <c:showSerName val="0"/>
              <c:showPercent val="0"/>
              <c:showBubbleSize val="0"/>
              <c:extLst>
                <c:ext xmlns:c15="http://schemas.microsoft.com/office/drawing/2012/chart" uri="{CE6537A1-D6FC-4f65-9D91-7224C49458BB}">
                  <c15:layout>
                    <c:manualLayout>
                      <c:w val="0.34762514308157538"/>
                      <c:h val="6.5420560747663545E-2"/>
                    </c:manualLayout>
                  </c15:layout>
                  <c15:showDataLabelsRange val="0"/>
                </c:ext>
                <c:ext xmlns:c16="http://schemas.microsoft.com/office/drawing/2014/chart" uri="{C3380CC4-5D6E-409C-BE32-E72D297353CC}">
                  <c16:uniqueId val="{00000004-FE19-42EE-BE11-98F236993E8F}"/>
                </c:ext>
              </c:extLst>
            </c:dLbl>
            <c:dLbl>
              <c:idx val="1"/>
              <c:layout>
                <c:manualLayout>
                  <c:x val="-0.19228439014392723"/>
                  <c:y val="-4.2056070005352442E-2"/>
                </c:manualLayout>
              </c:layout>
              <c:tx>
                <c:rich>
                  <a:bodyPr wrap="square" lIns="38100" tIns="19050" rIns="38100" bIns="19050" anchor="ctr">
                    <a:noAutofit/>
                  </a:bodyPr>
                  <a:lstStyle/>
                  <a:p>
                    <a:pPr>
                      <a:defRPr sz="750">
                        <a:solidFill>
                          <a:srgbClr val="000000"/>
                        </a:solidFill>
                        <a:latin typeface="Tahoma"/>
                        <a:ea typeface="Tahoma"/>
                        <a:cs typeface="Tahoma"/>
                      </a:defRPr>
                    </a:pPr>
                    <a:r>
                      <a:rPr lang="en-US"/>
                      <a:t>2.5%</a:t>
                    </a:r>
                  </a:p>
                </c:rich>
              </c:tx>
              <c:spPr>
                <a:noFill/>
                <a:ln w="9525">
                  <a:solidFill>
                    <a:srgbClr val="000000"/>
                  </a:solidFill>
                </a:ln>
                <a:effectLst/>
              </c:spPr>
              <c:dLblPos val="r"/>
              <c:showLegendKey val="0"/>
              <c:showVal val="1"/>
              <c:showCatName val="0"/>
              <c:showSerName val="0"/>
              <c:showPercent val="0"/>
              <c:showBubbleSize val="0"/>
              <c:extLst>
                <c:ext xmlns:c15="http://schemas.microsoft.com/office/drawing/2012/chart" uri="{CE6537A1-D6FC-4f65-9D91-7224C49458BB}">
                  <c15:layout>
                    <c:manualLayout>
                      <c:w val="0.34762514308157538"/>
                      <c:h val="6.5420560747663545E-2"/>
                    </c:manualLayout>
                  </c15:layout>
                  <c15:showDataLabelsRange val="0"/>
                </c:ext>
                <c:ext xmlns:c16="http://schemas.microsoft.com/office/drawing/2014/chart" uri="{C3380CC4-5D6E-409C-BE32-E72D297353CC}">
                  <c16:uniqueId val="{00000005-FE19-42EE-BE11-98F236993E8F}"/>
                </c:ext>
              </c:extLst>
            </c:dLbl>
            <c:dLbl>
              <c:idx val="2"/>
              <c:layout>
                <c:manualLayout>
                  <c:x val="-1.8471872376154493E-2"/>
                  <c:y val="-4.2056070005352442E-2"/>
                </c:manualLayout>
              </c:layout>
              <c:tx>
                <c:rich>
                  <a:bodyPr wrap="square" lIns="38100" tIns="19050" rIns="38100" bIns="19050" anchor="ctr">
                    <a:noAutofit/>
                  </a:bodyPr>
                  <a:lstStyle/>
                  <a:p>
                    <a:pPr>
                      <a:defRPr sz="750">
                        <a:solidFill>
                          <a:srgbClr val="FFFFFF"/>
                        </a:solidFill>
                        <a:latin typeface="Tahoma"/>
                        <a:ea typeface="Tahoma"/>
                        <a:cs typeface="Tahoma"/>
                      </a:defRPr>
                    </a:pPr>
                    <a:r>
                      <a:rPr lang="en-US"/>
                      <a:t>95.0%</a:t>
                    </a:r>
                  </a:p>
                </c:rich>
              </c:tx>
              <c:spPr>
                <a:solidFill>
                  <a:srgbClr val="DC143C"/>
                </a:solidFill>
                <a:ln w="9525">
                  <a:solidFill>
                    <a:srgbClr val="000000"/>
                  </a:solidFill>
                </a:ln>
                <a:effectLst/>
              </c:spPr>
              <c:dLblPos val="r"/>
              <c:showLegendKey val="0"/>
              <c:showVal val="1"/>
              <c:showCatName val="0"/>
              <c:showSerName val="0"/>
              <c:showPercent val="0"/>
              <c:showBubbleSize val="0"/>
              <c:extLst>
                <c:ext xmlns:c15="http://schemas.microsoft.com/office/drawing/2012/chart" uri="{CE6537A1-D6FC-4f65-9D91-7224C49458BB}">
                  <c15:layout>
                    <c:manualLayout>
                      <c:w val="0"/>
                      <c:h val="6.5420560747663545E-2"/>
                    </c:manualLayout>
                  </c15:layout>
                  <c15:showDataLabelsRange val="0"/>
                </c:ext>
                <c:ext xmlns:c16="http://schemas.microsoft.com/office/drawing/2014/chart" uri="{C3380CC4-5D6E-409C-BE32-E72D297353CC}">
                  <c16:uniqueId val="{00000006-FE19-42EE-BE11-98F236993E8F}"/>
                </c:ext>
              </c:extLst>
            </c:dLbl>
            <c:spPr>
              <a:noFill/>
              <a:ln>
                <a:noFill/>
              </a:ln>
              <a:effectLst/>
            </c:spPr>
            <c:showLegendKey val="0"/>
            <c:showVal val="0"/>
            <c:showCatName val="0"/>
            <c:showSerName val="0"/>
            <c:showPercent val="0"/>
            <c:showBubbleSize val="0"/>
            <c:extLst>
              <c:ext xmlns:c15="http://schemas.microsoft.com/office/drawing/2012/chart" uri="{CE6537A1-D6FC-4f65-9D91-7224C49458BB}">
                <c15:showLeaderLines val="0"/>
              </c:ext>
            </c:extLst>
          </c:dLbls>
          <c:xVal>
            <c:numLit>
              <c:formatCode>General</c:formatCode>
              <c:ptCount val="3"/>
              <c:pt idx="0">
                <c:v>-0.30000000000000004</c:v>
              </c:pt>
              <c:pt idx="1">
                <c:v>0.30000000000000004</c:v>
              </c:pt>
              <c:pt idx="2">
                <c:v>0</c:v>
              </c:pt>
            </c:numLit>
          </c:xVal>
          <c:yVal>
            <c:numLit>
              <c:formatCode>General</c:formatCode>
              <c:ptCount val="3"/>
              <c:pt idx="0">
                <c:v>1</c:v>
              </c:pt>
              <c:pt idx="1">
                <c:v>1</c:v>
              </c:pt>
              <c:pt idx="2">
                <c:v>1</c:v>
              </c:pt>
            </c:numLit>
          </c:yVal>
          <c:smooth val="1"/>
          <c:extLst>
            <c:ext xmlns:c16="http://schemas.microsoft.com/office/drawing/2014/chart" uri="{C3380CC4-5D6E-409C-BE32-E72D297353CC}">
              <c16:uniqueId val="{00000007-FE19-42EE-BE11-98F236993E8F}"/>
            </c:ext>
          </c:extLst>
        </c:ser>
        <c:dLbls>
          <c:showLegendKey val="0"/>
          <c:showVal val="0"/>
          <c:showCatName val="0"/>
          <c:showSerName val="0"/>
          <c:showPercent val="0"/>
          <c:showBubbleSize val="0"/>
        </c:dLbls>
        <c:axId val="484577592"/>
        <c:axId val="484575632"/>
      </c:scatterChart>
      <c:valAx>
        <c:axId val="484577592"/>
        <c:scaling>
          <c:orientation val="minMax"/>
          <c:max val="0.60000000000000009"/>
          <c:min val="-0.60000000000000009"/>
        </c:scaling>
        <c:delete val="0"/>
        <c:axPos val="b"/>
        <c:majorGridlines>
          <c:spPr>
            <a:ln>
              <a:solidFill>
                <a:srgbClr val="C0C0C0"/>
              </a:solidFill>
              <a:prstDash val="solid"/>
            </a:ln>
          </c:spPr>
        </c:majorGridlines>
        <c:numFmt formatCode="0.0" sourceLinked="0"/>
        <c:majorTickMark val="out"/>
        <c:minorTickMark val="none"/>
        <c:tickLblPos val="nextTo"/>
        <c:txPr>
          <a:bodyPr rot="-5400000" vert="horz"/>
          <a:lstStyle/>
          <a:p>
            <a:pPr>
              <a:defRPr sz="750" b="0" i="0" u="none" strike="noStrike">
                <a:solidFill>
                  <a:srgbClr val="000000"/>
                </a:solidFill>
                <a:latin typeface="Tahoma"/>
                <a:ea typeface="Tahoma"/>
                <a:cs typeface="Tahoma"/>
              </a:defRPr>
            </a:pPr>
            <a:endParaRPr lang="en-US"/>
          </a:p>
        </c:txPr>
        <c:crossAx val="484575632"/>
        <c:crossesAt val="0"/>
        <c:crossBetween val="midCat"/>
        <c:majorUnit val="0.20000000000000004"/>
      </c:valAx>
      <c:valAx>
        <c:axId val="484575632"/>
        <c:scaling>
          <c:orientation val="minMax"/>
          <c:max val="1"/>
          <c:min val="0"/>
        </c:scaling>
        <c:delete val="0"/>
        <c:axPos val="l"/>
        <c:majorGridlines>
          <c:spPr>
            <a:ln>
              <a:solidFill>
                <a:srgbClr val="C0C0C0"/>
              </a:solidFill>
              <a:prstDash val="solid"/>
            </a:ln>
          </c:spPr>
        </c:majorGridlines>
        <c:numFmt formatCode="0.0" sourceLinked="0"/>
        <c:majorTickMark val="out"/>
        <c:minorTickMark val="none"/>
        <c:tickLblPos val="nextTo"/>
        <c:txPr>
          <a:bodyPr/>
          <a:lstStyle/>
          <a:p>
            <a:pPr>
              <a:defRPr sz="750" b="0" i="0" u="none" strike="noStrike">
                <a:solidFill>
                  <a:srgbClr val="000000"/>
                </a:solidFill>
                <a:latin typeface="Tahoma"/>
                <a:ea typeface="Tahoma"/>
                <a:cs typeface="Tahoma"/>
              </a:defRPr>
            </a:pPr>
            <a:endParaRPr lang="en-US"/>
          </a:p>
        </c:txPr>
        <c:crossAx val="484577592"/>
        <c:crossesAt val="-0.60000000000000009"/>
        <c:crossBetween val="midCat"/>
        <c:majorUnit val="0.2"/>
      </c:valAx>
      <c:spPr>
        <a:solidFill>
          <a:srgbClr val="F5F5F5"/>
        </a:solidFill>
        <a:ln>
          <a:noFill/>
        </a:ln>
        <a:effectLst/>
        <a:extLst>
          <a:ext uri="{91240B29-F687-4F45-9708-019B960494DF}">
            <a14:hiddenLine xmlns:a14="http://schemas.microsoft.com/office/drawing/2010/main">
              <a:noFill/>
            </a14:hiddenLine>
          </a:ext>
        </a:extLst>
      </c:spPr>
    </c:plotArea>
    <c:legend>
      <c:legendPos val="r"/>
      <c:legendEntry>
        <c:idx val="1"/>
        <c:delete val="1"/>
      </c:legendEntry>
      <c:legendEntry>
        <c:idx val="2"/>
        <c:delete val="1"/>
      </c:legendEntry>
      <c:layout>
        <c:manualLayout>
          <c:xMode val="edge"/>
          <c:yMode val="edge"/>
          <c:x val="0.78925272879932828"/>
          <c:y val="0.51542972552813471"/>
          <c:w val="0.17380352644836272"/>
          <c:h val="9.3457943925233641E-2"/>
        </c:manualLayout>
      </c:layout>
      <c:overlay val="1"/>
      <c:spPr>
        <a:ln w="25400">
          <a:noFill/>
        </a:ln>
      </c:spPr>
      <c:txPr>
        <a:bodyPr/>
        <a:lstStyle/>
        <a:p>
          <a:pPr>
            <a:defRPr sz="563"/>
          </a:pPr>
          <a:endParaRPr lang="en-US"/>
        </a:p>
      </c:txPr>
    </c:legend>
    <c:plotVisOnly val="1"/>
    <c:dispBlanksAs val="gap"/>
    <c:showDLblsOverMax val="0"/>
  </c:chart>
  <c:spPr>
    <a:solidFill>
      <a:srgbClr val="FFFFFF"/>
    </a:solidFill>
    <a:ln w="9525"/>
  </c:sp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b="0" i="0" u="none" strike="noStrike">
                <a:solidFill>
                  <a:srgbClr val="000000"/>
                </a:solidFill>
                <a:latin typeface="Tahoma"/>
                <a:ea typeface="Tahoma"/>
                <a:cs typeface="Tahoma"/>
              </a:defRPr>
            </a:pPr>
            <a:r>
              <a:rPr lang="en-US"/>
              <a:t>SF6 Emissions from Electrical Transmission and Distribution</a:t>
            </a:r>
          </a:p>
        </c:rich>
      </c:tx>
      <c:overlay val="0"/>
    </c:title>
    <c:autoTitleDeleted val="0"/>
    <c:plotArea>
      <c:layout>
        <c:manualLayout>
          <c:xMode val="edge"/>
          <c:yMode val="edge"/>
          <c:x val="2.0151133501259445E-2"/>
          <c:y val="0.28971962616822428"/>
          <c:w val="0.64819479429051219"/>
          <c:h val="0.59709241754169406"/>
        </c:manualLayout>
      </c:layout>
      <c:scatterChart>
        <c:scatterStyle val="smoothMarker"/>
        <c:varyColors val="0"/>
        <c:ser>
          <c:idx val="0"/>
          <c:order val="0"/>
          <c:tx>
            <c:v>ElectricalTransmission2017</c:v>
          </c:tx>
          <c:spPr>
            <a:ln w="38100" cap="rnd" cmpd="sng" algn="ctr">
              <a:solidFill>
                <a:srgbClr val="DC143C">
                  <a:alpha val="88000"/>
                </a:srgbClr>
              </a:solidFill>
              <a:prstDash val="solid"/>
              <a:round/>
              <a:headEnd type="none" w="med" len="med"/>
              <a:tailEnd type="none" w="med" len="med"/>
            </a:ln>
          </c:spPr>
          <c:marker>
            <c:symbol val="none"/>
          </c:marker>
          <c:xVal>
            <c:numLit>
              <c:formatCode>General</c:formatCode>
              <c:ptCount val="759"/>
              <c:pt idx="0">
                <c:v>6.2976445370354671E-3</c:v>
              </c:pt>
              <c:pt idx="1">
                <c:v>6.2976445370354671E-3</c:v>
              </c:pt>
              <c:pt idx="2">
                <c:v>6.2976445370354671E-3</c:v>
              </c:pt>
              <c:pt idx="3">
                <c:v>6.3388097336768015E-3</c:v>
              </c:pt>
              <c:pt idx="4">
                <c:v>6.3388097336768015E-3</c:v>
              </c:pt>
              <c:pt idx="5">
                <c:v>6.3799749303181351E-3</c:v>
              </c:pt>
              <c:pt idx="6">
                <c:v>6.3799749303181351E-3</c:v>
              </c:pt>
              <c:pt idx="7">
                <c:v>6.4211401269594695E-3</c:v>
              </c:pt>
              <c:pt idx="8">
                <c:v>6.4211401269594695E-3</c:v>
              </c:pt>
              <c:pt idx="9">
                <c:v>6.4623053236008039E-3</c:v>
              </c:pt>
              <c:pt idx="10">
                <c:v>6.4623053236008039E-3</c:v>
              </c:pt>
              <c:pt idx="11">
                <c:v>6.5034705202421375E-3</c:v>
              </c:pt>
              <c:pt idx="12">
                <c:v>6.5034705202421375E-3</c:v>
              </c:pt>
              <c:pt idx="13">
                <c:v>6.5446357168834719E-3</c:v>
              </c:pt>
              <c:pt idx="14">
                <c:v>6.5446357168834719E-3</c:v>
              </c:pt>
              <c:pt idx="15">
                <c:v>6.5549270160438055E-3</c:v>
              </c:pt>
              <c:pt idx="16">
                <c:v>6.5549270160438055E-3</c:v>
              </c:pt>
              <c:pt idx="19">
                <c:v>6.5549270160438055E-3</c:v>
              </c:pt>
              <c:pt idx="20">
                <c:v>6.5549270160438055E-3</c:v>
              </c:pt>
              <c:pt idx="21">
                <c:v>6.5549270160438055E-3</c:v>
              </c:pt>
              <c:pt idx="22">
                <c:v>6.5960922126851399E-3</c:v>
              </c:pt>
              <c:pt idx="23">
                <c:v>6.5960922126851399E-3</c:v>
              </c:pt>
              <c:pt idx="24">
                <c:v>6.6372574093264735E-3</c:v>
              </c:pt>
              <c:pt idx="25">
                <c:v>6.6372574093264735E-3</c:v>
              </c:pt>
              <c:pt idx="26">
                <c:v>6.6784226059678079E-3</c:v>
              </c:pt>
              <c:pt idx="27">
                <c:v>6.6784226059678079E-3</c:v>
              </c:pt>
              <c:pt idx="28">
                <c:v>6.7195878026091414E-3</c:v>
              </c:pt>
              <c:pt idx="29">
                <c:v>6.7195878026091414E-3</c:v>
              </c:pt>
              <c:pt idx="30">
                <c:v>6.7607529992504758E-3</c:v>
              </c:pt>
              <c:pt idx="31">
                <c:v>6.7607529992504758E-3</c:v>
              </c:pt>
              <c:pt idx="32">
                <c:v>6.8019181958918103E-3</c:v>
              </c:pt>
              <c:pt idx="33">
                <c:v>6.8019181958918103E-3</c:v>
              </c:pt>
              <c:pt idx="34">
                <c:v>6.812209495052143E-3</c:v>
              </c:pt>
              <c:pt idx="35">
                <c:v>6.812209495052143E-3</c:v>
              </c:pt>
              <c:pt idx="38">
                <c:v>6.812209495052143E-3</c:v>
              </c:pt>
              <c:pt idx="39">
                <c:v>6.812209495052143E-3</c:v>
              </c:pt>
              <c:pt idx="40">
                <c:v>6.812209495052143E-3</c:v>
              </c:pt>
              <c:pt idx="41">
                <c:v>6.8533746916934774E-3</c:v>
              </c:pt>
              <c:pt idx="42">
                <c:v>6.8533746916934774E-3</c:v>
              </c:pt>
              <c:pt idx="43">
                <c:v>6.894539888334811E-3</c:v>
              </c:pt>
              <c:pt idx="44">
                <c:v>6.894539888334811E-3</c:v>
              </c:pt>
              <c:pt idx="45">
                <c:v>6.9357050849761454E-3</c:v>
              </c:pt>
              <c:pt idx="46">
                <c:v>6.9357050849761454E-3</c:v>
              </c:pt>
              <c:pt idx="47">
                <c:v>6.9768702816174789E-3</c:v>
              </c:pt>
              <c:pt idx="48">
                <c:v>6.9768702816174789E-3</c:v>
              </c:pt>
              <c:pt idx="49">
                <c:v>7.0180354782588134E-3</c:v>
              </c:pt>
              <c:pt idx="50">
                <c:v>7.0180354782588134E-3</c:v>
              </c:pt>
              <c:pt idx="51">
                <c:v>7.0592006749001478E-3</c:v>
              </c:pt>
              <c:pt idx="52">
                <c:v>7.0592006749001478E-3</c:v>
              </c:pt>
              <c:pt idx="53">
                <c:v>7.0694919740604814E-3</c:v>
              </c:pt>
              <c:pt idx="54">
                <c:v>7.0694919740604814E-3</c:v>
              </c:pt>
              <c:pt idx="57">
                <c:v>7.0694919740604814E-3</c:v>
              </c:pt>
              <c:pt idx="58">
                <c:v>7.0694919740604814E-3</c:v>
              </c:pt>
              <c:pt idx="59">
                <c:v>7.0694919740604814E-3</c:v>
              </c:pt>
              <c:pt idx="60">
                <c:v>7.1106571707018158E-3</c:v>
              </c:pt>
              <c:pt idx="61">
                <c:v>7.1106571707018158E-3</c:v>
              </c:pt>
              <c:pt idx="62">
                <c:v>7.1518223673431493E-3</c:v>
              </c:pt>
              <c:pt idx="63">
                <c:v>7.1518223673431493E-3</c:v>
              </c:pt>
              <c:pt idx="64">
                <c:v>7.1929875639844838E-3</c:v>
              </c:pt>
              <c:pt idx="65">
                <c:v>7.1929875639844838E-3</c:v>
              </c:pt>
              <c:pt idx="66">
                <c:v>7.2341527606258182E-3</c:v>
              </c:pt>
              <c:pt idx="67">
                <c:v>7.2341527606258182E-3</c:v>
              </c:pt>
              <c:pt idx="68">
                <c:v>7.2753179572671517E-3</c:v>
              </c:pt>
              <c:pt idx="69">
                <c:v>7.2753179572671517E-3</c:v>
              </c:pt>
              <c:pt idx="70">
                <c:v>7.3164831539084861E-3</c:v>
              </c:pt>
              <c:pt idx="71">
                <c:v>7.3164831539084861E-3</c:v>
              </c:pt>
              <c:pt idx="72">
                <c:v>7.3267744530688197E-3</c:v>
              </c:pt>
              <c:pt idx="73">
                <c:v>7.3267744530688197E-3</c:v>
              </c:pt>
              <c:pt idx="76">
                <c:v>7.3267744530688197E-3</c:v>
              </c:pt>
              <c:pt idx="77">
                <c:v>7.3267744530688197E-3</c:v>
              </c:pt>
              <c:pt idx="78">
                <c:v>7.3267744530688197E-3</c:v>
              </c:pt>
              <c:pt idx="79">
                <c:v>7.3679396497101542E-3</c:v>
              </c:pt>
              <c:pt idx="80">
                <c:v>7.3679396497101542E-3</c:v>
              </c:pt>
              <c:pt idx="81">
                <c:v>7.4091048463514877E-3</c:v>
              </c:pt>
              <c:pt idx="82">
                <c:v>7.4091048463514877E-3</c:v>
              </c:pt>
              <c:pt idx="83">
                <c:v>7.4502700429928221E-3</c:v>
              </c:pt>
              <c:pt idx="84">
                <c:v>7.4502700429928221E-3</c:v>
              </c:pt>
              <c:pt idx="85">
                <c:v>7.4914352396341557E-3</c:v>
              </c:pt>
              <c:pt idx="86">
                <c:v>7.4914352396341557E-3</c:v>
              </c:pt>
              <c:pt idx="87">
                <c:v>7.5326004362754901E-3</c:v>
              </c:pt>
              <c:pt idx="88">
                <c:v>7.5326004362754901E-3</c:v>
              </c:pt>
              <c:pt idx="89">
                <c:v>7.5737656329168245E-3</c:v>
              </c:pt>
              <c:pt idx="90">
                <c:v>7.5737656329168245E-3</c:v>
              </c:pt>
              <c:pt idx="91">
                <c:v>7.5840569320771573E-3</c:v>
              </c:pt>
              <c:pt idx="92">
                <c:v>7.5840569320771573E-3</c:v>
              </c:pt>
              <c:pt idx="95">
                <c:v>7.5840569320771573E-3</c:v>
              </c:pt>
              <c:pt idx="96">
                <c:v>7.5840569320771573E-3</c:v>
              </c:pt>
              <c:pt idx="97">
                <c:v>7.5840569320771573E-3</c:v>
              </c:pt>
              <c:pt idx="98">
                <c:v>7.6252221287184917E-3</c:v>
              </c:pt>
              <c:pt idx="99">
                <c:v>7.6252221287184917E-3</c:v>
              </c:pt>
              <c:pt idx="100">
                <c:v>7.6663873253598252E-3</c:v>
              </c:pt>
              <c:pt idx="101">
                <c:v>7.6663873253598252E-3</c:v>
              </c:pt>
              <c:pt idx="102">
                <c:v>7.7075525220011596E-3</c:v>
              </c:pt>
              <c:pt idx="103">
                <c:v>7.7075525220011596E-3</c:v>
              </c:pt>
              <c:pt idx="104">
                <c:v>7.7487177186424932E-3</c:v>
              </c:pt>
              <c:pt idx="105">
                <c:v>7.7487177186424932E-3</c:v>
              </c:pt>
              <c:pt idx="106">
                <c:v>7.7898829152838276E-3</c:v>
              </c:pt>
              <c:pt idx="107">
                <c:v>7.7898829152838276E-3</c:v>
              </c:pt>
              <c:pt idx="108">
                <c:v>7.831048111925162E-3</c:v>
              </c:pt>
              <c:pt idx="109">
                <c:v>7.831048111925162E-3</c:v>
              </c:pt>
              <c:pt idx="110">
                <c:v>7.8413394110854965E-3</c:v>
              </c:pt>
              <c:pt idx="111">
                <c:v>7.8413394110854965E-3</c:v>
              </c:pt>
              <c:pt idx="114">
                <c:v>7.8413394110854965E-3</c:v>
              </c:pt>
              <c:pt idx="115">
                <c:v>7.8413394110854965E-3</c:v>
              </c:pt>
              <c:pt idx="116">
                <c:v>7.8413394110854965E-3</c:v>
              </c:pt>
              <c:pt idx="117">
                <c:v>7.8825046077268309E-3</c:v>
              </c:pt>
              <c:pt idx="118">
                <c:v>7.8825046077268309E-3</c:v>
              </c:pt>
              <c:pt idx="119">
                <c:v>7.9236698043681653E-3</c:v>
              </c:pt>
              <c:pt idx="120">
                <c:v>7.9236698043681653E-3</c:v>
              </c:pt>
              <c:pt idx="121">
                <c:v>7.964835001009498E-3</c:v>
              </c:pt>
              <c:pt idx="122">
                <c:v>7.964835001009498E-3</c:v>
              </c:pt>
              <c:pt idx="123">
                <c:v>8.0060001976508324E-3</c:v>
              </c:pt>
              <c:pt idx="124">
                <c:v>8.0060001976508324E-3</c:v>
              </c:pt>
              <c:pt idx="125">
                <c:v>8.0471653942921668E-3</c:v>
              </c:pt>
              <c:pt idx="126">
                <c:v>8.0471653942921668E-3</c:v>
              </c:pt>
              <c:pt idx="127">
                <c:v>8.0883305909335013E-3</c:v>
              </c:pt>
              <c:pt idx="128">
                <c:v>8.0883305909335013E-3</c:v>
              </c:pt>
              <c:pt idx="129">
                <c:v>8.098621890093834E-3</c:v>
              </c:pt>
              <c:pt idx="130">
                <c:v>8.098621890093834E-3</c:v>
              </c:pt>
              <c:pt idx="133">
                <c:v>8.098621890093834E-3</c:v>
              </c:pt>
              <c:pt idx="134">
                <c:v>8.098621890093834E-3</c:v>
              </c:pt>
              <c:pt idx="135">
                <c:v>8.098621890093834E-3</c:v>
              </c:pt>
              <c:pt idx="136">
                <c:v>8.1397870867351684E-3</c:v>
              </c:pt>
              <c:pt idx="137">
                <c:v>8.1397870867351684E-3</c:v>
              </c:pt>
              <c:pt idx="138">
                <c:v>8.1809522833765028E-3</c:v>
              </c:pt>
              <c:pt idx="139">
                <c:v>8.1809522833765028E-3</c:v>
              </c:pt>
              <c:pt idx="140">
                <c:v>8.2221174800178355E-3</c:v>
              </c:pt>
              <c:pt idx="141">
                <c:v>8.2221174800178355E-3</c:v>
              </c:pt>
              <c:pt idx="142">
                <c:v>8.2632826766591699E-3</c:v>
              </c:pt>
              <c:pt idx="143">
                <c:v>8.2632826766591699E-3</c:v>
              </c:pt>
              <c:pt idx="144">
                <c:v>8.3044478733005044E-3</c:v>
              </c:pt>
              <c:pt idx="145">
                <c:v>8.3044478733005044E-3</c:v>
              </c:pt>
              <c:pt idx="146">
                <c:v>8.3456130699418388E-3</c:v>
              </c:pt>
              <c:pt idx="147">
                <c:v>8.3456130699418388E-3</c:v>
              </c:pt>
              <c:pt idx="148">
                <c:v>8.3559043691021715E-3</c:v>
              </c:pt>
              <c:pt idx="149">
                <c:v>8.3559043691021715E-3</c:v>
              </c:pt>
              <c:pt idx="152">
                <c:v>8.3559043691021715E-3</c:v>
              </c:pt>
              <c:pt idx="153">
                <c:v>8.3559043691021715E-3</c:v>
              </c:pt>
              <c:pt idx="154">
                <c:v>8.3559043691021715E-3</c:v>
              </c:pt>
              <c:pt idx="155">
                <c:v>8.3970695657435059E-3</c:v>
              </c:pt>
              <c:pt idx="156">
                <c:v>8.3970695657435059E-3</c:v>
              </c:pt>
              <c:pt idx="157">
                <c:v>8.4382347623848403E-3</c:v>
              </c:pt>
              <c:pt idx="158">
                <c:v>8.4382347623848403E-3</c:v>
              </c:pt>
              <c:pt idx="159">
                <c:v>8.479399959026173E-3</c:v>
              </c:pt>
              <c:pt idx="160">
                <c:v>8.479399959026173E-3</c:v>
              </c:pt>
              <c:pt idx="161">
                <c:v>8.5205651556675074E-3</c:v>
              </c:pt>
              <c:pt idx="162">
                <c:v>8.5205651556675074E-3</c:v>
              </c:pt>
              <c:pt idx="163">
                <c:v>8.5617303523088419E-3</c:v>
              </c:pt>
              <c:pt idx="164">
                <c:v>8.5617303523088419E-3</c:v>
              </c:pt>
              <c:pt idx="165">
                <c:v>8.6028955489501763E-3</c:v>
              </c:pt>
              <c:pt idx="166">
                <c:v>8.6028955489501763E-3</c:v>
              </c:pt>
              <c:pt idx="167">
                <c:v>8.6131868481105107E-3</c:v>
              </c:pt>
              <c:pt idx="168">
                <c:v>8.6131868481105107E-3</c:v>
              </c:pt>
              <c:pt idx="171">
                <c:v>8.6131868481105107E-3</c:v>
              </c:pt>
              <c:pt idx="172">
                <c:v>8.6131868481105107E-3</c:v>
              </c:pt>
              <c:pt idx="173">
                <c:v>8.6131868481105107E-3</c:v>
              </c:pt>
              <c:pt idx="174">
                <c:v>8.6543520447518452E-3</c:v>
              </c:pt>
              <c:pt idx="175">
                <c:v>8.6543520447518452E-3</c:v>
              </c:pt>
              <c:pt idx="176">
                <c:v>8.6955172413931796E-3</c:v>
              </c:pt>
              <c:pt idx="177">
                <c:v>8.6955172413931796E-3</c:v>
              </c:pt>
              <c:pt idx="178">
                <c:v>8.7366824380345123E-3</c:v>
              </c:pt>
              <c:pt idx="179">
                <c:v>8.7366824380345123E-3</c:v>
              </c:pt>
              <c:pt idx="180">
                <c:v>8.7778476346758467E-3</c:v>
              </c:pt>
              <c:pt idx="181">
                <c:v>8.7778476346758467E-3</c:v>
              </c:pt>
              <c:pt idx="182">
                <c:v>8.8190128313171811E-3</c:v>
              </c:pt>
              <c:pt idx="183">
                <c:v>8.8190128313171811E-3</c:v>
              </c:pt>
              <c:pt idx="184">
                <c:v>8.8601780279585155E-3</c:v>
              </c:pt>
              <c:pt idx="185">
                <c:v>8.8601780279585155E-3</c:v>
              </c:pt>
              <c:pt idx="186">
                <c:v>8.8704693271188483E-3</c:v>
              </c:pt>
              <c:pt idx="187">
                <c:v>8.8704693271188483E-3</c:v>
              </c:pt>
              <c:pt idx="190">
                <c:v>8.8704693271188483E-3</c:v>
              </c:pt>
              <c:pt idx="191">
                <c:v>8.8704693271188483E-3</c:v>
              </c:pt>
              <c:pt idx="192">
                <c:v>8.8704693271188483E-3</c:v>
              </c:pt>
              <c:pt idx="193">
                <c:v>8.9116345237601827E-3</c:v>
              </c:pt>
              <c:pt idx="194">
                <c:v>8.9116345237601827E-3</c:v>
              </c:pt>
              <c:pt idx="195">
                <c:v>8.9527997204015171E-3</c:v>
              </c:pt>
              <c:pt idx="196">
                <c:v>8.9527997204015171E-3</c:v>
              </c:pt>
              <c:pt idx="197">
                <c:v>8.9939649170428498E-3</c:v>
              </c:pt>
              <c:pt idx="198">
                <c:v>8.9939649170428498E-3</c:v>
              </c:pt>
              <c:pt idx="199">
                <c:v>9.0351301136841842E-3</c:v>
              </c:pt>
              <c:pt idx="200">
                <c:v>9.0351301136841842E-3</c:v>
              </c:pt>
              <c:pt idx="201">
                <c:v>9.0762953103255186E-3</c:v>
              </c:pt>
              <c:pt idx="202">
                <c:v>9.0762953103255186E-3</c:v>
              </c:pt>
              <c:pt idx="203">
                <c:v>9.117460506966853E-3</c:v>
              </c:pt>
              <c:pt idx="204">
                <c:v>9.117460506966853E-3</c:v>
              </c:pt>
              <c:pt idx="205">
                <c:v>9.1277518061271858E-3</c:v>
              </c:pt>
              <c:pt idx="206">
                <c:v>9.1277518061271858E-3</c:v>
              </c:pt>
              <c:pt idx="209">
                <c:v>9.1277518061271858E-3</c:v>
              </c:pt>
              <c:pt idx="210">
                <c:v>9.1277518061271858E-3</c:v>
              </c:pt>
              <c:pt idx="211">
                <c:v>9.1277518061271858E-3</c:v>
              </c:pt>
              <c:pt idx="212">
                <c:v>9.1689170027685202E-3</c:v>
              </c:pt>
              <c:pt idx="213">
                <c:v>9.1689170027685202E-3</c:v>
              </c:pt>
              <c:pt idx="214">
                <c:v>9.2100821994098546E-3</c:v>
              </c:pt>
              <c:pt idx="215">
                <c:v>9.2100821994098546E-3</c:v>
              </c:pt>
              <c:pt idx="216">
                <c:v>9.2512473960511873E-3</c:v>
              </c:pt>
              <c:pt idx="217">
                <c:v>9.2512473960511873E-3</c:v>
              </c:pt>
              <c:pt idx="218">
                <c:v>9.2924125926925217E-3</c:v>
              </c:pt>
              <c:pt idx="219">
                <c:v>9.2924125926925217E-3</c:v>
              </c:pt>
              <c:pt idx="220">
                <c:v>9.3335777893338561E-3</c:v>
              </c:pt>
              <c:pt idx="221">
                <c:v>9.3335777893338561E-3</c:v>
              </c:pt>
              <c:pt idx="222">
                <c:v>9.3747429859751905E-3</c:v>
              </c:pt>
              <c:pt idx="223">
                <c:v>9.3747429859751905E-3</c:v>
              </c:pt>
              <c:pt idx="224">
                <c:v>9.385034285135525E-3</c:v>
              </c:pt>
              <c:pt idx="225">
                <c:v>9.385034285135525E-3</c:v>
              </c:pt>
              <c:pt idx="228">
                <c:v>9.385034285135525E-3</c:v>
              </c:pt>
              <c:pt idx="229">
                <c:v>9.385034285135525E-3</c:v>
              </c:pt>
              <c:pt idx="230">
                <c:v>9.385034285135525E-3</c:v>
              </c:pt>
              <c:pt idx="231">
                <c:v>9.4261994817768594E-3</c:v>
              </c:pt>
              <c:pt idx="232">
                <c:v>9.4261994817768594E-3</c:v>
              </c:pt>
              <c:pt idx="233">
                <c:v>9.4673646784181938E-3</c:v>
              </c:pt>
              <c:pt idx="234">
                <c:v>9.4673646784181938E-3</c:v>
              </c:pt>
              <c:pt idx="235">
                <c:v>9.5085298750595265E-3</c:v>
              </c:pt>
              <c:pt idx="236">
                <c:v>9.5085298750595265E-3</c:v>
              </c:pt>
              <c:pt idx="237">
                <c:v>9.5496950717008609E-3</c:v>
              </c:pt>
              <c:pt idx="238">
                <c:v>9.5496950717008609E-3</c:v>
              </c:pt>
              <c:pt idx="239">
                <c:v>9.5908602683421953E-3</c:v>
              </c:pt>
              <c:pt idx="240">
                <c:v>9.5908602683421953E-3</c:v>
              </c:pt>
              <c:pt idx="241">
                <c:v>9.6320254649835298E-3</c:v>
              </c:pt>
              <c:pt idx="242">
                <c:v>9.6320254649835298E-3</c:v>
              </c:pt>
              <c:pt idx="243">
                <c:v>9.6423167641438625E-3</c:v>
              </c:pt>
              <c:pt idx="244">
                <c:v>9.6423167641438625E-3</c:v>
              </c:pt>
              <c:pt idx="247">
                <c:v>9.6423167641438625E-3</c:v>
              </c:pt>
              <c:pt idx="248">
                <c:v>9.6423167641438625E-3</c:v>
              </c:pt>
              <c:pt idx="249">
                <c:v>9.6423167641438625E-3</c:v>
              </c:pt>
              <c:pt idx="250">
                <c:v>9.6834819607851969E-3</c:v>
              </c:pt>
              <c:pt idx="251">
                <c:v>9.6834819607851969E-3</c:v>
              </c:pt>
              <c:pt idx="252">
                <c:v>9.7246471574265313E-3</c:v>
              </c:pt>
              <c:pt idx="253">
                <c:v>9.7246471574265313E-3</c:v>
              </c:pt>
              <c:pt idx="254">
                <c:v>9.765812354067864E-3</c:v>
              </c:pt>
              <c:pt idx="255">
                <c:v>9.765812354067864E-3</c:v>
              </c:pt>
              <c:pt idx="256">
                <c:v>9.8069775507091984E-3</c:v>
              </c:pt>
              <c:pt idx="257">
                <c:v>9.8069775507091984E-3</c:v>
              </c:pt>
              <c:pt idx="258">
                <c:v>9.8481427473505329E-3</c:v>
              </c:pt>
              <c:pt idx="259">
                <c:v>9.8481427473505329E-3</c:v>
              </c:pt>
              <c:pt idx="260">
                <c:v>9.8893079439918673E-3</c:v>
              </c:pt>
              <c:pt idx="261">
                <c:v>9.8893079439918673E-3</c:v>
              </c:pt>
              <c:pt idx="262">
                <c:v>9.8995992431522E-3</c:v>
              </c:pt>
              <c:pt idx="263">
                <c:v>9.8995992431522E-3</c:v>
              </c:pt>
              <c:pt idx="266">
                <c:v>9.8995992431522E-3</c:v>
              </c:pt>
              <c:pt idx="267">
                <c:v>9.8995992431522E-3</c:v>
              </c:pt>
              <c:pt idx="268">
                <c:v>9.8995992431522E-3</c:v>
              </c:pt>
              <c:pt idx="269">
                <c:v>9.9407644397935344E-3</c:v>
              </c:pt>
              <c:pt idx="270">
                <c:v>9.9407644397935344E-3</c:v>
              </c:pt>
              <c:pt idx="271">
                <c:v>9.9819296364348688E-3</c:v>
              </c:pt>
              <c:pt idx="272">
                <c:v>9.9819296364348688E-3</c:v>
              </c:pt>
              <c:pt idx="273">
                <c:v>1.0023094833076202E-2</c:v>
              </c:pt>
              <c:pt idx="274">
                <c:v>1.0023094833076202E-2</c:v>
              </c:pt>
              <c:pt idx="275">
                <c:v>1.0064260029717536E-2</c:v>
              </c:pt>
              <c:pt idx="276">
                <c:v>1.0064260029717536E-2</c:v>
              </c:pt>
              <c:pt idx="277">
                <c:v>1.010542522635887E-2</c:v>
              </c:pt>
              <c:pt idx="278">
                <c:v>1.010542522635887E-2</c:v>
              </c:pt>
              <c:pt idx="279">
                <c:v>1.0146590423000205E-2</c:v>
              </c:pt>
              <c:pt idx="280">
                <c:v>1.0146590423000205E-2</c:v>
              </c:pt>
              <c:pt idx="281">
                <c:v>1.0156881722160539E-2</c:v>
              </c:pt>
              <c:pt idx="282">
                <c:v>1.0156881722160539E-2</c:v>
              </c:pt>
              <c:pt idx="285">
                <c:v>1.0156881722160539E-2</c:v>
              </c:pt>
              <c:pt idx="286">
                <c:v>1.0156881722160539E-2</c:v>
              </c:pt>
              <c:pt idx="287">
                <c:v>1.0156881722160539E-2</c:v>
              </c:pt>
              <c:pt idx="288">
                <c:v>1.0198046918801874E-2</c:v>
              </c:pt>
              <c:pt idx="289">
                <c:v>1.0198046918801874E-2</c:v>
              </c:pt>
              <c:pt idx="290">
                <c:v>1.0239212115443208E-2</c:v>
              </c:pt>
              <c:pt idx="291">
                <c:v>1.0239212115443208E-2</c:v>
              </c:pt>
              <c:pt idx="292">
                <c:v>1.0280377312084541E-2</c:v>
              </c:pt>
              <c:pt idx="293">
                <c:v>1.0280377312084541E-2</c:v>
              </c:pt>
              <c:pt idx="294">
                <c:v>1.0321542508725875E-2</c:v>
              </c:pt>
              <c:pt idx="295">
                <c:v>1.0321542508725875E-2</c:v>
              </c:pt>
              <c:pt idx="296">
                <c:v>1.036270770536721E-2</c:v>
              </c:pt>
              <c:pt idx="297">
                <c:v>1.036270770536721E-2</c:v>
              </c:pt>
              <c:pt idx="298">
                <c:v>1.0403872902008544E-2</c:v>
              </c:pt>
              <c:pt idx="299">
                <c:v>1.0403872902008544E-2</c:v>
              </c:pt>
              <c:pt idx="300">
                <c:v>1.0414164201168877E-2</c:v>
              </c:pt>
              <c:pt idx="301">
                <c:v>1.0414164201168877E-2</c:v>
              </c:pt>
              <c:pt idx="304">
                <c:v>1.0414164201168877E-2</c:v>
              </c:pt>
              <c:pt idx="305">
                <c:v>1.0414164201168877E-2</c:v>
              </c:pt>
              <c:pt idx="306">
                <c:v>1.0414164201168877E-2</c:v>
              </c:pt>
              <c:pt idx="307">
                <c:v>1.0455329397810211E-2</c:v>
              </c:pt>
              <c:pt idx="308">
                <c:v>1.0455329397810211E-2</c:v>
              </c:pt>
              <c:pt idx="309">
                <c:v>1.0496494594451546E-2</c:v>
              </c:pt>
              <c:pt idx="310">
                <c:v>1.0496494594451546E-2</c:v>
              </c:pt>
              <c:pt idx="311">
                <c:v>1.0537659791092878E-2</c:v>
              </c:pt>
              <c:pt idx="312">
                <c:v>1.0537659791092878E-2</c:v>
              </c:pt>
              <c:pt idx="313">
                <c:v>1.0578824987734213E-2</c:v>
              </c:pt>
              <c:pt idx="314">
                <c:v>1.0578824987734213E-2</c:v>
              </c:pt>
              <c:pt idx="315">
                <c:v>1.0619990184375547E-2</c:v>
              </c:pt>
              <c:pt idx="316">
                <c:v>1.0619990184375547E-2</c:v>
              </c:pt>
              <c:pt idx="317">
                <c:v>1.0661155381016882E-2</c:v>
              </c:pt>
              <c:pt idx="318">
                <c:v>1.0661155381016882E-2</c:v>
              </c:pt>
              <c:pt idx="319">
                <c:v>1.0671446680177214E-2</c:v>
              </c:pt>
              <c:pt idx="320">
                <c:v>1.0671446680177214E-2</c:v>
              </c:pt>
              <c:pt idx="323">
                <c:v>1.0671446680177214E-2</c:v>
              </c:pt>
              <c:pt idx="324">
                <c:v>1.0671446680177214E-2</c:v>
              </c:pt>
              <c:pt idx="325">
                <c:v>1.0671446680177214E-2</c:v>
              </c:pt>
              <c:pt idx="326">
                <c:v>1.0712611876818549E-2</c:v>
              </c:pt>
              <c:pt idx="327">
                <c:v>1.0712611876818549E-2</c:v>
              </c:pt>
              <c:pt idx="328">
                <c:v>1.0753777073459883E-2</c:v>
              </c:pt>
              <c:pt idx="329">
                <c:v>1.0753777073459883E-2</c:v>
              </c:pt>
              <c:pt idx="330">
                <c:v>1.0794942270101216E-2</c:v>
              </c:pt>
              <c:pt idx="331">
                <c:v>1.0794942270101216E-2</c:v>
              </c:pt>
              <c:pt idx="332">
                <c:v>1.083610746674255E-2</c:v>
              </c:pt>
              <c:pt idx="333">
                <c:v>1.083610746674255E-2</c:v>
              </c:pt>
              <c:pt idx="334">
                <c:v>1.0877272663383885E-2</c:v>
              </c:pt>
              <c:pt idx="335">
                <c:v>1.0877272663383885E-2</c:v>
              </c:pt>
              <c:pt idx="336">
                <c:v>1.0918437860025219E-2</c:v>
              </c:pt>
              <c:pt idx="337">
                <c:v>1.0918437860025219E-2</c:v>
              </c:pt>
              <c:pt idx="338">
                <c:v>1.0928729159185554E-2</c:v>
              </c:pt>
              <c:pt idx="339">
                <c:v>1.0928729159185554E-2</c:v>
              </c:pt>
              <c:pt idx="342">
                <c:v>1.0928729159185554E-2</c:v>
              </c:pt>
              <c:pt idx="343">
                <c:v>1.0928729159185554E-2</c:v>
              </c:pt>
              <c:pt idx="344">
                <c:v>1.0928729159185554E-2</c:v>
              </c:pt>
              <c:pt idx="345">
                <c:v>1.0969894355826888E-2</c:v>
              </c:pt>
              <c:pt idx="346">
                <c:v>1.0969894355826888E-2</c:v>
              </c:pt>
              <c:pt idx="347">
                <c:v>1.1011059552468222E-2</c:v>
              </c:pt>
              <c:pt idx="348">
                <c:v>1.1011059552468222E-2</c:v>
              </c:pt>
              <c:pt idx="349">
                <c:v>1.1052224749109555E-2</c:v>
              </c:pt>
              <c:pt idx="350">
                <c:v>1.1052224749109555E-2</c:v>
              </c:pt>
              <c:pt idx="351">
                <c:v>1.1093389945750889E-2</c:v>
              </c:pt>
              <c:pt idx="352">
                <c:v>1.1093389945750889E-2</c:v>
              </c:pt>
              <c:pt idx="353">
                <c:v>1.1134555142392224E-2</c:v>
              </c:pt>
              <c:pt idx="354">
                <c:v>1.1134555142392224E-2</c:v>
              </c:pt>
              <c:pt idx="355">
                <c:v>1.1175720339033558E-2</c:v>
              </c:pt>
              <c:pt idx="356">
                <c:v>1.1175720339033558E-2</c:v>
              </c:pt>
              <c:pt idx="357">
                <c:v>1.1186011638193891E-2</c:v>
              </c:pt>
              <c:pt idx="358">
                <c:v>1.1186011638193891E-2</c:v>
              </c:pt>
              <c:pt idx="361">
                <c:v>1.1186011638193891E-2</c:v>
              </c:pt>
              <c:pt idx="362">
                <c:v>1.1186011638193891E-2</c:v>
              </c:pt>
              <c:pt idx="363">
                <c:v>1.1186011638193891E-2</c:v>
              </c:pt>
              <c:pt idx="364">
                <c:v>1.1227176834835225E-2</c:v>
              </c:pt>
              <c:pt idx="365">
                <c:v>1.1227176834835225E-2</c:v>
              </c:pt>
              <c:pt idx="366">
                <c:v>1.126834203147656E-2</c:v>
              </c:pt>
              <c:pt idx="367">
                <c:v>1.126834203147656E-2</c:v>
              </c:pt>
              <c:pt idx="368">
                <c:v>1.1309507228117893E-2</c:v>
              </c:pt>
              <c:pt idx="369">
                <c:v>1.1309507228117893E-2</c:v>
              </c:pt>
              <c:pt idx="370">
                <c:v>1.1350672424759227E-2</c:v>
              </c:pt>
              <c:pt idx="371">
                <c:v>1.1350672424759227E-2</c:v>
              </c:pt>
              <c:pt idx="372">
                <c:v>1.1391837621400561E-2</c:v>
              </c:pt>
              <c:pt idx="373">
                <c:v>1.1391837621400561E-2</c:v>
              </c:pt>
              <c:pt idx="374">
                <c:v>1.1433002818041896E-2</c:v>
              </c:pt>
              <c:pt idx="375">
                <c:v>1.1433002818041896E-2</c:v>
              </c:pt>
              <c:pt idx="376">
                <c:v>1.1443294117202229E-2</c:v>
              </c:pt>
              <c:pt idx="377">
                <c:v>1.1443294117202229E-2</c:v>
              </c:pt>
              <c:pt idx="380">
                <c:v>1.1443294117202229E-2</c:v>
              </c:pt>
              <c:pt idx="381">
                <c:v>1.1443294117202229E-2</c:v>
              </c:pt>
              <c:pt idx="382">
                <c:v>1.1443294117202229E-2</c:v>
              </c:pt>
              <c:pt idx="383">
                <c:v>1.1484459313843563E-2</c:v>
              </c:pt>
              <c:pt idx="384">
                <c:v>1.1484459313843563E-2</c:v>
              </c:pt>
              <c:pt idx="385">
                <c:v>1.1525624510484897E-2</c:v>
              </c:pt>
              <c:pt idx="386">
                <c:v>1.1525624510484897E-2</c:v>
              </c:pt>
              <c:pt idx="387">
                <c:v>1.156678970712623E-2</c:v>
              </c:pt>
              <c:pt idx="388">
                <c:v>1.156678970712623E-2</c:v>
              </c:pt>
              <c:pt idx="389">
                <c:v>1.1607954903767564E-2</c:v>
              </c:pt>
              <c:pt idx="390">
                <c:v>1.1607954903767564E-2</c:v>
              </c:pt>
              <c:pt idx="391">
                <c:v>1.1649120100408899E-2</c:v>
              </c:pt>
              <c:pt idx="392">
                <c:v>1.1649120100408899E-2</c:v>
              </c:pt>
              <c:pt idx="393">
                <c:v>1.1690285297050233E-2</c:v>
              </c:pt>
              <c:pt idx="394">
                <c:v>1.1690285297050233E-2</c:v>
              </c:pt>
              <c:pt idx="395">
                <c:v>1.1700576596210568E-2</c:v>
              </c:pt>
              <c:pt idx="396">
                <c:v>1.1700576596210568E-2</c:v>
              </c:pt>
              <c:pt idx="399">
                <c:v>1.1700576596210568E-2</c:v>
              </c:pt>
              <c:pt idx="400">
                <c:v>1.1700576596210568E-2</c:v>
              </c:pt>
              <c:pt idx="401">
                <c:v>1.1700576596210568E-2</c:v>
              </c:pt>
              <c:pt idx="402">
                <c:v>1.1741741792851902E-2</c:v>
              </c:pt>
              <c:pt idx="403">
                <c:v>1.1741741792851902E-2</c:v>
              </c:pt>
              <c:pt idx="404">
                <c:v>1.1782906989493237E-2</c:v>
              </c:pt>
              <c:pt idx="405">
                <c:v>1.1782906989493237E-2</c:v>
              </c:pt>
              <c:pt idx="406">
                <c:v>1.1824072186134569E-2</c:v>
              </c:pt>
              <c:pt idx="407">
                <c:v>1.1824072186134569E-2</c:v>
              </c:pt>
              <c:pt idx="408">
                <c:v>1.1865237382775904E-2</c:v>
              </c:pt>
              <c:pt idx="409">
                <c:v>1.1865237382775904E-2</c:v>
              </c:pt>
              <c:pt idx="410">
                <c:v>1.1906402579417238E-2</c:v>
              </c:pt>
              <c:pt idx="411">
                <c:v>1.1906402579417238E-2</c:v>
              </c:pt>
              <c:pt idx="412">
                <c:v>1.1947567776058573E-2</c:v>
              </c:pt>
              <c:pt idx="413">
                <c:v>1.1947567776058573E-2</c:v>
              </c:pt>
              <c:pt idx="414">
                <c:v>1.1957859075218905E-2</c:v>
              </c:pt>
              <c:pt idx="415">
                <c:v>1.1957859075218905E-2</c:v>
              </c:pt>
              <c:pt idx="418">
                <c:v>1.1957859075218905E-2</c:v>
              </c:pt>
              <c:pt idx="419">
                <c:v>1.1957859075218905E-2</c:v>
              </c:pt>
              <c:pt idx="420">
                <c:v>1.1957859075218905E-2</c:v>
              </c:pt>
              <c:pt idx="421">
                <c:v>1.199902427186024E-2</c:v>
              </c:pt>
              <c:pt idx="422">
                <c:v>1.199902427186024E-2</c:v>
              </c:pt>
              <c:pt idx="423">
                <c:v>1.2040189468501574E-2</c:v>
              </c:pt>
              <c:pt idx="424">
                <c:v>1.2040189468501574E-2</c:v>
              </c:pt>
              <c:pt idx="425">
                <c:v>1.2081354665142907E-2</c:v>
              </c:pt>
              <c:pt idx="426">
                <c:v>1.2081354665142907E-2</c:v>
              </c:pt>
              <c:pt idx="427">
                <c:v>1.2122519861784241E-2</c:v>
              </c:pt>
              <c:pt idx="428">
                <c:v>1.2122519861784241E-2</c:v>
              </c:pt>
              <c:pt idx="429">
                <c:v>1.2163685058425576E-2</c:v>
              </c:pt>
              <c:pt idx="430">
                <c:v>1.2163685058425576E-2</c:v>
              </c:pt>
              <c:pt idx="431">
                <c:v>1.220485025506691E-2</c:v>
              </c:pt>
              <c:pt idx="432">
                <c:v>1.220485025506691E-2</c:v>
              </c:pt>
              <c:pt idx="433">
                <c:v>1.2215141554227243E-2</c:v>
              </c:pt>
              <c:pt idx="434">
                <c:v>1.2215141554227243E-2</c:v>
              </c:pt>
              <c:pt idx="437">
                <c:v>1.2215141554227243E-2</c:v>
              </c:pt>
              <c:pt idx="438">
                <c:v>1.2215141554227243E-2</c:v>
              </c:pt>
              <c:pt idx="439">
                <c:v>1.2215141554227243E-2</c:v>
              </c:pt>
              <c:pt idx="440">
                <c:v>1.2256306750868577E-2</c:v>
              </c:pt>
              <c:pt idx="441">
                <c:v>1.2256306750868577E-2</c:v>
              </c:pt>
              <c:pt idx="442">
                <c:v>1.2297471947509912E-2</c:v>
              </c:pt>
              <c:pt idx="443">
                <c:v>1.2297471947509912E-2</c:v>
              </c:pt>
              <c:pt idx="444">
                <c:v>1.2338637144151244E-2</c:v>
              </c:pt>
              <c:pt idx="445">
                <c:v>1.2338637144151244E-2</c:v>
              </c:pt>
              <c:pt idx="446">
                <c:v>1.2379802340792579E-2</c:v>
              </c:pt>
              <c:pt idx="447">
                <c:v>1.2379802340792579E-2</c:v>
              </c:pt>
              <c:pt idx="448">
                <c:v>1.2420967537433913E-2</c:v>
              </c:pt>
              <c:pt idx="449">
                <c:v>1.2420967537433913E-2</c:v>
              </c:pt>
              <c:pt idx="450">
                <c:v>1.2462132734075248E-2</c:v>
              </c:pt>
              <c:pt idx="451">
                <c:v>1.2462132734075248E-2</c:v>
              </c:pt>
              <c:pt idx="452">
                <c:v>1.2472424033235582E-2</c:v>
              </c:pt>
              <c:pt idx="453">
                <c:v>1.2472424033235582E-2</c:v>
              </c:pt>
              <c:pt idx="456">
                <c:v>1.2472424033235582E-2</c:v>
              </c:pt>
              <c:pt idx="457">
                <c:v>1.2472424033235582E-2</c:v>
              </c:pt>
              <c:pt idx="458">
                <c:v>1.2472424033235582E-2</c:v>
              </c:pt>
              <c:pt idx="459">
                <c:v>1.2513589229876916E-2</c:v>
              </c:pt>
              <c:pt idx="460">
                <c:v>1.2513589229876916E-2</c:v>
              </c:pt>
              <c:pt idx="461">
                <c:v>1.2554754426518251E-2</c:v>
              </c:pt>
              <c:pt idx="462">
                <c:v>1.2554754426518251E-2</c:v>
              </c:pt>
              <c:pt idx="463">
                <c:v>1.2595919623159584E-2</c:v>
              </c:pt>
              <c:pt idx="464">
                <c:v>1.2595919623159584E-2</c:v>
              </c:pt>
              <c:pt idx="465">
                <c:v>1.2637084819800918E-2</c:v>
              </c:pt>
              <c:pt idx="466">
                <c:v>1.2637084819800918E-2</c:v>
              </c:pt>
              <c:pt idx="467">
                <c:v>1.2678250016442252E-2</c:v>
              </c:pt>
              <c:pt idx="468">
                <c:v>1.2678250016442252E-2</c:v>
              </c:pt>
              <c:pt idx="469">
                <c:v>1.2719415213083587E-2</c:v>
              </c:pt>
              <c:pt idx="470">
                <c:v>1.2719415213083587E-2</c:v>
              </c:pt>
              <c:pt idx="471">
                <c:v>1.272970651224392E-2</c:v>
              </c:pt>
              <c:pt idx="472">
                <c:v>1.272970651224392E-2</c:v>
              </c:pt>
              <c:pt idx="475">
                <c:v>1.272970651224392E-2</c:v>
              </c:pt>
              <c:pt idx="476">
                <c:v>1.272970651224392E-2</c:v>
              </c:pt>
              <c:pt idx="477">
                <c:v>1.272970651224392E-2</c:v>
              </c:pt>
              <c:pt idx="478">
                <c:v>1.2770871708885254E-2</c:v>
              </c:pt>
              <c:pt idx="479">
                <c:v>1.2770871708885254E-2</c:v>
              </c:pt>
              <c:pt idx="480">
                <c:v>1.2812036905526588E-2</c:v>
              </c:pt>
              <c:pt idx="481">
                <c:v>1.2812036905526588E-2</c:v>
              </c:pt>
              <c:pt idx="482">
                <c:v>1.2853202102167921E-2</c:v>
              </c:pt>
              <c:pt idx="483">
                <c:v>1.2853202102167921E-2</c:v>
              </c:pt>
              <c:pt idx="484">
                <c:v>1.2894367298809255E-2</c:v>
              </c:pt>
              <c:pt idx="485">
                <c:v>1.2894367298809255E-2</c:v>
              </c:pt>
              <c:pt idx="486">
                <c:v>1.293553249545059E-2</c:v>
              </c:pt>
              <c:pt idx="487">
                <c:v>1.293553249545059E-2</c:v>
              </c:pt>
              <c:pt idx="488">
                <c:v>1.2976697692091924E-2</c:v>
              </c:pt>
              <c:pt idx="489">
                <c:v>1.2976697692091924E-2</c:v>
              </c:pt>
              <c:pt idx="490">
                <c:v>1.2986988991252257E-2</c:v>
              </c:pt>
              <c:pt idx="491">
                <c:v>1.2986988991252257E-2</c:v>
              </c:pt>
              <c:pt idx="494">
                <c:v>1.2986988991252257E-2</c:v>
              </c:pt>
              <c:pt idx="495">
                <c:v>1.2986988991252257E-2</c:v>
              </c:pt>
              <c:pt idx="496">
                <c:v>1.2986988991252257E-2</c:v>
              </c:pt>
              <c:pt idx="497">
                <c:v>1.3028154187893591E-2</c:v>
              </c:pt>
              <c:pt idx="498">
                <c:v>1.3028154187893591E-2</c:v>
              </c:pt>
              <c:pt idx="499">
                <c:v>1.3069319384534926E-2</c:v>
              </c:pt>
              <c:pt idx="500">
                <c:v>1.3069319384534926E-2</c:v>
              </c:pt>
              <c:pt idx="501">
                <c:v>1.3110484581176259E-2</c:v>
              </c:pt>
              <c:pt idx="502">
                <c:v>1.3110484581176259E-2</c:v>
              </c:pt>
              <c:pt idx="503">
                <c:v>1.3151649777817593E-2</c:v>
              </c:pt>
              <c:pt idx="504">
                <c:v>1.3151649777817593E-2</c:v>
              </c:pt>
              <c:pt idx="505">
                <c:v>1.3192814974458927E-2</c:v>
              </c:pt>
              <c:pt idx="506">
                <c:v>1.3192814974458927E-2</c:v>
              </c:pt>
              <c:pt idx="507">
                <c:v>1.3233980171100262E-2</c:v>
              </c:pt>
              <c:pt idx="508">
                <c:v>1.3233980171100262E-2</c:v>
              </c:pt>
              <c:pt idx="509">
                <c:v>1.3244271470260596E-2</c:v>
              </c:pt>
              <c:pt idx="510">
                <c:v>1.3244271470260596E-2</c:v>
              </c:pt>
              <c:pt idx="513">
                <c:v>1.3244271470260596E-2</c:v>
              </c:pt>
              <c:pt idx="514">
                <c:v>1.3244271470260596E-2</c:v>
              </c:pt>
              <c:pt idx="515">
                <c:v>1.3244271470260596E-2</c:v>
              </c:pt>
              <c:pt idx="516">
                <c:v>1.3285436666901931E-2</c:v>
              </c:pt>
              <c:pt idx="517">
                <c:v>1.3285436666901931E-2</c:v>
              </c:pt>
              <c:pt idx="518">
                <c:v>1.3326601863543265E-2</c:v>
              </c:pt>
              <c:pt idx="519">
                <c:v>1.3326601863543265E-2</c:v>
              </c:pt>
              <c:pt idx="520">
                <c:v>1.3367767060184598E-2</c:v>
              </c:pt>
              <c:pt idx="521">
                <c:v>1.3367767060184598E-2</c:v>
              </c:pt>
              <c:pt idx="522">
                <c:v>1.3408932256825932E-2</c:v>
              </c:pt>
              <c:pt idx="523">
                <c:v>1.3408932256825932E-2</c:v>
              </c:pt>
              <c:pt idx="524">
                <c:v>1.3450097453467267E-2</c:v>
              </c:pt>
              <c:pt idx="525">
                <c:v>1.3450097453467267E-2</c:v>
              </c:pt>
              <c:pt idx="526">
                <c:v>1.3491262650108601E-2</c:v>
              </c:pt>
              <c:pt idx="527">
                <c:v>1.3491262650108601E-2</c:v>
              </c:pt>
              <c:pt idx="528">
                <c:v>1.3501553949268934E-2</c:v>
              </c:pt>
              <c:pt idx="529">
                <c:v>1.3501553949268934E-2</c:v>
              </c:pt>
              <c:pt idx="532">
                <c:v>1.3501553949268934E-2</c:v>
              </c:pt>
              <c:pt idx="533">
                <c:v>1.3501553949268934E-2</c:v>
              </c:pt>
              <c:pt idx="534">
                <c:v>1.3501553949268934E-2</c:v>
              </c:pt>
              <c:pt idx="535">
                <c:v>1.3542719145910268E-2</c:v>
              </c:pt>
              <c:pt idx="536">
                <c:v>1.3542719145910268E-2</c:v>
              </c:pt>
              <c:pt idx="537">
                <c:v>1.3583884342551603E-2</c:v>
              </c:pt>
              <c:pt idx="538">
                <c:v>1.3583884342551603E-2</c:v>
              </c:pt>
              <c:pt idx="539">
                <c:v>1.3625049539192935E-2</c:v>
              </c:pt>
              <c:pt idx="540">
                <c:v>1.3625049539192935E-2</c:v>
              </c:pt>
              <c:pt idx="541">
                <c:v>1.366621473583427E-2</c:v>
              </c:pt>
              <c:pt idx="542">
                <c:v>1.366621473583427E-2</c:v>
              </c:pt>
              <c:pt idx="543">
                <c:v>1.3707379932475604E-2</c:v>
              </c:pt>
              <c:pt idx="544">
                <c:v>1.3707379932475604E-2</c:v>
              </c:pt>
              <c:pt idx="545">
                <c:v>1.3748545129116939E-2</c:v>
              </c:pt>
              <c:pt idx="546">
                <c:v>1.3748545129116939E-2</c:v>
              </c:pt>
              <c:pt idx="547">
                <c:v>1.3758836428277271E-2</c:v>
              </c:pt>
              <c:pt idx="548">
                <c:v>1.3758836428277271E-2</c:v>
              </c:pt>
              <c:pt idx="551">
                <c:v>1.3758836428277271E-2</c:v>
              </c:pt>
              <c:pt idx="552">
                <c:v>1.3758836428277271E-2</c:v>
              </c:pt>
              <c:pt idx="553">
                <c:v>1.3758836428277271E-2</c:v>
              </c:pt>
              <c:pt idx="554">
                <c:v>1.3800001624918606E-2</c:v>
              </c:pt>
              <c:pt idx="555">
                <c:v>1.3800001624918606E-2</c:v>
              </c:pt>
              <c:pt idx="556">
                <c:v>1.384116682155994E-2</c:v>
              </c:pt>
              <c:pt idx="557">
                <c:v>1.384116682155994E-2</c:v>
              </c:pt>
              <c:pt idx="558">
                <c:v>1.3882332018201273E-2</c:v>
              </c:pt>
              <c:pt idx="559">
                <c:v>1.3882332018201273E-2</c:v>
              </c:pt>
              <c:pt idx="560">
                <c:v>1.3923497214842607E-2</c:v>
              </c:pt>
              <c:pt idx="561">
                <c:v>1.3923497214842607E-2</c:v>
              </c:pt>
              <c:pt idx="562">
                <c:v>1.3964662411483942E-2</c:v>
              </c:pt>
              <c:pt idx="563">
                <c:v>1.3964662411483942E-2</c:v>
              </c:pt>
              <c:pt idx="564">
                <c:v>1.4005827608125276E-2</c:v>
              </c:pt>
              <c:pt idx="565">
                <c:v>1.4005827608125276E-2</c:v>
              </c:pt>
              <c:pt idx="566">
                <c:v>1.4016118907285611E-2</c:v>
              </c:pt>
              <c:pt idx="567">
                <c:v>1.4016118907285611E-2</c:v>
              </c:pt>
              <c:pt idx="570">
                <c:v>1.4016118907285611E-2</c:v>
              </c:pt>
              <c:pt idx="571">
                <c:v>1.4016118907285611E-2</c:v>
              </c:pt>
              <c:pt idx="572">
                <c:v>1.4016118907285611E-2</c:v>
              </c:pt>
              <c:pt idx="573">
                <c:v>1.4057284103926945E-2</c:v>
              </c:pt>
              <c:pt idx="574">
                <c:v>1.4057284103926945E-2</c:v>
              </c:pt>
              <c:pt idx="575">
                <c:v>1.4098449300568279E-2</c:v>
              </c:pt>
              <c:pt idx="576">
                <c:v>1.4098449300568279E-2</c:v>
              </c:pt>
              <c:pt idx="577">
                <c:v>1.4139614497209612E-2</c:v>
              </c:pt>
              <c:pt idx="578">
                <c:v>1.4139614497209612E-2</c:v>
              </c:pt>
              <c:pt idx="579">
                <c:v>1.4180779693850946E-2</c:v>
              </c:pt>
              <c:pt idx="580">
                <c:v>1.4180779693850946E-2</c:v>
              </c:pt>
              <c:pt idx="581">
                <c:v>1.4221944890492281E-2</c:v>
              </c:pt>
              <c:pt idx="582">
                <c:v>1.4221944890492281E-2</c:v>
              </c:pt>
              <c:pt idx="583">
                <c:v>1.4263110087133615E-2</c:v>
              </c:pt>
              <c:pt idx="584">
                <c:v>1.4263110087133615E-2</c:v>
              </c:pt>
              <c:pt idx="585">
                <c:v>1.4273401386293948E-2</c:v>
              </c:pt>
              <c:pt idx="586">
                <c:v>1.4273401386293948E-2</c:v>
              </c:pt>
              <c:pt idx="589">
                <c:v>1.4273401386293948E-2</c:v>
              </c:pt>
              <c:pt idx="590">
                <c:v>1.4273401386293948E-2</c:v>
              </c:pt>
              <c:pt idx="591">
                <c:v>1.4273401386293948E-2</c:v>
              </c:pt>
              <c:pt idx="592">
                <c:v>1.4314566582935282E-2</c:v>
              </c:pt>
              <c:pt idx="593">
                <c:v>1.4314566582935282E-2</c:v>
              </c:pt>
              <c:pt idx="594">
                <c:v>1.4355731779576617E-2</c:v>
              </c:pt>
              <c:pt idx="595">
                <c:v>1.4355731779576617E-2</c:v>
              </c:pt>
              <c:pt idx="596">
                <c:v>1.439689697621795E-2</c:v>
              </c:pt>
              <c:pt idx="597">
                <c:v>1.439689697621795E-2</c:v>
              </c:pt>
              <c:pt idx="598">
                <c:v>1.4438062172859284E-2</c:v>
              </c:pt>
              <c:pt idx="599">
                <c:v>1.4438062172859284E-2</c:v>
              </c:pt>
              <c:pt idx="600">
                <c:v>1.4479227369500618E-2</c:v>
              </c:pt>
              <c:pt idx="601">
                <c:v>1.4479227369500618E-2</c:v>
              </c:pt>
              <c:pt idx="602">
                <c:v>1.4520392566141953E-2</c:v>
              </c:pt>
              <c:pt idx="603">
                <c:v>1.4520392566141953E-2</c:v>
              </c:pt>
              <c:pt idx="604">
                <c:v>1.4530683865302287E-2</c:v>
              </c:pt>
              <c:pt idx="605">
                <c:v>1.4530683865302287E-2</c:v>
              </c:pt>
              <c:pt idx="608">
                <c:v>1.4530683865302287E-2</c:v>
              </c:pt>
              <c:pt idx="609">
                <c:v>1.4530683865302287E-2</c:v>
              </c:pt>
              <c:pt idx="610">
                <c:v>1.4530683865302287E-2</c:v>
              </c:pt>
              <c:pt idx="611">
                <c:v>1.4571849061943622E-2</c:v>
              </c:pt>
              <c:pt idx="612">
                <c:v>1.4571849061943622E-2</c:v>
              </c:pt>
              <c:pt idx="613">
                <c:v>1.4613014258584956E-2</c:v>
              </c:pt>
              <c:pt idx="614">
                <c:v>1.4613014258584956E-2</c:v>
              </c:pt>
              <c:pt idx="615">
                <c:v>1.4654179455226289E-2</c:v>
              </c:pt>
              <c:pt idx="616">
                <c:v>1.4654179455226289E-2</c:v>
              </c:pt>
              <c:pt idx="617">
                <c:v>1.4695344651867623E-2</c:v>
              </c:pt>
              <c:pt idx="618">
                <c:v>1.4695344651867623E-2</c:v>
              </c:pt>
              <c:pt idx="619">
                <c:v>1.4736509848508958E-2</c:v>
              </c:pt>
              <c:pt idx="620">
                <c:v>1.4736509848508958E-2</c:v>
              </c:pt>
              <c:pt idx="621">
                <c:v>1.4777675045150292E-2</c:v>
              </c:pt>
              <c:pt idx="622">
                <c:v>1.4777675045150292E-2</c:v>
              </c:pt>
              <c:pt idx="623">
                <c:v>1.4787966344310625E-2</c:v>
              </c:pt>
              <c:pt idx="624">
                <c:v>1.4787966344310625E-2</c:v>
              </c:pt>
              <c:pt idx="627">
                <c:v>1.4787966344310625E-2</c:v>
              </c:pt>
              <c:pt idx="628">
                <c:v>1.4787966344310625E-2</c:v>
              </c:pt>
              <c:pt idx="629">
                <c:v>1.4787966344310625E-2</c:v>
              </c:pt>
              <c:pt idx="630">
                <c:v>1.4829131540951959E-2</c:v>
              </c:pt>
              <c:pt idx="631">
                <c:v>1.4829131540951959E-2</c:v>
              </c:pt>
              <c:pt idx="632">
                <c:v>1.4870296737593294E-2</c:v>
              </c:pt>
              <c:pt idx="633">
                <c:v>1.4870296737593294E-2</c:v>
              </c:pt>
              <c:pt idx="634">
                <c:v>1.4911461934234626E-2</c:v>
              </c:pt>
              <c:pt idx="635">
                <c:v>1.4911461934234626E-2</c:v>
              </c:pt>
              <c:pt idx="636">
                <c:v>1.4952627130875961E-2</c:v>
              </c:pt>
              <c:pt idx="637">
                <c:v>1.4952627130875961E-2</c:v>
              </c:pt>
              <c:pt idx="638">
                <c:v>1.4993792327517295E-2</c:v>
              </c:pt>
              <c:pt idx="639">
                <c:v>1.4993792327517295E-2</c:v>
              </c:pt>
              <c:pt idx="640">
                <c:v>1.503495752415863E-2</c:v>
              </c:pt>
              <c:pt idx="641">
                <c:v>1.503495752415863E-2</c:v>
              </c:pt>
              <c:pt idx="642">
                <c:v>1.5045248823318962E-2</c:v>
              </c:pt>
              <c:pt idx="643">
                <c:v>1.5045248823318962E-2</c:v>
              </c:pt>
              <c:pt idx="646">
                <c:v>1.5045248823318962E-2</c:v>
              </c:pt>
              <c:pt idx="647">
                <c:v>1.5045248823318962E-2</c:v>
              </c:pt>
              <c:pt idx="648">
                <c:v>1.5045248823318962E-2</c:v>
              </c:pt>
              <c:pt idx="649">
                <c:v>1.5086414019960297E-2</c:v>
              </c:pt>
              <c:pt idx="650">
                <c:v>1.5086414019960297E-2</c:v>
              </c:pt>
              <c:pt idx="651">
                <c:v>1.5127579216601631E-2</c:v>
              </c:pt>
              <c:pt idx="652">
                <c:v>1.5127579216601631E-2</c:v>
              </c:pt>
              <c:pt idx="653">
                <c:v>1.5168744413242964E-2</c:v>
              </c:pt>
              <c:pt idx="654">
                <c:v>1.5168744413242964E-2</c:v>
              </c:pt>
              <c:pt idx="655">
                <c:v>1.5209909609884298E-2</c:v>
              </c:pt>
              <c:pt idx="656">
                <c:v>1.5209909609884298E-2</c:v>
              </c:pt>
              <c:pt idx="657">
                <c:v>1.5251074806525633E-2</c:v>
              </c:pt>
              <c:pt idx="658">
                <c:v>1.5251074806525633E-2</c:v>
              </c:pt>
              <c:pt idx="659">
                <c:v>1.5292240003166967E-2</c:v>
              </c:pt>
              <c:pt idx="660">
                <c:v>1.5292240003166967E-2</c:v>
              </c:pt>
              <c:pt idx="661">
                <c:v>1.5302531302327302E-2</c:v>
              </c:pt>
              <c:pt idx="662">
                <c:v>1.5302531302327302E-2</c:v>
              </c:pt>
              <c:pt idx="665">
                <c:v>1.5302531302327302E-2</c:v>
              </c:pt>
              <c:pt idx="666">
                <c:v>1.5302531302327302E-2</c:v>
              </c:pt>
              <c:pt idx="667">
                <c:v>1.5302531302327302E-2</c:v>
              </c:pt>
              <c:pt idx="668">
                <c:v>1.5343696498968636E-2</c:v>
              </c:pt>
              <c:pt idx="669">
                <c:v>1.5343696498968636E-2</c:v>
              </c:pt>
              <c:pt idx="670">
                <c:v>1.538486169560997E-2</c:v>
              </c:pt>
              <c:pt idx="671">
                <c:v>1.538486169560997E-2</c:v>
              </c:pt>
              <c:pt idx="672">
                <c:v>1.5426026892251303E-2</c:v>
              </c:pt>
              <c:pt idx="673">
                <c:v>1.5426026892251303E-2</c:v>
              </c:pt>
              <c:pt idx="674">
                <c:v>1.5467192088892637E-2</c:v>
              </c:pt>
              <c:pt idx="675">
                <c:v>1.5467192088892637E-2</c:v>
              </c:pt>
              <c:pt idx="676">
                <c:v>1.5508357285533972E-2</c:v>
              </c:pt>
              <c:pt idx="677">
                <c:v>1.5508357285533972E-2</c:v>
              </c:pt>
              <c:pt idx="678">
                <c:v>1.5549522482175306E-2</c:v>
              </c:pt>
              <c:pt idx="679">
                <c:v>1.5549522482175306E-2</c:v>
              </c:pt>
              <c:pt idx="680">
                <c:v>1.5559813781335639E-2</c:v>
              </c:pt>
              <c:pt idx="681">
                <c:v>1.5559813781335639E-2</c:v>
              </c:pt>
              <c:pt idx="684">
                <c:v>1.5559813781335639E-2</c:v>
              </c:pt>
              <c:pt idx="685">
                <c:v>1.5559813781335639E-2</c:v>
              </c:pt>
              <c:pt idx="686">
                <c:v>1.5559813781335639E-2</c:v>
              </c:pt>
              <c:pt idx="687">
                <c:v>1.5600978977976973E-2</c:v>
              </c:pt>
              <c:pt idx="688">
                <c:v>1.5600978977976973E-2</c:v>
              </c:pt>
              <c:pt idx="689">
                <c:v>1.5642144174618306E-2</c:v>
              </c:pt>
              <c:pt idx="690">
                <c:v>1.5642144174618306E-2</c:v>
              </c:pt>
              <c:pt idx="691">
                <c:v>1.5683309371259641E-2</c:v>
              </c:pt>
              <c:pt idx="692">
                <c:v>1.5683309371259641E-2</c:v>
              </c:pt>
              <c:pt idx="693">
                <c:v>1.5724474567900975E-2</c:v>
              </c:pt>
              <c:pt idx="694">
                <c:v>1.5724474567900975E-2</c:v>
              </c:pt>
              <c:pt idx="695">
                <c:v>1.5765639764542309E-2</c:v>
              </c:pt>
              <c:pt idx="696">
                <c:v>1.5765639764542309E-2</c:v>
              </c:pt>
              <c:pt idx="697">
                <c:v>1.5806804961183644E-2</c:v>
              </c:pt>
              <c:pt idx="698">
                <c:v>1.5806804961183644E-2</c:v>
              </c:pt>
              <c:pt idx="699">
                <c:v>1.5817096260343978E-2</c:v>
              </c:pt>
              <c:pt idx="700">
                <c:v>1.5817096260343978E-2</c:v>
              </c:pt>
              <c:pt idx="703">
                <c:v>1.5817096260343978E-2</c:v>
              </c:pt>
              <c:pt idx="704">
                <c:v>1.5817096260343978E-2</c:v>
              </c:pt>
              <c:pt idx="705">
                <c:v>1.5817096260343978E-2</c:v>
              </c:pt>
              <c:pt idx="706">
                <c:v>1.5858261456985313E-2</c:v>
              </c:pt>
              <c:pt idx="707">
                <c:v>1.5858261456985313E-2</c:v>
              </c:pt>
              <c:pt idx="708">
                <c:v>1.5899426653626647E-2</c:v>
              </c:pt>
              <c:pt idx="709">
                <c:v>1.5899426653626647E-2</c:v>
              </c:pt>
              <c:pt idx="710">
                <c:v>1.5940591850267982E-2</c:v>
              </c:pt>
              <c:pt idx="711">
                <c:v>1.5940591850267982E-2</c:v>
              </c:pt>
              <c:pt idx="712">
                <c:v>1.5981757046909316E-2</c:v>
              </c:pt>
              <c:pt idx="713">
                <c:v>1.5981757046909316E-2</c:v>
              </c:pt>
              <c:pt idx="714">
                <c:v>1.602292224355065E-2</c:v>
              </c:pt>
              <c:pt idx="715">
                <c:v>1.602292224355065E-2</c:v>
              </c:pt>
              <c:pt idx="716">
                <c:v>1.6064087440191981E-2</c:v>
              </c:pt>
              <c:pt idx="717">
                <c:v>1.6064087440191981E-2</c:v>
              </c:pt>
              <c:pt idx="718">
                <c:v>1.6074378739352316E-2</c:v>
              </c:pt>
              <c:pt idx="719">
                <c:v>1.6074378739352316E-2</c:v>
              </c:pt>
              <c:pt idx="722">
                <c:v>1.6074378739352316E-2</c:v>
              </c:pt>
              <c:pt idx="723">
                <c:v>1.6074378739352316E-2</c:v>
              </c:pt>
              <c:pt idx="724">
                <c:v>1.6074378739352316E-2</c:v>
              </c:pt>
              <c:pt idx="725">
                <c:v>1.611554393599365E-2</c:v>
              </c:pt>
              <c:pt idx="726">
                <c:v>1.611554393599365E-2</c:v>
              </c:pt>
              <c:pt idx="727">
                <c:v>1.6156709132634985E-2</c:v>
              </c:pt>
              <c:pt idx="728">
                <c:v>1.6156709132634985E-2</c:v>
              </c:pt>
              <c:pt idx="729">
                <c:v>1.6197874329276319E-2</c:v>
              </c:pt>
              <c:pt idx="730">
                <c:v>1.6197874329276319E-2</c:v>
              </c:pt>
              <c:pt idx="731">
                <c:v>1.6239039525917653E-2</c:v>
              </c:pt>
              <c:pt idx="732">
                <c:v>1.6239039525917653E-2</c:v>
              </c:pt>
              <c:pt idx="733">
                <c:v>1.6280204722558988E-2</c:v>
              </c:pt>
              <c:pt idx="734">
                <c:v>1.6280204722558988E-2</c:v>
              </c:pt>
              <c:pt idx="735">
                <c:v>1.6321369919200319E-2</c:v>
              </c:pt>
              <c:pt idx="736">
                <c:v>1.6321369919200319E-2</c:v>
              </c:pt>
              <c:pt idx="737">
                <c:v>1.6331661218360653E-2</c:v>
              </c:pt>
              <c:pt idx="738">
                <c:v>1.6331661218360653E-2</c:v>
              </c:pt>
              <c:pt idx="741">
                <c:v>1.6331661218360653E-2</c:v>
              </c:pt>
              <c:pt idx="742">
                <c:v>1.6331661218360653E-2</c:v>
              </c:pt>
              <c:pt idx="743">
                <c:v>1.6331661218360653E-2</c:v>
              </c:pt>
              <c:pt idx="744">
                <c:v>1.6372826415001988E-2</c:v>
              </c:pt>
              <c:pt idx="745">
                <c:v>1.6372826415001988E-2</c:v>
              </c:pt>
              <c:pt idx="746">
                <c:v>1.6413991611643322E-2</c:v>
              </c:pt>
              <c:pt idx="747">
                <c:v>1.6413991611643322E-2</c:v>
              </c:pt>
              <c:pt idx="748">
                <c:v>1.6455156808284657E-2</c:v>
              </c:pt>
              <c:pt idx="749">
                <c:v>1.6455156808284657E-2</c:v>
              </c:pt>
              <c:pt idx="750">
                <c:v>1.6496322004925991E-2</c:v>
              </c:pt>
              <c:pt idx="751">
                <c:v>1.6496322004925991E-2</c:v>
              </c:pt>
              <c:pt idx="752">
                <c:v>1.6537487201567325E-2</c:v>
              </c:pt>
              <c:pt idx="753">
                <c:v>1.6537487201567325E-2</c:v>
              </c:pt>
              <c:pt idx="754">
                <c:v>1.6578652398208656E-2</c:v>
              </c:pt>
              <c:pt idx="755">
                <c:v>1.6578652398208656E-2</c:v>
              </c:pt>
              <c:pt idx="756">
                <c:v>1.6588943697368991E-2</c:v>
              </c:pt>
              <c:pt idx="757">
                <c:v>1.6588943697368991E-2</c:v>
              </c:pt>
            </c:numLit>
          </c:xVal>
          <c:yVal>
            <c:numLit>
              <c:formatCode>General</c:formatCode>
              <c:ptCount val="759"/>
              <c:pt idx="0">
                <c:v>0</c:v>
              </c:pt>
              <c:pt idx="1">
                <c:v>0</c:v>
              </c:pt>
              <c:pt idx="2">
                <c:v>1.5547113878167982</c:v>
              </c:pt>
              <c:pt idx="3">
                <c:v>1.5547113878167982</c:v>
              </c:pt>
              <c:pt idx="4">
                <c:v>0</c:v>
              </c:pt>
              <c:pt idx="5">
                <c:v>0</c:v>
              </c:pt>
              <c:pt idx="6">
                <c:v>1.5547113878167982</c:v>
              </c:pt>
              <c:pt idx="7">
                <c:v>1.5547113878167982</c:v>
              </c:pt>
              <c:pt idx="8">
                <c:v>0</c:v>
              </c:pt>
              <c:pt idx="9">
                <c:v>0</c:v>
              </c:pt>
              <c:pt idx="10">
                <c:v>1.5547113878167982</c:v>
              </c:pt>
              <c:pt idx="11">
                <c:v>1.5547113878167982</c:v>
              </c:pt>
              <c:pt idx="12">
                <c:v>0</c:v>
              </c:pt>
              <c:pt idx="13">
                <c:v>0</c:v>
              </c:pt>
              <c:pt idx="14">
                <c:v>1.5547113878167982</c:v>
              </c:pt>
              <c:pt idx="15">
                <c:v>1.5547113878167982</c:v>
              </c:pt>
              <c:pt idx="16">
                <c:v>0</c:v>
              </c:pt>
              <c:pt idx="19">
                <c:v>0</c:v>
              </c:pt>
              <c:pt idx="20">
                <c:v>0</c:v>
              </c:pt>
              <c:pt idx="21">
                <c:v>1.9433892347710042</c:v>
              </c:pt>
              <c:pt idx="22">
                <c:v>1.9433892347710042</c:v>
              </c:pt>
              <c:pt idx="23">
                <c:v>0</c:v>
              </c:pt>
              <c:pt idx="24">
                <c:v>0</c:v>
              </c:pt>
              <c:pt idx="25">
                <c:v>1.9433892347710042</c:v>
              </c:pt>
              <c:pt idx="26">
                <c:v>1.9433892347710042</c:v>
              </c:pt>
              <c:pt idx="27">
                <c:v>0</c:v>
              </c:pt>
              <c:pt idx="28">
                <c:v>0</c:v>
              </c:pt>
              <c:pt idx="29">
                <c:v>1.9433892347710042</c:v>
              </c:pt>
              <c:pt idx="30">
                <c:v>1.9433892347710042</c:v>
              </c:pt>
              <c:pt idx="31">
                <c:v>0</c:v>
              </c:pt>
              <c:pt idx="32">
                <c:v>0</c:v>
              </c:pt>
              <c:pt idx="33">
                <c:v>1.9433892347710042</c:v>
              </c:pt>
              <c:pt idx="34">
                <c:v>1.9433892347710042</c:v>
              </c:pt>
              <c:pt idx="35">
                <c:v>0</c:v>
              </c:pt>
              <c:pt idx="38">
                <c:v>0</c:v>
              </c:pt>
              <c:pt idx="39">
                <c:v>0</c:v>
              </c:pt>
              <c:pt idx="40">
                <c:v>3.8867784695419956</c:v>
              </c:pt>
              <c:pt idx="41">
                <c:v>3.8867784695419956</c:v>
              </c:pt>
              <c:pt idx="42">
                <c:v>0</c:v>
              </c:pt>
              <c:pt idx="43">
                <c:v>0</c:v>
              </c:pt>
              <c:pt idx="44">
                <c:v>3.8867784695419956</c:v>
              </c:pt>
              <c:pt idx="45">
                <c:v>3.8867784695419956</c:v>
              </c:pt>
              <c:pt idx="46">
                <c:v>0</c:v>
              </c:pt>
              <c:pt idx="47">
                <c:v>0</c:v>
              </c:pt>
              <c:pt idx="48">
                <c:v>3.8867784695419956</c:v>
              </c:pt>
              <c:pt idx="49">
                <c:v>3.8867784695419956</c:v>
              </c:pt>
              <c:pt idx="50">
                <c:v>0</c:v>
              </c:pt>
              <c:pt idx="51">
                <c:v>0</c:v>
              </c:pt>
              <c:pt idx="52">
                <c:v>3.8867784695419956</c:v>
              </c:pt>
              <c:pt idx="53">
                <c:v>3.8867784695419956</c:v>
              </c:pt>
              <c:pt idx="54">
                <c:v>0</c:v>
              </c:pt>
              <c:pt idx="57">
                <c:v>0</c:v>
              </c:pt>
              <c:pt idx="58">
                <c:v>0</c:v>
              </c:pt>
              <c:pt idx="59">
                <c:v>10.105624020809188</c:v>
              </c:pt>
              <c:pt idx="60">
                <c:v>10.105624020809188</c:v>
              </c:pt>
              <c:pt idx="61">
                <c:v>0</c:v>
              </c:pt>
              <c:pt idx="62">
                <c:v>0</c:v>
              </c:pt>
              <c:pt idx="63">
                <c:v>10.105624020809188</c:v>
              </c:pt>
              <c:pt idx="64">
                <c:v>10.105624020809188</c:v>
              </c:pt>
              <c:pt idx="65">
                <c:v>0</c:v>
              </c:pt>
              <c:pt idx="66">
                <c:v>0</c:v>
              </c:pt>
              <c:pt idx="67">
                <c:v>10.105624020809188</c:v>
              </c:pt>
              <c:pt idx="68">
                <c:v>10.105624020809188</c:v>
              </c:pt>
              <c:pt idx="69">
                <c:v>0</c:v>
              </c:pt>
              <c:pt idx="70">
                <c:v>0</c:v>
              </c:pt>
              <c:pt idx="71">
                <c:v>10.105624020809188</c:v>
              </c:pt>
              <c:pt idx="72">
                <c:v>10.105624020809188</c:v>
              </c:pt>
              <c:pt idx="73">
                <c:v>0</c:v>
              </c:pt>
              <c:pt idx="76">
                <c:v>0</c:v>
              </c:pt>
              <c:pt idx="77">
                <c:v>0</c:v>
              </c:pt>
              <c:pt idx="78">
                <c:v>24.486704358114658</c:v>
              </c:pt>
              <c:pt idx="79">
                <c:v>24.486704358114658</c:v>
              </c:pt>
              <c:pt idx="80">
                <c:v>0</c:v>
              </c:pt>
              <c:pt idx="81">
                <c:v>0</c:v>
              </c:pt>
              <c:pt idx="82">
                <c:v>24.486704358114658</c:v>
              </c:pt>
              <c:pt idx="83">
                <c:v>24.486704358114658</c:v>
              </c:pt>
              <c:pt idx="84">
                <c:v>0</c:v>
              </c:pt>
              <c:pt idx="85">
                <c:v>0</c:v>
              </c:pt>
              <c:pt idx="86">
                <c:v>24.486704358114658</c:v>
              </c:pt>
              <c:pt idx="87">
                <c:v>24.486704358114658</c:v>
              </c:pt>
              <c:pt idx="88">
                <c:v>0</c:v>
              </c:pt>
              <c:pt idx="89">
                <c:v>0</c:v>
              </c:pt>
              <c:pt idx="90">
                <c:v>24.486704358114658</c:v>
              </c:pt>
              <c:pt idx="91">
                <c:v>24.486704358114658</c:v>
              </c:pt>
              <c:pt idx="92">
                <c:v>0</c:v>
              </c:pt>
              <c:pt idx="95">
                <c:v>0</c:v>
              </c:pt>
              <c:pt idx="96">
                <c:v>0</c:v>
              </c:pt>
              <c:pt idx="97">
                <c:v>41.588529624099202</c:v>
              </c:pt>
              <c:pt idx="98">
                <c:v>41.588529624099202</c:v>
              </c:pt>
              <c:pt idx="99">
                <c:v>0</c:v>
              </c:pt>
              <c:pt idx="100">
                <c:v>0</c:v>
              </c:pt>
              <c:pt idx="101">
                <c:v>41.588529624099202</c:v>
              </c:pt>
              <c:pt idx="102">
                <c:v>41.588529624099202</c:v>
              </c:pt>
              <c:pt idx="103">
                <c:v>0</c:v>
              </c:pt>
              <c:pt idx="104">
                <c:v>0</c:v>
              </c:pt>
              <c:pt idx="105">
                <c:v>41.588529624099202</c:v>
              </c:pt>
              <c:pt idx="106">
                <c:v>41.588529624099202</c:v>
              </c:pt>
              <c:pt idx="107">
                <c:v>0</c:v>
              </c:pt>
              <c:pt idx="108">
                <c:v>0</c:v>
              </c:pt>
              <c:pt idx="109">
                <c:v>41.588529624099202</c:v>
              </c:pt>
              <c:pt idx="110">
                <c:v>41.588529624099202</c:v>
              </c:pt>
              <c:pt idx="111">
                <c:v>0</c:v>
              </c:pt>
              <c:pt idx="114">
                <c:v>0</c:v>
              </c:pt>
              <c:pt idx="115">
                <c:v>0</c:v>
              </c:pt>
              <c:pt idx="116">
                <c:v>64.131844747443139</c:v>
              </c:pt>
              <c:pt idx="117">
                <c:v>64.131844747443139</c:v>
              </c:pt>
              <c:pt idx="118">
                <c:v>0</c:v>
              </c:pt>
              <c:pt idx="119">
                <c:v>0</c:v>
              </c:pt>
              <c:pt idx="120">
                <c:v>64.131844747443139</c:v>
              </c:pt>
              <c:pt idx="121">
                <c:v>64.131844747443139</c:v>
              </c:pt>
              <c:pt idx="122">
                <c:v>0</c:v>
              </c:pt>
              <c:pt idx="123">
                <c:v>0</c:v>
              </c:pt>
              <c:pt idx="124">
                <c:v>64.131844747443139</c:v>
              </c:pt>
              <c:pt idx="125">
                <c:v>64.131844747443139</c:v>
              </c:pt>
              <c:pt idx="126">
                <c:v>0</c:v>
              </c:pt>
              <c:pt idx="127">
                <c:v>0</c:v>
              </c:pt>
              <c:pt idx="128">
                <c:v>64.131844747443139</c:v>
              </c:pt>
              <c:pt idx="129">
                <c:v>64.131844747443139</c:v>
              </c:pt>
              <c:pt idx="130">
                <c:v>0</c:v>
              </c:pt>
              <c:pt idx="133">
                <c:v>0</c:v>
              </c:pt>
              <c:pt idx="134">
                <c:v>0</c:v>
              </c:pt>
              <c:pt idx="135">
                <c:v>107.27508575935946</c:v>
              </c:pt>
              <c:pt idx="136">
                <c:v>107.27508575935946</c:v>
              </c:pt>
              <c:pt idx="137">
                <c:v>0</c:v>
              </c:pt>
              <c:pt idx="138">
                <c:v>0</c:v>
              </c:pt>
              <c:pt idx="139">
                <c:v>107.27508575935946</c:v>
              </c:pt>
              <c:pt idx="140">
                <c:v>107.27508575935946</c:v>
              </c:pt>
              <c:pt idx="141">
                <c:v>0</c:v>
              </c:pt>
              <c:pt idx="142">
                <c:v>0</c:v>
              </c:pt>
              <c:pt idx="143">
                <c:v>107.27508575935946</c:v>
              </c:pt>
              <c:pt idx="144">
                <c:v>107.27508575935946</c:v>
              </c:pt>
              <c:pt idx="145">
                <c:v>0</c:v>
              </c:pt>
              <c:pt idx="146">
                <c:v>0</c:v>
              </c:pt>
              <c:pt idx="147">
                <c:v>107.27508575935946</c:v>
              </c:pt>
              <c:pt idx="148">
                <c:v>107.27508575935946</c:v>
              </c:pt>
              <c:pt idx="149">
                <c:v>0</c:v>
              </c:pt>
              <c:pt idx="152">
                <c:v>0</c:v>
              </c:pt>
              <c:pt idx="153">
                <c:v>0</c:v>
              </c:pt>
              <c:pt idx="154">
                <c:v>141.86741413828233</c:v>
              </c:pt>
              <c:pt idx="155">
                <c:v>141.86741413828233</c:v>
              </c:pt>
              <c:pt idx="156">
                <c:v>0</c:v>
              </c:pt>
              <c:pt idx="157">
                <c:v>0</c:v>
              </c:pt>
              <c:pt idx="158">
                <c:v>141.86741413828233</c:v>
              </c:pt>
              <c:pt idx="159">
                <c:v>141.86741413828233</c:v>
              </c:pt>
              <c:pt idx="160">
                <c:v>0</c:v>
              </c:pt>
              <c:pt idx="161">
                <c:v>0</c:v>
              </c:pt>
              <c:pt idx="162">
                <c:v>141.86741413828233</c:v>
              </c:pt>
              <c:pt idx="163">
                <c:v>141.86741413828233</c:v>
              </c:pt>
              <c:pt idx="164">
                <c:v>0</c:v>
              </c:pt>
              <c:pt idx="165">
                <c:v>0</c:v>
              </c:pt>
              <c:pt idx="166">
                <c:v>141.86741413828233</c:v>
              </c:pt>
              <c:pt idx="167">
                <c:v>141.86741413828233</c:v>
              </c:pt>
              <c:pt idx="168">
                <c:v>0</c:v>
              </c:pt>
              <c:pt idx="171">
                <c:v>0</c:v>
              </c:pt>
              <c:pt idx="172">
                <c:v>0</c:v>
              </c:pt>
              <c:pt idx="173">
                <c:v>184.23329945629121</c:v>
              </c:pt>
              <c:pt idx="174">
                <c:v>184.23329945629121</c:v>
              </c:pt>
              <c:pt idx="175">
                <c:v>0</c:v>
              </c:pt>
              <c:pt idx="176">
                <c:v>0</c:v>
              </c:pt>
              <c:pt idx="177">
                <c:v>184.23329945629121</c:v>
              </c:pt>
              <c:pt idx="178">
                <c:v>184.23329945629121</c:v>
              </c:pt>
              <c:pt idx="179">
                <c:v>0</c:v>
              </c:pt>
              <c:pt idx="180">
                <c:v>0</c:v>
              </c:pt>
              <c:pt idx="181">
                <c:v>184.23329945629121</c:v>
              </c:pt>
              <c:pt idx="182">
                <c:v>184.23329945629121</c:v>
              </c:pt>
              <c:pt idx="183">
                <c:v>0</c:v>
              </c:pt>
              <c:pt idx="184">
                <c:v>0</c:v>
              </c:pt>
              <c:pt idx="185">
                <c:v>184.23329945629121</c:v>
              </c:pt>
              <c:pt idx="186">
                <c:v>184.23329945629121</c:v>
              </c:pt>
              <c:pt idx="187">
                <c:v>0</c:v>
              </c:pt>
              <c:pt idx="190">
                <c:v>0</c:v>
              </c:pt>
              <c:pt idx="191">
                <c:v>0</c:v>
              </c:pt>
              <c:pt idx="192">
                <c:v>249.14249989764281</c:v>
              </c:pt>
              <c:pt idx="193">
                <c:v>249.14249989764281</c:v>
              </c:pt>
              <c:pt idx="194">
                <c:v>0</c:v>
              </c:pt>
              <c:pt idx="195">
                <c:v>0</c:v>
              </c:pt>
              <c:pt idx="196">
                <c:v>249.14249989764281</c:v>
              </c:pt>
              <c:pt idx="197">
                <c:v>249.14249989764281</c:v>
              </c:pt>
              <c:pt idx="198">
                <c:v>0</c:v>
              </c:pt>
              <c:pt idx="199">
                <c:v>0</c:v>
              </c:pt>
              <c:pt idx="200">
                <c:v>249.14249989764281</c:v>
              </c:pt>
              <c:pt idx="201">
                <c:v>249.14249989764281</c:v>
              </c:pt>
              <c:pt idx="202">
                <c:v>0</c:v>
              </c:pt>
              <c:pt idx="203">
                <c:v>0</c:v>
              </c:pt>
              <c:pt idx="204">
                <c:v>249.14249989764281</c:v>
              </c:pt>
              <c:pt idx="205">
                <c:v>249.14249989764281</c:v>
              </c:pt>
              <c:pt idx="206">
                <c:v>0</c:v>
              </c:pt>
              <c:pt idx="209">
                <c:v>0</c:v>
              </c:pt>
              <c:pt idx="210">
                <c:v>0</c:v>
              </c:pt>
              <c:pt idx="211">
                <c:v>264.30093592885481</c:v>
              </c:pt>
              <c:pt idx="212">
                <c:v>264.30093592885481</c:v>
              </c:pt>
              <c:pt idx="213">
                <c:v>0</c:v>
              </c:pt>
              <c:pt idx="214">
                <c:v>0</c:v>
              </c:pt>
              <c:pt idx="215">
                <c:v>264.30093592885481</c:v>
              </c:pt>
              <c:pt idx="216">
                <c:v>264.30093592885481</c:v>
              </c:pt>
              <c:pt idx="217">
                <c:v>0</c:v>
              </c:pt>
              <c:pt idx="218">
                <c:v>0</c:v>
              </c:pt>
              <c:pt idx="219">
                <c:v>264.30093592885481</c:v>
              </c:pt>
              <c:pt idx="220">
                <c:v>264.30093592885481</c:v>
              </c:pt>
              <c:pt idx="221">
                <c:v>0</c:v>
              </c:pt>
              <c:pt idx="222">
                <c:v>0</c:v>
              </c:pt>
              <c:pt idx="223">
                <c:v>264.30093592885481</c:v>
              </c:pt>
              <c:pt idx="224">
                <c:v>264.30093592885481</c:v>
              </c:pt>
              <c:pt idx="225">
                <c:v>0</c:v>
              </c:pt>
              <c:pt idx="228">
                <c:v>0</c:v>
              </c:pt>
              <c:pt idx="229">
                <c:v>0</c:v>
              </c:pt>
              <c:pt idx="230">
                <c:v>310.94227756336051</c:v>
              </c:pt>
              <c:pt idx="231">
                <c:v>310.94227756336051</c:v>
              </c:pt>
              <c:pt idx="232">
                <c:v>0</c:v>
              </c:pt>
              <c:pt idx="233">
                <c:v>0</c:v>
              </c:pt>
              <c:pt idx="234">
                <c:v>310.94227756336051</c:v>
              </c:pt>
              <c:pt idx="235">
                <c:v>310.94227756336051</c:v>
              </c:pt>
              <c:pt idx="236">
                <c:v>0</c:v>
              </c:pt>
              <c:pt idx="237">
                <c:v>0</c:v>
              </c:pt>
              <c:pt idx="238">
                <c:v>310.94227756336051</c:v>
              </c:pt>
              <c:pt idx="239">
                <c:v>310.94227756336051</c:v>
              </c:pt>
              <c:pt idx="240">
                <c:v>0</c:v>
              </c:pt>
              <c:pt idx="241">
                <c:v>0</c:v>
              </c:pt>
              <c:pt idx="242">
                <c:v>310.94227756336051</c:v>
              </c:pt>
              <c:pt idx="243">
                <c:v>310.94227756336051</c:v>
              </c:pt>
              <c:pt idx="244">
                <c:v>0</c:v>
              </c:pt>
              <c:pt idx="247">
                <c:v>0</c:v>
              </c:pt>
              <c:pt idx="248">
                <c:v>0</c:v>
              </c:pt>
              <c:pt idx="249">
                <c:v>324.93468005371193</c:v>
              </c:pt>
              <c:pt idx="250">
                <c:v>324.93468005371193</c:v>
              </c:pt>
              <c:pt idx="251">
                <c:v>0</c:v>
              </c:pt>
              <c:pt idx="252">
                <c:v>0</c:v>
              </c:pt>
              <c:pt idx="253">
                <c:v>324.93468005371193</c:v>
              </c:pt>
              <c:pt idx="254">
                <c:v>324.93468005371193</c:v>
              </c:pt>
              <c:pt idx="255">
                <c:v>0</c:v>
              </c:pt>
              <c:pt idx="256">
                <c:v>0</c:v>
              </c:pt>
              <c:pt idx="257">
                <c:v>324.93468005371193</c:v>
              </c:pt>
              <c:pt idx="258">
                <c:v>324.93468005371193</c:v>
              </c:pt>
              <c:pt idx="259">
                <c:v>0</c:v>
              </c:pt>
              <c:pt idx="260">
                <c:v>0</c:v>
              </c:pt>
              <c:pt idx="261">
                <c:v>324.93468005371193</c:v>
              </c:pt>
              <c:pt idx="262">
                <c:v>324.93468005371193</c:v>
              </c:pt>
              <c:pt idx="263">
                <c:v>0</c:v>
              </c:pt>
              <c:pt idx="266">
                <c:v>0</c:v>
              </c:pt>
              <c:pt idx="267">
                <c:v>0</c:v>
              </c:pt>
              <c:pt idx="268">
                <c:v>336.98369330929006</c:v>
              </c:pt>
              <c:pt idx="269">
                <c:v>336.98369330929006</c:v>
              </c:pt>
              <c:pt idx="270">
                <c:v>0</c:v>
              </c:pt>
              <c:pt idx="271">
                <c:v>0</c:v>
              </c:pt>
              <c:pt idx="272">
                <c:v>336.98369330929006</c:v>
              </c:pt>
              <c:pt idx="273">
                <c:v>336.98369330929006</c:v>
              </c:pt>
              <c:pt idx="274">
                <c:v>0</c:v>
              </c:pt>
              <c:pt idx="275">
                <c:v>0</c:v>
              </c:pt>
              <c:pt idx="276">
                <c:v>336.98369330929006</c:v>
              </c:pt>
              <c:pt idx="277">
                <c:v>336.98369330929006</c:v>
              </c:pt>
              <c:pt idx="278">
                <c:v>0</c:v>
              </c:pt>
              <c:pt idx="279">
                <c:v>0</c:v>
              </c:pt>
              <c:pt idx="280">
                <c:v>336.98369330929006</c:v>
              </c:pt>
              <c:pt idx="281">
                <c:v>336.98369330929006</c:v>
              </c:pt>
              <c:pt idx="282">
                <c:v>0</c:v>
              </c:pt>
              <c:pt idx="285">
                <c:v>0</c:v>
              </c:pt>
              <c:pt idx="286">
                <c:v>0</c:v>
              </c:pt>
              <c:pt idx="287">
                <c:v>310.55359971640638</c:v>
              </c:pt>
              <c:pt idx="288">
                <c:v>310.55359971640638</c:v>
              </c:pt>
              <c:pt idx="289">
                <c:v>0</c:v>
              </c:pt>
              <c:pt idx="290">
                <c:v>0</c:v>
              </c:pt>
              <c:pt idx="291">
                <c:v>310.55359971640638</c:v>
              </c:pt>
              <c:pt idx="292">
                <c:v>310.55359971640638</c:v>
              </c:pt>
              <c:pt idx="293">
                <c:v>0</c:v>
              </c:pt>
              <c:pt idx="294">
                <c:v>0</c:v>
              </c:pt>
              <c:pt idx="295">
                <c:v>310.55359971640638</c:v>
              </c:pt>
              <c:pt idx="296">
                <c:v>310.55359971640638</c:v>
              </c:pt>
              <c:pt idx="297">
                <c:v>0</c:v>
              </c:pt>
              <c:pt idx="298">
                <c:v>0</c:v>
              </c:pt>
              <c:pt idx="299">
                <c:v>310.55359971640638</c:v>
              </c:pt>
              <c:pt idx="300">
                <c:v>310.55359971640638</c:v>
              </c:pt>
              <c:pt idx="301">
                <c:v>0</c:v>
              </c:pt>
              <c:pt idx="304">
                <c:v>0</c:v>
              </c:pt>
              <c:pt idx="305">
                <c:v>0</c:v>
              </c:pt>
              <c:pt idx="306">
                <c:v>281.4027611948415</c:v>
              </c:pt>
              <c:pt idx="307">
                <c:v>281.4027611948415</c:v>
              </c:pt>
              <c:pt idx="308">
                <c:v>0</c:v>
              </c:pt>
              <c:pt idx="309">
                <c:v>0</c:v>
              </c:pt>
              <c:pt idx="310">
                <c:v>281.4027611948415</c:v>
              </c:pt>
              <c:pt idx="311">
                <c:v>281.4027611948415</c:v>
              </c:pt>
              <c:pt idx="312">
                <c:v>0</c:v>
              </c:pt>
              <c:pt idx="313">
                <c:v>0</c:v>
              </c:pt>
              <c:pt idx="314">
                <c:v>281.4027611948415</c:v>
              </c:pt>
              <c:pt idx="315">
                <c:v>281.4027611948415</c:v>
              </c:pt>
              <c:pt idx="316">
                <c:v>0</c:v>
              </c:pt>
              <c:pt idx="317">
                <c:v>0</c:v>
              </c:pt>
              <c:pt idx="318">
                <c:v>281.4027611948415</c:v>
              </c:pt>
              <c:pt idx="319">
                <c:v>281.4027611948415</c:v>
              </c:pt>
              <c:pt idx="320">
                <c:v>0</c:v>
              </c:pt>
              <c:pt idx="323">
                <c:v>0</c:v>
              </c:pt>
              <c:pt idx="324">
                <c:v>0</c:v>
              </c:pt>
              <c:pt idx="325">
                <c:v>261.19151315322091</c:v>
              </c:pt>
              <c:pt idx="326">
                <c:v>261.19151315322091</c:v>
              </c:pt>
              <c:pt idx="327">
                <c:v>0</c:v>
              </c:pt>
              <c:pt idx="328">
                <c:v>0</c:v>
              </c:pt>
              <c:pt idx="329">
                <c:v>261.19151315322091</c:v>
              </c:pt>
              <c:pt idx="330">
                <c:v>261.19151315322091</c:v>
              </c:pt>
              <c:pt idx="331">
                <c:v>0</c:v>
              </c:pt>
              <c:pt idx="332">
                <c:v>0</c:v>
              </c:pt>
              <c:pt idx="333">
                <c:v>261.19151315322091</c:v>
              </c:pt>
              <c:pt idx="334">
                <c:v>261.19151315322091</c:v>
              </c:pt>
              <c:pt idx="335">
                <c:v>0</c:v>
              </c:pt>
              <c:pt idx="336">
                <c:v>0</c:v>
              </c:pt>
              <c:pt idx="337">
                <c:v>261.19151315322091</c:v>
              </c:pt>
              <c:pt idx="338">
                <c:v>261.19151315322091</c:v>
              </c:pt>
              <c:pt idx="339">
                <c:v>0</c:v>
              </c:pt>
              <c:pt idx="342">
                <c:v>0</c:v>
              </c:pt>
              <c:pt idx="343">
                <c:v>0</c:v>
              </c:pt>
              <c:pt idx="344">
                <c:v>222.71240630475717</c:v>
              </c:pt>
              <c:pt idx="345">
                <c:v>222.71240630475717</c:v>
              </c:pt>
              <c:pt idx="346">
                <c:v>0</c:v>
              </c:pt>
              <c:pt idx="347">
                <c:v>0</c:v>
              </c:pt>
              <c:pt idx="348">
                <c:v>222.71240630475717</c:v>
              </c:pt>
              <c:pt idx="349">
                <c:v>222.71240630475717</c:v>
              </c:pt>
              <c:pt idx="350">
                <c:v>0</c:v>
              </c:pt>
              <c:pt idx="351">
                <c:v>0</c:v>
              </c:pt>
              <c:pt idx="352">
                <c:v>222.71240630475717</c:v>
              </c:pt>
              <c:pt idx="353">
                <c:v>222.71240630475717</c:v>
              </c:pt>
              <c:pt idx="354">
                <c:v>0</c:v>
              </c:pt>
              <c:pt idx="355">
                <c:v>0</c:v>
              </c:pt>
              <c:pt idx="356">
                <c:v>222.71240630475717</c:v>
              </c:pt>
              <c:pt idx="357">
                <c:v>222.71240630475717</c:v>
              </c:pt>
              <c:pt idx="358">
                <c:v>0</c:v>
              </c:pt>
              <c:pt idx="361">
                <c:v>0</c:v>
              </c:pt>
              <c:pt idx="362">
                <c:v>0</c:v>
              </c:pt>
              <c:pt idx="363">
                <c:v>181.1238766806575</c:v>
              </c:pt>
              <c:pt idx="364">
                <c:v>181.1238766806575</c:v>
              </c:pt>
              <c:pt idx="365">
                <c:v>0</c:v>
              </c:pt>
              <c:pt idx="366">
                <c:v>0</c:v>
              </c:pt>
              <c:pt idx="367">
                <c:v>181.1238766806575</c:v>
              </c:pt>
              <c:pt idx="368">
                <c:v>181.1238766806575</c:v>
              </c:pt>
              <c:pt idx="369">
                <c:v>0</c:v>
              </c:pt>
              <c:pt idx="370">
                <c:v>0</c:v>
              </c:pt>
              <c:pt idx="371">
                <c:v>181.1238766806575</c:v>
              </c:pt>
              <c:pt idx="372">
                <c:v>181.1238766806575</c:v>
              </c:pt>
              <c:pt idx="373">
                <c:v>0</c:v>
              </c:pt>
              <c:pt idx="374">
                <c:v>0</c:v>
              </c:pt>
              <c:pt idx="375">
                <c:v>181.1238766806575</c:v>
              </c:pt>
              <c:pt idx="376">
                <c:v>181.1238766806575</c:v>
              </c:pt>
              <c:pt idx="377">
                <c:v>0</c:v>
              </c:pt>
              <c:pt idx="380">
                <c:v>0</c:v>
              </c:pt>
              <c:pt idx="381">
                <c:v>0</c:v>
              </c:pt>
              <c:pt idx="382">
                <c:v>132.53914581138167</c:v>
              </c:pt>
              <c:pt idx="383">
                <c:v>132.53914581138167</c:v>
              </c:pt>
              <c:pt idx="384">
                <c:v>0</c:v>
              </c:pt>
              <c:pt idx="385">
                <c:v>0</c:v>
              </c:pt>
              <c:pt idx="386">
                <c:v>132.53914581138167</c:v>
              </c:pt>
              <c:pt idx="387">
                <c:v>132.53914581138167</c:v>
              </c:pt>
              <c:pt idx="388">
                <c:v>0</c:v>
              </c:pt>
              <c:pt idx="389">
                <c:v>0</c:v>
              </c:pt>
              <c:pt idx="390">
                <c:v>132.53914581138167</c:v>
              </c:pt>
              <c:pt idx="391">
                <c:v>132.53914581138167</c:v>
              </c:pt>
              <c:pt idx="392">
                <c:v>0</c:v>
              </c:pt>
              <c:pt idx="393">
                <c:v>0</c:v>
              </c:pt>
              <c:pt idx="394">
                <c:v>132.53914581138167</c:v>
              </c:pt>
              <c:pt idx="395">
                <c:v>132.53914581138167</c:v>
              </c:pt>
              <c:pt idx="396">
                <c:v>0</c:v>
              </c:pt>
              <c:pt idx="399">
                <c:v>0</c:v>
              </c:pt>
              <c:pt idx="400">
                <c:v>0</c:v>
              </c:pt>
              <c:pt idx="401">
                <c:v>123.59955533143606</c:v>
              </c:pt>
              <c:pt idx="402">
                <c:v>123.59955533143606</c:v>
              </c:pt>
              <c:pt idx="403">
                <c:v>0</c:v>
              </c:pt>
              <c:pt idx="404">
                <c:v>0</c:v>
              </c:pt>
              <c:pt idx="405">
                <c:v>123.59955533143606</c:v>
              </c:pt>
              <c:pt idx="406">
                <c:v>123.59955533143606</c:v>
              </c:pt>
              <c:pt idx="407">
                <c:v>0</c:v>
              </c:pt>
              <c:pt idx="408">
                <c:v>0</c:v>
              </c:pt>
              <c:pt idx="409">
                <c:v>123.59955533143606</c:v>
              </c:pt>
              <c:pt idx="410">
                <c:v>123.59955533143606</c:v>
              </c:pt>
              <c:pt idx="411">
                <c:v>0</c:v>
              </c:pt>
              <c:pt idx="412">
                <c:v>0</c:v>
              </c:pt>
              <c:pt idx="413">
                <c:v>123.59955533143606</c:v>
              </c:pt>
              <c:pt idx="414">
                <c:v>123.59955533143606</c:v>
              </c:pt>
              <c:pt idx="415">
                <c:v>0</c:v>
              </c:pt>
              <c:pt idx="418">
                <c:v>0</c:v>
              </c:pt>
              <c:pt idx="419">
                <c:v>0</c:v>
              </c:pt>
              <c:pt idx="420">
                <c:v>87.452515564695048</c:v>
              </c:pt>
              <c:pt idx="421">
                <c:v>87.452515564695048</c:v>
              </c:pt>
              <c:pt idx="422">
                <c:v>0</c:v>
              </c:pt>
              <c:pt idx="423">
                <c:v>0</c:v>
              </c:pt>
              <c:pt idx="424">
                <c:v>87.452515564695048</c:v>
              </c:pt>
              <c:pt idx="425">
                <c:v>87.452515564695048</c:v>
              </c:pt>
              <c:pt idx="426">
                <c:v>0</c:v>
              </c:pt>
              <c:pt idx="427">
                <c:v>0</c:v>
              </c:pt>
              <c:pt idx="428">
                <c:v>87.452515564695048</c:v>
              </c:pt>
              <c:pt idx="429">
                <c:v>87.452515564695048</c:v>
              </c:pt>
              <c:pt idx="430">
                <c:v>0</c:v>
              </c:pt>
              <c:pt idx="431">
                <c:v>0</c:v>
              </c:pt>
              <c:pt idx="432">
                <c:v>87.452515564695048</c:v>
              </c:pt>
              <c:pt idx="433">
                <c:v>87.452515564695048</c:v>
              </c:pt>
              <c:pt idx="434">
                <c:v>0</c:v>
              </c:pt>
              <c:pt idx="437">
                <c:v>0</c:v>
              </c:pt>
              <c:pt idx="438">
                <c:v>0</c:v>
              </c:pt>
              <c:pt idx="439">
                <c:v>64.909200441351288</c:v>
              </c:pt>
              <c:pt idx="440">
                <c:v>64.909200441351288</c:v>
              </c:pt>
              <c:pt idx="441">
                <c:v>0</c:v>
              </c:pt>
              <c:pt idx="442">
                <c:v>0</c:v>
              </c:pt>
              <c:pt idx="443">
                <c:v>64.909200441351288</c:v>
              </c:pt>
              <c:pt idx="444">
                <c:v>64.909200441351288</c:v>
              </c:pt>
              <c:pt idx="445">
                <c:v>0</c:v>
              </c:pt>
              <c:pt idx="446">
                <c:v>0</c:v>
              </c:pt>
              <c:pt idx="447">
                <c:v>64.909200441351288</c:v>
              </c:pt>
              <c:pt idx="448">
                <c:v>64.909200441351288</c:v>
              </c:pt>
              <c:pt idx="449">
                <c:v>0</c:v>
              </c:pt>
              <c:pt idx="450">
                <c:v>0</c:v>
              </c:pt>
              <c:pt idx="451">
                <c:v>64.909200441351288</c:v>
              </c:pt>
              <c:pt idx="452">
                <c:v>64.909200441351288</c:v>
              </c:pt>
              <c:pt idx="453">
                <c:v>0</c:v>
              </c:pt>
              <c:pt idx="456">
                <c:v>0</c:v>
              </c:pt>
              <c:pt idx="457">
                <c:v>0</c:v>
              </c:pt>
              <c:pt idx="458">
                <c:v>50.139442257092</c:v>
              </c:pt>
              <c:pt idx="459">
                <c:v>50.139442257092</c:v>
              </c:pt>
              <c:pt idx="460">
                <c:v>0</c:v>
              </c:pt>
              <c:pt idx="461">
                <c:v>0</c:v>
              </c:pt>
              <c:pt idx="462">
                <c:v>50.139442257092</c:v>
              </c:pt>
              <c:pt idx="463">
                <c:v>50.139442257092</c:v>
              </c:pt>
              <c:pt idx="464">
                <c:v>0</c:v>
              </c:pt>
              <c:pt idx="465">
                <c:v>0</c:v>
              </c:pt>
              <c:pt idx="466">
                <c:v>50.139442257092</c:v>
              </c:pt>
              <c:pt idx="467">
                <c:v>50.139442257092</c:v>
              </c:pt>
              <c:pt idx="468">
                <c:v>0</c:v>
              </c:pt>
              <c:pt idx="469">
                <c:v>0</c:v>
              </c:pt>
              <c:pt idx="470">
                <c:v>50.139442257092</c:v>
              </c:pt>
              <c:pt idx="471">
                <c:v>50.139442257092</c:v>
              </c:pt>
              <c:pt idx="472">
                <c:v>0</c:v>
              </c:pt>
              <c:pt idx="475">
                <c:v>0</c:v>
              </c:pt>
              <c:pt idx="476">
                <c:v>0</c:v>
              </c:pt>
              <c:pt idx="477">
                <c:v>30.316872062427347</c:v>
              </c:pt>
              <c:pt idx="478">
                <c:v>30.316872062427347</c:v>
              </c:pt>
              <c:pt idx="479">
                <c:v>0</c:v>
              </c:pt>
              <c:pt idx="480">
                <c:v>0</c:v>
              </c:pt>
              <c:pt idx="481">
                <c:v>30.316872062427347</c:v>
              </c:pt>
              <c:pt idx="482">
                <c:v>30.316872062427347</c:v>
              </c:pt>
              <c:pt idx="483">
                <c:v>0</c:v>
              </c:pt>
              <c:pt idx="484">
                <c:v>0</c:v>
              </c:pt>
              <c:pt idx="485">
                <c:v>30.316872062427347</c:v>
              </c:pt>
              <c:pt idx="486">
                <c:v>30.316872062427347</c:v>
              </c:pt>
              <c:pt idx="487">
                <c:v>0</c:v>
              </c:pt>
              <c:pt idx="488">
                <c:v>0</c:v>
              </c:pt>
              <c:pt idx="489">
                <c:v>30.316872062427347</c:v>
              </c:pt>
              <c:pt idx="490">
                <c:v>30.316872062427347</c:v>
              </c:pt>
              <c:pt idx="491">
                <c:v>0</c:v>
              </c:pt>
              <c:pt idx="494">
                <c:v>0</c:v>
              </c:pt>
              <c:pt idx="495">
                <c:v>0</c:v>
              </c:pt>
              <c:pt idx="496">
                <c:v>19.433892347709929</c:v>
              </c:pt>
              <c:pt idx="497">
                <c:v>19.433892347709929</c:v>
              </c:pt>
              <c:pt idx="498">
                <c:v>0</c:v>
              </c:pt>
              <c:pt idx="499">
                <c:v>0</c:v>
              </c:pt>
              <c:pt idx="500">
                <c:v>19.433892347709929</c:v>
              </c:pt>
              <c:pt idx="501">
                <c:v>19.433892347709929</c:v>
              </c:pt>
              <c:pt idx="502">
                <c:v>0</c:v>
              </c:pt>
              <c:pt idx="503">
                <c:v>0</c:v>
              </c:pt>
              <c:pt idx="504">
                <c:v>19.433892347709929</c:v>
              </c:pt>
              <c:pt idx="505">
                <c:v>19.433892347709929</c:v>
              </c:pt>
              <c:pt idx="506">
                <c:v>0</c:v>
              </c:pt>
              <c:pt idx="507">
                <c:v>0</c:v>
              </c:pt>
              <c:pt idx="508">
                <c:v>19.433892347709929</c:v>
              </c:pt>
              <c:pt idx="509">
                <c:v>19.433892347709929</c:v>
              </c:pt>
              <c:pt idx="510">
                <c:v>0</c:v>
              </c:pt>
              <c:pt idx="513">
                <c:v>0</c:v>
              </c:pt>
              <c:pt idx="514">
                <c:v>0</c:v>
              </c:pt>
              <c:pt idx="515">
                <c:v>22.154637276389597</c:v>
              </c:pt>
              <c:pt idx="516">
                <c:v>22.154637276389597</c:v>
              </c:pt>
              <c:pt idx="517">
                <c:v>0</c:v>
              </c:pt>
              <c:pt idx="518">
                <c:v>0</c:v>
              </c:pt>
              <c:pt idx="519">
                <c:v>22.154637276389597</c:v>
              </c:pt>
              <c:pt idx="520">
                <c:v>22.154637276389597</c:v>
              </c:pt>
              <c:pt idx="521">
                <c:v>0</c:v>
              </c:pt>
              <c:pt idx="522">
                <c:v>0</c:v>
              </c:pt>
              <c:pt idx="523">
                <c:v>22.154637276389597</c:v>
              </c:pt>
              <c:pt idx="524">
                <c:v>22.154637276389597</c:v>
              </c:pt>
              <c:pt idx="525">
                <c:v>0</c:v>
              </c:pt>
              <c:pt idx="526">
                <c:v>0</c:v>
              </c:pt>
              <c:pt idx="527">
                <c:v>22.154637276389597</c:v>
              </c:pt>
              <c:pt idx="528">
                <c:v>22.154637276389597</c:v>
              </c:pt>
              <c:pt idx="529">
                <c:v>0</c:v>
              </c:pt>
              <c:pt idx="532">
                <c:v>0</c:v>
              </c:pt>
              <c:pt idx="533">
                <c:v>0</c:v>
              </c:pt>
              <c:pt idx="534">
                <c:v>13.215046796442667</c:v>
              </c:pt>
              <c:pt idx="535">
                <c:v>13.215046796442667</c:v>
              </c:pt>
              <c:pt idx="536">
                <c:v>0</c:v>
              </c:pt>
              <c:pt idx="537">
                <c:v>0</c:v>
              </c:pt>
              <c:pt idx="538">
                <c:v>13.215046796442667</c:v>
              </c:pt>
              <c:pt idx="539">
                <c:v>13.215046796442667</c:v>
              </c:pt>
              <c:pt idx="540">
                <c:v>0</c:v>
              </c:pt>
              <c:pt idx="541">
                <c:v>0</c:v>
              </c:pt>
              <c:pt idx="542">
                <c:v>13.215046796442667</c:v>
              </c:pt>
              <c:pt idx="543">
                <c:v>13.215046796442667</c:v>
              </c:pt>
              <c:pt idx="544">
                <c:v>0</c:v>
              </c:pt>
              <c:pt idx="545">
                <c:v>0</c:v>
              </c:pt>
              <c:pt idx="546">
                <c:v>13.215046796442667</c:v>
              </c:pt>
              <c:pt idx="547">
                <c:v>13.215046796442667</c:v>
              </c:pt>
              <c:pt idx="548">
                <c:v>0</c:v>
              </c:pt>
              <c:pt idx="551">
                <c:v>0</c:v>
              </c:pt>
              <c:pt idx="552">
                <c:v>0</c:v>
              </c:pt>
              <c:pt idx="553">
                <c:v>5.0528120104048835</c:v>
              </c:pt>
              <c:pt idx="554">
                <c:v>5.0528120104048835</c:v>
              </c:pt>
              <c:pt idx="555">
                <c:v>0</c:v>
              </c:pt>
              <c:pt idx="556">
                <c:v>0</c:v>
              </c:pt>
              <c:pt idx="557">
                <c:v>5.0528120104048835</c:v>
              </c:pt>
              <c:pt idx="558">
                <c:v>5.0528120104048835</c:v>
              </c:pt>
              <c:pt idx="559">
                <c:v>0</c:v>
              </c:pt>
              <c:pt idx="560">
                <c:v>0</c:v>
              </c:pt>
              <c:pt idx="561">
                <c:v>5.0528120104048835</c:v>
              </c:pt>
              <c:pt idx="562">
                <c:v>5.0528120104048835</c:v>
              </c:pt>
              <c:pt idx="563">
                <c:v>0</c:v>
              </c:pt>
              <c:pt idx="564">
                <c:v>0</c:v>
              </c:pt>
              <c:pt idx="565">
                <c:v>5.0528120104048835</c:v>
              </c:pt>
              <c:pt idx="566">
                <c:v>5.0528120104048835</c:v>
              </c:pt>
              <c:pt idx="567">
                <c:v>0</c:v>
              </c:pt>
              <c:pt idx="570">
                <c:v>0</c:v>
              </c:pt>
              <c:pt idx="571">
                <c:v>0</c:v>
              </c:pt>
              <c:pt idx="572">
                <c:v>3.1094227756332642</c:v>
              </c:pt>
              <c:pt idx="573">
                <c:v>3.1094227756332642</c:v>
              </c:pt>
              <c:pt idx="574">
                <c:v>0</c:v>
              </c:pt>
              <c:pt idx="575">
                <c:v>0</c:v>
              </c:pt>
              <c:pt idx="576">
                <c:v>3.1094227756332642</c:v>
              </c:pt>
              <c:pt idx="577">
                <c:v>3.1094227756332642</c:v>
              </c:pt>
              <c:pt idx="578">
                <c:v>0</c:v>
              </c:pt>
              <c:pt idx="579">
                <c:v>0</c:v>
              </c:pt>
              <c:pt idx="580">
                <c:v>3.1094227756332642</c:v>
              </c:pt>
              <c:pt idx="581">
                <c:v>3.1094227756332642</c:v>
              </c:pt>
              <c:pt idx="582">
                <c:v>0</c:v>
              </c:pt>
              <c:pt idx="583">
                <c:v>0</c:v>
              </c:pt>
              <c:pt idx="584">
                <c:v>3.1094227756332642</c:v>
              </c:pt>
              <c:pt idx="585">
                <c:v>3.1094227756332642</c:v>
              </c:pt>
              <c:pt idx="586">
                <c:v>0</c:v>
              </c:pt>
              <c:pt idx="589">
                <c:v>0</c:v>
              </c:pt>
              <c:pt idx="590">
                <c:v>0</c:v>
              </c:pt>
              <c:pt idx="591">
                <c:v>3.8867784695419858</c:v>
              </c:pt>
              <c:pt idx="592">
                <c:v>3.8867784695419858</c:v>
              </c:pt>
              <c:pt idx="593">
                <c:v>0</c:v>
              </c:pt>
              <c:pt idx="594">
                <c:v>0</c:v>
              </c:pt>
              <c:pt idx="595">
                <c:v>3.8867784695419858</c:v>
              </c:pt>
              <c:pt idx="596">
                <c:v>3.8867784695419858</c:v>
              </c:pt>
              <c:pt idx="597">
                <c:v>0</c:v>
              </c:pt>
              <c:pt idx="598">
                <c:v>0</c:v>
              </c:pt>
              <c:pt idx="599">
                <c:v>3.8867784695419858</c:v>
              </c:pt>
              <c:pt idx="600">
                <c:v>3.8867784695419858</c:v>
              </c:pt>
              <c:pt idx="601">
                <c:v>0</c:v>
              </c:pt>
              <c:pt idx="602">
                <c:v>0</c:v>
              </c:pt>
              <c:pt idx="603">
                <c:v>3.8867784695419858</c:v>
              </c:pt>
              <c:pt idx="604">
                <c:v>3.8867784695419858</c:v>
              </c:pt>
              <c:pt idx="605">
                <c:v>0</c:v>
              </c:pt>
              <c:pt idx="608">
                <c:v>0</c:v>
              </c:pt>
              <c:pt idx="609">
                <c:v>0</c:v>
              </c:pt>
              <c:pt idx="610">
                <c:v>3.4981006225878541</c:v>
              </c:pt>
              <c:pt idx="611">
                <c:v>3.4981006225878541</c:v>
              </c:pt>
              <c:pt idx="612">
                <c:v>0</c:v>
              </c:pt>
              <c:pt idx="613">
                <c:v>0</c:v>
              </c:pt>
              <c:pt idx="614">
                <c:v>3.4981006225878541</c:v>
              </c:pt>
              <c:pt idx="615">
                <c:v>3.4981006225878541</c:v>
              </c:pt>
              <c:pt idx="616">
                <c:v>0</c:v>
              </c:pt>
              <c:pt idx="617">
                <c:v>0</c:v>
              </c:pt>
              <c:pt idx="618">
                <c:v>3.4981006225878541</c:v>
              </c:pt>
              <c:pt idx="619">
                <c:v>3.4981006225878541</c:v>
              </c:pt>
              <c:pt idx="620">
                <c:v>0</c:v>
              </c:pt>
              <c:pt idx="621">
                <c:v>0</c:v>
              </c:pt>
              <c:pt idx="622">
                <c:v>3.4981006225878541</c:v>
              </c:pt>
              <c:pt idx="623">
                <c:v>3.4981006225878541</c:v>
              </c:pt>
              <c:pt idx="624">
                <c:v>0</c:v>
              </c:pt>
              <c:pt idx="627">
                <c:v>0</c:v>
              </c:pt>
              <c:pt idx="628">
                <c:v>0</c:v>
              </c:pt>
              <c:pt idx="629">
                <c:v>1.5547113878170638</c:v>
              </c:pt>
              <c:pt idx="630">
                <c:v>1.5547113878170638</c:v>
              </c:pt>
              <c:pt idx="631">
                <c:v>0</c:v>
              </c:pt>
              <c:pt idx="632">
                <c:v>0</c:v>
              </c:pt>
              <c:pt idx="633">
                <c:v>1.5547113878170638</c:v>
              </c:pt>
              <c:pt idx="634">
                <c:v>1.5547113878170638</c:v>
              </c:pt>
              <c:pt idx="635">
                <c:v>0</c:v>
              </c:pt>
              <c:pt idx="636">
                <c:v>0</c:v>
              </c:pt>
              <c:pt idx="637">
                <c:v>1.5547113878170638</c:v>
              </c:pt>
              <c:pt idx="638">
                <c:v>1.5547113878170638</c:v>
              </c:pt>
              <c:pt idx="639">
                <c:v>0</c:v>
              </c:pt>
              <c:pt idx="640">
                <c:v>0</c:v>
              </c:pt>
              <c:pt idx="641">
                <c:v>1.5547113878170638</c:v>
              </c:pt>
              <c:pt idx="642">
                <c:v>1.5547113878170638</c:v>
              </c:pt>
              <c:pt idx="643">
                <c:v>0</c:v>
              </c:pt>
              <c:pt idx="646">
                <c:v>0</c:v>
              </c:pt>
              <c:pt idx="647">
                <c:v>0</c:v>
              </c:pt>
              <c:pt idx="648">
                <c:v>0.38867784695415541</c:v>
              </c:pt>
              <c:pt idx="649">
                <c:v>0.38867784695415541</c:v>
              </c:pt>
              <c:pt idx="650">
                <c:v>0</c:v>
              </c:pt>
              <c:pt idx="651">
                <c:v>0</c:v>
              </c:pt>
              <c:pt idx="652">
                <c:v>0.38867784695415541</c:v>
              </c:pt>
              <c:pt idx="653">
                <c:v>0.38867784695415541</c:v>
              </c:pt>
              <c:pt idx="654">
                <c:v>0</c:v>
              </c:pt>
              <c:pt idx="655">
                <c:v>0</c:v>
              </c:pt>
              <c:pt idx="656">
                <c:v>0.38867784695415541</c:v>
              </c:pt>
              <c:pt idx="657">
                <c:v>0.38867784695415541</c:v>
              </c:pt>
              <c:pt idx="658">
                <c:v>0</c:v>
              </c:pt>
              <c:pt idx="659">
                <c:v>0</c:v>
              </c:pt>
              <c:pt idx="660">
                <c:v>0.38867784695415541</c:v>
              </c:pt>
              <c:pt idx="661">
                <c:v>0.38867784695415541</c:v>
              </c:pt>
              <c:pt idx="662">
                <c:v>0</c:v>
              </c:pt>
              <c:pt idx="665">
                <c:v>0</c:v>
              </c:pt>
              <c:pt idx="666">
                <c:v>0</c:v>
              </c:pt>
              <c:pt idx="667">
                <c:v>0.77735569390831605</c:v>
              </c:pt>
              <c:pt idx="668">
                <c:v>0.77735569390831605</c:v>
              </c:pt>
              <c:pt idx="669">
                <c:v>0</c:v>
              </c:pt>
              <c:pt idx="670">
                <c:v>0</c:v>
              </c:pt>
              <c:pt idx="671">
                <c:v>0.77735569390831605</c:v>
              </c:pt>
              <c:pt idx="672">
                <c:v>0.77735569390831605</c:v>
              </c:pt>
              <c:pt idx="673">
                <c:v>0</c:v>
              </c:pt>
              <c:pt idx="674">
                <c:v>0</c:v>
              </c:pt>
              <c:pt idx="675">
                <c:v>0.77735569390831605</c:v>
              </c:pt>
              <c:pt idx="676">
                <c:v>0.77735569390831605</c:v>
              </c:pt>
              <c:pt idx="677">
                <c:v>0</c:v>
              </c:pt>
              <c:pt idx="678">
                <c:v>0</c:v>
              </c:pt>
              <c:pt idx="679">
                <c:v>0.77735569390831605</c:v>
              </c:pt>
              <c:pt idx="680">
                <c:v>0.77735569390831605</c:v>
              </c:pt>
              <c:pt idx="681">
                <c:v>0</c:v>
              </c:pt>
              <c:pt idx="684">
                <c:v>0</c:v>
              </c:pt>
              <c:pt idx="685">
                <c:v>0</c:v>
              </c:pt>
              <c:pt idx="686">
                <c:v>0</c:v>
              </c:pt>
              <c:pt idx="687">
                <c:v>0</c:v>
              </c:pt>
              <c:pt idx="688">
                <c:v>0</c:v>
              </c:pt>
              <c:pt idx="689">
                <c:v>0</c:v>
              </c:pt>
              <c:pt idx="690">
                <c:v>0</c:v>
              </c:pt>
              <c:pt idx="691">
                <c:v>0</c:v>
              </c:pt>
              <c:pt idx="692">
                <c:v>0</c:v>
              </c:pt>
              <c:pt idx="693">
                <c:v>0</c:v>
              </c:pt>
              <c:pt idx="694">
                <c:v>0</c:v>
              </c:pt>
              <c:pt idx="695">
                <c:v>0</c:v>
              </c:pt>
              <c:pt idx="696">
                <c:v>0</c:v>
              </c:pt>
              <c:pt idx="697">
                <c:v>0</c:v>
              </c:pt>
              <c:pt idx="698">
                <c:v>0</c:v>
              </c:pt>
              <c:pt idx="699">
                <c:v>0</c:v>
              </c:pt>
              <c:pt idx="700">
                <c:v>0</c:v>
              </c:pt>
              <c:pt idx="703">
                <c:v>0</c:v>
              </c:pt>
              <c:pt idx="704">
                <c:v>0</c:v>
              </c:pt>
              <c:pt idx="705">
                <c:v>0</c:v>
              </c:pt>
              <c:pt idx="706">
                <c:v>0</c:v>
              </c:pt>
              <c:pt idx="707">
                <c:v>0</c:v>
              </c:pt>
              <c:pt idx="708">
                <c:v>0</c:v>
              </c:pt>
              <c:pt idx="709">
                <c:v>0</c:v>
              </c:pt>
              <c:pt idx="710">
                <c:v>0</c:v>
              </c:pt>
              <c:pt idx="711">
                <c:v>0</c:v>
              </c:pt>
              <c:pt idx="712">
                <c:v>0</c:v>
              </c:pt>
              <c:pt idx="713">
                <c:v>0</c:v>
              </c:pt>
              <c:pt idx="714">
                <c:v>0</c:v>
              </c:pt>
              <c:pt idx="715">
                <c:v>0</c:v>
              </c:pt>
              <c:pt idx="716">
                <c:v>0</c:v>
              </c:pt>
              <c:pt idx="717">
                <c:v>0</c:v>
              </c:pt>
              <c:pt idx="718">
                <c:v>0</c:v>
              </c:pt>
              <c:pt idx="719">
                <c:v>0</c:v>
              </c:pt>
              <c:pt idx="722">
                <c:v>0</c:v>
              </c:pt>
              <c:pt idx="723">
                <c:v>0</c:v>
              </c:pt>
              <c:pt idx="724">
                <c:v>0</c:v>
              </c:pt>
              <c:pt idx="725">
                <c:v>0</c:v>
              </c:pt>
              <c:pt idx="726">
                <c:v>0</c:v>
              </c:pt>
              <c:pt idx="727">
                <c:v>0</c:v>
              </c:pt>
              <c:pt idx="728">
                <c:v>0</c:v>
              </c:pt>
              <c:pt idx="729">
                <c:v>0</c:v>
              </c:pt>
              <c:pt idx="730">
                <c:v>0</c:v>
              </c:pt>
              <c:pt idx="731">
                <c:v>0</c:v>
              </c:pt>
              <c:pt idx="732">
                <c:v>0</c:v>
              </c:pt>
              <c:pt idx="733">
                <c:v>0</c:v>
              </c:pt>
              <c:pt idx="734">
                <c:v>0</c:v>
              </c:pt>
              <c:pt idx="735">
                <c:v>0</c:v>
              </c:pt>
              <c:pt idx="736">
                <c:v>0</c:v>
              </c:pt>
              <c:pt idx="737">
                <c:v>0</c:v>
              </c:pt>
              <c:pt idx="738">
                <c:v>0</c:v>
              </c:pt>
              <c:pt idx="741">
                <c:v>0</c:v>
              </c:pt>
              <c:pt idx="742">
                <c:v>0</c:v>
              </c:pt>
              <c:pt idx="743">
                <c:v>0.38867784695415802</c:v>
              </c:pt>
              <c:pt idx="744">
                <c:v>0.38867784695415802</c:v>
              </c:pt>
              <c:pt idx="745">
                <c:v>0</c:v>
              </c:pt>
              <c:pt idx="746">
                <c:v>0</c:v>
              </c:pt>
              <c:pt idx="747">
                <c:v>0.38867784695415802</c:v>
              </c:pt>
              <c:pt idx="748">
                <c:v>0.38867784695415802</c:v>
              </c:pt>
              <c:pt idx="749">
                <c:v>0</c:v>
              </c:pt>
              <c:pt idx="750">
                <c:v>0</c:v>
              </c:pt>
              <c:pt idx="751">
                <c:v>0.38867784695415802</c:v>
              </c:pt>
              <c:pt idx="752">
                <c:v>0.38867784695415802</c:v>
              </c:pt>
              <c:pt idx="753">
                <c:v>0</c:v>
              </c:pt>
              <c:pt idx="754">
                <c:v>0</c:v>
              </c:pt>
              <c:pt idx="755">
                <c:v>0.38867784695415802</c:v>
              </c:pt>
              <c:pt idx="756">
                <c:v>0.38867784695415802</c:v>
              </c:pt>
              <c:pt idx="757">
                <c:v>0</c:v>
              </c:pt>
            </c:numLit>
          </c:yVal>
          <c:smooth val="0"/>
          <c:extLst>
            <c:ext xmlns:c16="http://schemas.microsoft.com/office/drawing/2014/chart" uri="{C3380CC4-5D6E-409C-BE32-E72D297353CC}">
              <c16:uniqueId val="{00000000-BA2B-4C53-9D55-82F034AF3333}"/>
            </c:ext>
          </c:extLst>
        </c:ser>
        <c:ser>
          <c:idx val="1"/>
          <c:order val="1"/>
          <c:tx>
            <c:v>Outline</c:v>
          </c:tx>
          <c:spPr>
            <a:ln w="38100" cap="rnd" cmpd="sng" algn="ctr">
              <a:solidFill>
                <a:srgbClr val="000000">
                  <a:alpha val="20000"/>
                </a:srgbClr>
              </a:solidFill>
              <a:prstDash val="solid"/>
              <a:round/>
              <a:headEnd type="none" w="med" len="med"/>
              <a:tailEnd type="none" w="med" len="med"/>
            </a:ln>
          </c:spPr>
          <c:marker>
            <c:symbol val="none"/>
          </c:marker>
          <c:xVal>
            <c:numLit>
              <c:formatCode>General</c:formatCode>
              <c:ptCount val="125"/>
              <c:pt idx="0">
                <c:v>6.2976445370354671E-3</c:v>
              </c:pt>
              <c:pt idx="1">
                <c:v>6.2976445370354671E-3</c:v>
              </c:pt>
              <c:pt idx="2">
                <c:v>6.2976445370354671E-3</c:v>
              </c:pt>
              <c:pt idx="3">
                <c:v>6.5549270160438055E-3</c:v>
              </c:pt>
              <c:pt idx="4">
                <c:v>6.5549270160438055E-3</c:v>
              </c:pt>
              <c:pt idx="5">
                <c:v>6.5549270160438055E-3</c:v>
              </c:pt>
              <c:pt idx="6">
                <c:v>6.812209495052143E-3</c:v>
              </c:pt>
              <c:pt idx="7">
                <c:v>6.812209495052143E-3</c:v>
              </c:pt>
              <c:pt idx="8">
                <c:v>6.812209495052143E-3</c:v>
              </c:pt>
              <c:pt idx="9">
                <c:v>7.0694919740604814E-3</c:v>
              </c:pt>
              <c:pt idx="10">
                <c:v>7.0694919740604814E-3</c:v>
              </c:pt>
              <c:pt idx="11">
                <c:v>7.0694919740604814E-3</c:v>
              </c:pt>
              <c:pt idx="12">
                <c:v>7.3267744530688197E-3</c:v>
              </c:pt>
              <c:pt idx="13">
                <c:v>7.3267744530688197E-3</c:v>
              </c:pt>
              <c:pt idx="14">
                <c:v>7.3267744530688197E-3</c:v>
              </c:pt>
              <c:pt idx="15">
                <c:v>7.5840569320771573E-3</c:v>
              </c:pt>
              <c:pt idx="16">
                <c:v>7.5840569320771573E-3</c:v>
              </c:pt>
              <c:pt idx="17">
                <c:v>7.5840569320771573E-3</c:v>
              </c:pt>
              <c:pt idx="18">
                <c:v>7.8413394110854965E-3</c:v>
              </c:pt>
              <c:pt idx="19">
                <c:v>7.8413394110854965E-3</c:v>
              </c:pt>
              <c:pt idx="20">
                <c:v>7.8413394110854965E-3</c:v>
              </c:pt>
              <c:pt idx="21">
                <c:v>8.098621890093834E-3</c:v>
              </c:pt>
              <c:pt idx="22">
                <c:v>8.098621890093834E-3</c:v>
              </c:pt>
              <c:pt idx="23">
                <c:v>8.098621890093834E-3</c:v>
              </c:pt>
              <c:pt idx="24">
                <c:v>8.3559043691021715E-3</c:v>
              </c:pt>
              <c:pt idx="25">
                <c:v>8.3559043691021715E-3</c:v>
              </c:pt>
              <c:pt idx="26">
                <c:v>8.3559043691021715E-3</c:v>
              </c:pt>
              <c:pt idx="27">
                <c:v>8.6131868481105107E-3</c:v>
              </c:pt>
              <c:pt idx="28">
                <c:v>8.6131868481105107E-3</c:v>
              </c:pt>
              <c:pt idx="29">
                <c:v>8.6131868481105107E-3</c:v>
              </c:pt>
              <c:pt idx="30">
                <c:v>8.8704693271188483E-3</c:v>
              </c:pt>
              <c:pt idx="31">
                <c:v>8.8704693271188483E-3</c:v>
              </c:pt>
              <c:pt idx="32">
                <c:v>8.8704693271188483E-3</c:v>
              </c:pt>
              <c:pt idx="33">
                <c:v>9.1277518061271858E-3</c:v>
              </c:pt>
              <c:pt idx="34">
                <c:v>9.1277518061271858E-3</c:v>
              </c:pt>
              <c:pt idx="35">
                <c:v>9.1277518061271858E-3</c:v>
              </c:pt>
              <c:pt idx="36">
                <c:v>9.385034285135525E-3</c:v>
              </c:pt>
              <c:pt idx="37">
                <c:v>9.385034285135525E-3</c:v>
              </c:pt>
              <c:pt idx="38">
                <c:v>9.385034285135525E-3</c:v>
              </c:pt>
              <c:pt idx="39">
                <c:v>9.6423167641438625E-3</c:v>
              </c:pt>
              <c:pt idx="40">
                <c:v>9.6423167641438625E-3</c:v>
              </c:pt>
              <c:pt idx="41">
                <c:v>9.6423167641438625E-3</c:v>
              </c:pt>
              <c:pt idx="42">
                <c:v>9.8995992431522E-3</c:v>
              </c:pt>
              <c:pt idx="43">
                <c:v>9.8995992431522E-3</c:v>
              </c:pt>
              <c:pt idx="44">
                <c:v>9.8995992431522E-3</c:v>
              </c:pt>
              <c:pt idx="45">
                <c:v>1.0156881722160539E-2</c:v>
              </c:pt>
              <c:pt idx="46">
                <c:v>1.0156881722160539E-2</c:v>
              </c:pt>
              <c:pt idx="47">
                <c:v>1.0156881722160539E-2</c:v>
              </c:pt>
              <c:pt idx="48">
                <c:v>1.0414164201168877E-2</c:v>
              </c:pt>
              <c:pt idx="49">
                <c:v>1.0414164201168877E-2</c:v>
              </c:pt>
              <c:pt idx="50">
                <c:v>1.0414164201168877E-2</c:v>
              </c:pt>
              <c:pt idx="51">
                <c:v>1.0671446680177214E-2</c:v>
              </c:pt>
              <c:pt idx="52">
                <c:v>1.0671446680177214E-2</c:v>
              </c:pt>
              <c:pt idx="53">
                <c:v>1.0671446680177214E-2</c:v>
              </c:pt>
              <c:pt idx="54">
                <c:v>1.0928729159185554E-2</c:v>
              </c:pt>
              <c:pt idx="55">
                <c:v>1.0928729159185554E-2</c:v>
              </c:pt>
              <c:pt idx="56">
                <c:v>1.0928729159185554E-2</c:v>
              </c:pt>
              <c:pt idx="57">
                <c:v>1.1186011638193891E-2</c:v>
              </c:pt>
              <c:pt idx="58">
                <c:v>1.1186011638193891E-2</c:v>
              </c:pt>
              <c:pt idx="59">
                <c:v>1.1186011638193891E-2</c:v>
              </c:pt>
              <c:pt idx="60">
                <c:v>1.1443294117202229E-2</c:v>
              </c:pt>
              <c:pt idx="61">
                <c:v>1.1443294117202229E-2</c:v>
              </c:pt>
              <c:pt idx="62">
                <c:v>1.1443294117202229E-2</c:v>
              </c:pt>
              <c:pt idx="63">
                <c:v>1.1700576596210568E-2</c:v>
              </c:pt>
              <c:pt idx="64">
                <c:v>1.1700576596210568E-2</c:v>
              </c:pt>
              <c:pt idx="65">
                <c:v>1.1700576596210568E-2</c:v>
              </c:pt>
              <c:pt idx="66">
                <c:v>1.1957859075218905E-2</c:v>
              </c:pt>
              <c:pt idx="67">
                <c:v>1.1957859075218905E-2</c:v>
              </c:pt>
              <c:pt idx="68">
                <c:v>1.1957859075218905E-2</c:v>
              </c:pt>
              <c:pt idx="69">
                <c:v>1.2215141554227243E-2</c:v>
              </c:pt>
              <c:pt idx="70">
                <c:v>1.2215141554227243E-2</c:v>
              </c:pt>
              <c:pt idx="71">
                <c:v>1.2215141554227243E-2</c:v>
              </c:pt>
              <c:pt idx="72">
                <c:v>1.2472424033235582E-2</c:v>
              </c:pt>
              <c:pt idx="73">
                <c:v>1.2472424033235582E-2</c:v>
              </c:pt>
              <c:pt idx="74">
                <c:v>1.2472424033235582E-2</c:v>
              </c:pt>
              <c:pt idx="75">
                <c:v>1.272970651224392E-2</c:v>
              </c:pt>
              <c:pt idx="76">
                <c:v>1.272970651224392E-2</c:v>
              </c:pt>
              <c:pt idx="77">
                <c:v>1.272970651224392E-2</c:v>
              </c:pt>
              <c:pt idx="78">
                <c:v>1.2986988991252257E-2</c:v>
              </c:pt>
              <c:pt idx="79">
                <c:v>1.2986988991252257E-2</c:v>
              </c:pt>
              <c:pt idx="80">
                <c:v>1.2986988991252257E-2</c:v>
              </c:pt>
              <c:pt idx="81">
                <c:v>1.3244271470260596E-2</c:v>
              </c:pt>
              <c:pt idx="82">
                <c:v>1.3244271470260596E-2</c:v>
              </c:pt>
              <c:pt idx="83">
                <c:v>1.3244271470260596E-2</c:v>
              </c:pt>
              <c:pt idx="84">
                <c:v>1.3501553949268934E-2</c:v>
              </c:pt>
              <c:pt idx="85">
                <c:v>1.3501553949268934E-2</c:v>
              </c:pt>
              <c:pt idx="86">
                <c:v>1.3501553949268934E-2</c:v>
              </c:pt>
              <c:pt idx="87">
                <c:v>1.3758836428277271E-2</c:v>
              </c:pt>
              <c:pt idx="88">
                <c:v>1.3758836428277271E-2</c:v>
              </c:pt>
              <c:pt idx="89">
                <c:v>1.3758836428277271E-2</c:v>
              </c:pt>
              <c:pt idx="90">
                <c:v>1.4016118907285611E-2</c:v>
              </c:pt>
              <c:pt idx="91">
                <c:v>1.4016118907285611E-2</c:v>
              </c:pt>
              <c:pt idx="92">
                <c:v>1.4016118907285611E-2</c:v>
              </c:pt>
              <c:pt idx="93">
                <c:v>1.4273401386293948E-2</c:v>
              </c:pt>
              <c:pt idx="94">
                <c:v>1.4273401386293948E-2</c:v>
              </c:pt>
              <c:pt idx="95">
                <c:v>1.4273401386293948E-2</c:v>
              </c:pt>
              <c:pt idx="96">
                <c:v>1.4530683865302287E-2</c:v>
              </c:pt>
              <c:pt idx="97">
                <c:v>1.4530683865302287E-2</c:v>
              </c:pt>
              <c:pt idx="98">
                <c:v>1.4530683865302287E-2</c:v>
              </c:pt>
              <c:pt idx="99">
                <c:v>1.4787966344310625E-2</c:v>
              </c:pt>
              <c:pt idx="100">
                <c:v>1.4787966344310625E-2</c:v>
              </c:pt>
              <c:pt idx="101">
                <c:v>1.4787966344310625E-2</c:v>
              </c:pt>
              <c:pt idx="102">
                <c:v>1.5045248823318962E-2</c:v>
              </c:pt>
              <c:pt idx="103">
                <c:v>1.5045248823318962E-2</c:v>
              </c:pt>
              <c:pt idx="104">
                <c:v>1.5045248823318962E-2</c:v>
              </c:pt>
              <c:pt idx="105">
                <c:v>1.5302531302327302E-2</c:v>
              </c:pt>
              <c:pt idx="106">
                <c:v>1.5302531302327302E-2</c:v>
              </c:pt>
              <c:pt idx="107">
                <c:v>1.5302531302327302E-2</c:v>
              </c:pt>
              <c:pt idx="108">
                <c:v>1.5559813781335639E-2</c:v>
              </c:pt>
              <c:pt idx="109">
                <c:v>1.5559813781335639E-2</c:v>
              </c:pt>
              <c:pt idx="110">
                <c:v>1.5559813781335639E-2</c:v>
              </c:pt>
              <c:pt idx="111">
                <c:v>1.5817096260343978E-2</c:v>
              </c:pt>
              <c:pt idx="112">
                <c:v>1.5817096260343978E-2</c:v>
              </c:pt>
              <c:pt idx="113">
                <c:v>1.5817096260343978E-2</c:v>
              </c:pt>
              <c:pt idx="114">
                <c:v>1.6074378739352316E-2</c:v>
              </c:pt>
              <c:pt idx="115">
                <c:v>1.6074378739352316E-2</c:v>
              </c:pt>
              <c:pt idx="116">
                <c:v>1.6074378739352316E-2</c:v>
              </c:pt>
              <c:pt idx="117">
                <c:v>1.6331661218360653E-2</c:v>
              </c:pt>
              <c:pt idx="118">
                <c:v>1.6331661218360653E-2</c:v>
              </c:pt>
              <c:pt idx="119">
                <c:v>1.6331661218360653E-2</c:v>
              </c:pt>
              <c:pt idx="120">
                <c:v>1.6588943697368991E-2</c:v>
              </c:pt>
              <c:pt idx="121">
                <c:v>1.6588943697368991E-2</c:v>
              </c:pt>
              <c:pt idx="122">
                <c:v>1.6588943697368991E-2</c:v>
              </c:pt>
            </c:numLit>
          </c:xVal>
          <c:yVal>
            <c:numLit>
              <c:formatCode>General</c:formatCode>
              <c:ptCount val="125"/>
              <c:pt idx="0">
                <c:v>0</c:v>
              </c:pt>
              <c:pt idx="1">
                <c:v>0</c:v>
              </c:pt>
              <c:pt idx="2">
                <c:v>1.5547113878167982</c:v>
              </c:pt>
              <c:pt idx="3">
                <c:v>1.5547113878167982</c:v>
              </c:pt>
              <c:pt idx="4">
                <c:v>0</c:v>
              </c:pt>
              <c:pt idx="5">
                <c:v>1.9433892347710042</c:v>
              </c:pt>
              <c:pt idx="6">
                <c:v>1.9433892347710042</c:v>
              </c:pt>
              <c:pt idx="7">
                <c:v>0</c:v>
              </c:pt>
              <c:pt idx="8">
                <c:v>3.8867784695419956</c:v>
              </c:pt>
              <c:pt idx="9">
                <c:v>3.8867784695419956</c:v>
              </c:pt>
              <c:pt idx="10">
                <c:v>0</c:v>
              </c:pt>
              <c:pt idx="11">
                <c:v>10.105624020809188</c:v>
              </c:pt>
              <c:pt idx="12">
                <c:v>10.105624020809188</c:v>
              </c:pt>
              <c:pt idx="13">
                <c:v>0</c:v>
              </c:pt>
              <c:pt idx="14">
                <c:v>24.486704358114658</c:v>
              </c:pt>
              <c:pt idx="15">
                <c:v>24.486704358114658</c:v>
              </c:pt>
              <c:pt idx="16">
                <c:v>0</c:v>
              </c:pt>
              <c:pt idx="17">
                <c:v>41.588529624099202</c:v>
              </c:pt>
              <c:pt idx="18">
                <c:v>41.588529624099202</c:v>
              </c:pt>
              <c:pt idx="19">
                <c:v>0</c:v>
              </c:pt>
              <c:pt idx="20">
                <c:v>64.131844747443139</c:v>
              </c:pt>
              <c:pt idx="21">
                <c:v>64.131844747443139</c:v>
              </c:pt>
              <c:pt idx="22">
                <c:v>0</c:v>
              </c:pt>
              <c:pt idx="23">
                <c:v>107.27508575935946</c:v>
              </c:pt>
              <c:pt idx="24">
                <c:v>107.27508575935946</c:v>
              </c:pt>
              <c:pt idx="25">
                <c:v>0</c:v>
              </c:pt>
              <c:pt idx="26">
                <c:v>141.86741413828233</c:v>
              </c:pt>
              <c:pt idx="27">
                <c:v>141.86741413828233</c:v>
              </c:pt>
              <c:pt idx="28">
                <c:v>0</c:v>
              </c:pt>
              <c:pt idx="29">
                <c:v>184.23329945629121</c:v>
              </c:pt>
              <c:pt idx="30">
                <c:v>184.23329945629121</c:v>
              </c:pt>
              <c:pt idx="31">
                <c:v>0</c:v>
              </c:pt>
              <c:pt idx="32">
                <c:v>249.14249989764281</c:v>
              </c:pt>
              <c:pt idx="33">
                <c:v>249.14249989764281</c:v>
              </c:pt>
              <c:pt idx="34">
                <c:v>0</c:v>
              </c:pt>
              <c:pt idx="35">
                <c:v>264.30093592885481</c:v>
              </c:pt>
              <c:pt idx="36">
                <c:v>264.30093592885481</c:v>
              </c:pt>
              <c:pt idx="37">
                <c:v>0</c:v>
              </c:pt>
              <c:pt idx="38">
                <c:v>310.94227756336051</c:v>
              </c:pt>
              <c:pt idx="39">
                <c:v>310.94227756336051</c:v>
              </c:pt>
              <c:pt idx="40">
                <c:v>0</c:v>
              </c:pt>
              <c:pt idx="41">
                <c:v>324.93468005371193</c:v>
              </c:pt>
              <c:pt idx="42">
                <c:v>324.93468005371193</c:v>
              </c:pt>
              <c:pt idx="43">
                <c:v>0</c:v>
              </c:pt>
              <c:pt idx="44">
                <c:v>336.98369330929006</c:v>
              </c:pt>
              <c:pt idx="45">
                <c:v>336.98369330929006</c:v>
              </c:pt>
              <c:pt idx="46">
                <c:v>0</c:v>
              </c:pt>
              <c:pt idx="47">
                <c:v>310.55359971640638</c:v>
              </c:pt>
              <c:pt idx="48">
                <c:v>310.55359971640638</c:v>
              </c:pt>
              <c:pt idx="49">
                <c:v>0</c:v>
              </c:pt>
              <c:pt idx="50">
                <c:v>281.4027611948415</c:v>
              </c:pt>
              <c:pt idx="51">
                <c:v>281.4027611948415</c:v>
              </c:pt>
              <c:pt idx="52">
                <c:v>0</c:v>
              </c:pt>
              <c:pt idx="53">
                <c:v>261.19151315322091</c:v>
              </c:pt>
              <c:pt idx="54">
                <c:v>261.19151315322091</c:v>
              </c:pt>
              <c:pt idx="55">
                <c:v>0</c:v>
              </c:pt>
              <c:pt idx="56">
                <c:v>222.71240630475717</c:v>
              </c:pt>
              <c:pt idx="57">
                <c:v>222.71240630475717</c:v>
              </c:pt>
              <c:pt idx="58">
                <c:v>0</c:v>
              </c:pt>
              <c:pt idx="59">
                <c:v>181.1238766806575</c:v>
              </c:pt>
              <c:pt idx="60">
                <c:v>181.1238766806575</c:v>
              </c:pt>
              <c:pt idx="61">
                <c:v>0</c:v>
              </c:pt>
              <c:pt idx="62">
                <c:v>132.53914581138167</c:v>
              </c:pt>
              <c:pt idx="63">
                <c:v>132.53914581138167</c:v>
              </c:pt>
              <c:pt idx="64">
                <c:v>0</c:v>
              </c:pt>
              <c:pt idx="65">
                <c:v>123.59955533143606</c:v>
              </c:pt>
              <c:pt idx="66">
                <c:v>123.59955533143606</c:v>
              </c:pt>
              <c:pt idx="67">
                <c:v>0</c:v>
              </c:pt>
              <c:pt idx="68">
                <c:v>87.452515564695048</c:v>
              </c:pt>
              <c:pt idx="69">
                <c:v>87.452515564695048</c:v>
              </c:pt>
              <c:pt idx="70">
                <c:v>0</c:v>
              </c:pt>
              <c:pt idx="71">
                <c:v>64.909200441351288</c:v>
              </c:pt>
              <c:pt idx="72">
                <c:v>64.909200441351288</c:v>
              </c:pt>
              <c:pt idx="73">
                <c:v>0</c:v>
              </c:pt>
              <c:pt idx="74">
                <c:v>50.139442257092</c:v>
              </c:pt>
              <c:pt idx="75">
                <c:v>50.139442257092</c:v>
              </c:pt>
              <c:pt idx="76">
                <c:v>0</c:v>
              </c:pt>
              <c:pt idx="77">
                <c:v>30.316872062427347</c:v>
              </c:pt>
              <c:pt idx="78">
                <c:v>30.316872062427347</c:v>
              </c:pt>
              <c:pt idx="79">
                <c:v>0</c:v>
              </c:pt>
              <c:pt idx="80">
                <c:v>19.433892347709929</c:v>
              </c:pt>
              <c:pt idx="81">
                <c:v>19.433892347709929</c:v>
              </c:pt>
              <c:pt idx="82">
                <c:v>0</c:v>
              </c:pt>
              <c:pt idx="83">
                <c:v>22.154637276389597</c:v>
              </c:pt>
              <c:pt idx="84">
                <c:v>22.154637276389597</c:v>
              </c:pt>
              <c:pt idx="85">
                <c:v>0</c:v>
              </c:pt>
              <c:pt idx="86">
                <c:v>13.215046796442667</c:v>
              </c:pt>
              <c:pt idx="87">
                <c:v>13.215046796442667</c:v>
              </c:pt>
              <c:pt idx="88">
                <c:v>0</c:v>
              </c:pt>
              <c:pt idx="89">
                <c:v>5.0528120104048835</c:v>
              </c:pt>
              <c:pt idx="90">
                <c:v>5.0528120104048835</c:v>
              </c:pt>
              <c:pt idx="91">
                <c:v>0</c:v>
              </c:pt>
              <c:pt idx="92">
                <c:v>3.1094227756332642</c:v>
              </c:pt>
              <c:pt idx="93">
                <c:v>3.1094227756332642</c:v>
              </c:pt>
              <c:pt idx="94">
                <c:v>0</c:v>
              </c:pt>
              <c:pt idx="95">
                <c:v>3.8867784695419858</c:v>
              </c:pt>
              <c:pt idx="96">
                <c:v>3.8867784695419858</c:v>
              </c:pt>
              <c:pt idx="97">
                <c:v>0</c:v>
              </c:pt>
              <c:pt idx="98">
                <c:v>3.4981006225878541</c:v>
              </c:pt>
              <c:pt idx="99">
                <c:v>3.4981006225878541</c:v>
              </c:pt>
              <c:pt idx="100">
                <c:v>0</c:v>
              </c:pt>
              <c:pt idx="101">
                <c:v>1.5547113878170638</c:v>
              </c:pt>
              <c:pt idx="102">
                <c:v>1.5547113878170638</c:v>
              </c:pt>
              <c:pt idx="103">
                <c:v>0</c:v>
              </c:pt>
              <c:pt idx="104">
                <c:v>0.38867784695415541</c:v>
              </c:pt>
              <c:pt idx="105">
                <c:v>0.38867784695415541</c:v>
              </c:pt>
              <c:pt idx="106">
                <c:v>0</c:v>
              </c:pt>
              <c:pt idx="107">
                <c:v>0.77735569390831605</c:v>
              </c:pt>
              <c:pt idx="108">
                <c:v>0.77735569390831605</c:v>
              </c:pt>
              <c:pt idx="109">
                <c:v>0</c:v>
              </c:pt>
              <c:pt idx="110">
                <c:v>0</c:v>
              </c:pt>
              <c:pt idx="111">
                <c:v>0</c:v>
              </c:pt>
              <c:pt idx="112">
                <c:v>0</c:v>
              </c:pt>
              <c:pt idx="113">
                <c:v>0</c:v>
              </c:pt>
              <c:pt idx="114">
                <c:v>0</c:v>
              </c:pt>
              <c:pt idx="115">
                <c:v>0</c:v>
              </c:pt>
              <c:pt idx="116">
                <c:v>0</c:v>
              </c:pt>
              <c:pt idx="117">
                <c:v>0</c:v>
              </c:pt>
              <c:pt idx="118">
                <c:v>0</c:v>
              </c:pt>
              <c:pt idx="119">
                <c:v>0.38867784695415802</c:v>
              </c:pt>
              <c:pt idx="120">
                <c:v>0.38867784695415802</c:v>
              </c:pt>
              <c:pt idx="121">
                <c:v>0</c:v>
              </c:pt>
              <c:pt idx="122">
                <c:v>0</c:v>
              </c:pt>
              <c:pt idx="123">
                <c:v>0</c:v>
              </c:pt>
              <c:pt idx="124">
                <c:v>0</c:v>
              </c:pt>
            </c:numLit>
          </c:yVal>
          <c:smooth val="0"/>
          <c:extLst>
            <c:ext xmlns:c16="http://schemas.microsoft.com/office/drawing/2014/chart" uri="{C3380CC4-5D6E-409C-BE32-E72D297353CC}">
              <c16:uniqueId val="{00000001-BA2B-4C53-9D55-82F034AF3333}"/>
            </c:ext>
          </c:extLst>
        </c:ser>
        <c:ser>
          <c:idx val="2"/>
          <c:order val="2"/>
          <c:tx>
            <c:v>xDelimiter</c:v>
          </c:tx>
          <c:spPr>
            <a:ln w="19050">
              <a:noFill/>
            </a:ln>
          </c:spPr>
          <c:marker>
            <c:symbol val="diamond"/>
            <c:size val="5"/>
            <c:spPr>
              <a:solidFill>
                <a:srgbClr val="000000"/>
              </a:solidFill>
            </c:spPr>
          </c:marker>
          <c:dLbls>
            <c:dLbl>
              <c:idx val="0"/>
              <c:layout>
                <c:manualLayout>
                  <c:x val="-7.3618807724601179E-2"/>
                  <c:y val="-0.11214904211739887"/>
                </c:manualLayout>
              </c:layout>
              <c:tx>
                <c:rich>
                  <a:bodyPr wrap="square" lIns="38100" tIns="19050" rIns="38100" bIns="19050" anchor="ctr">
                    <a:spAutoFit/>
                  </a:bodyPr>
                  <a:lstStyle/>
                  <a:p>
                    <a:pPr>
                      <a:defRPr sz="750">
                        <a:solidFill>
                          <a:srgbClr val="000000"/>
                        </a:solidFill>
                        <a:latin typeface="Tahoma"/>
                        <a:ea typeface="Tahoma"/>
                        <a:cs typeface="Tahoma"/>
                      </a:defRPr>
                    </a:pPr>
                    <a:r>
                      <a:rPr lang="en-US"/>
                      <a:t>0.00792</a:t>
                    </a:r>
                  </a:p>
                </c:rich>
              </c:tx>
              <c:spPr>
                <a:noFill/>
                <a:ln>
                  <a:noFill/>
                </a:ln>
                <a:effectLst/>
              </c:spPr>
              <c:dLblPos val="r"/>
              <c:showLegendKey val="0"/>
              <c:showVal val="1"/>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02-BA2B-4C53-9D55-82F034AF3333}"/>
                </c:ext>
              </c:extLst>
            </c:dLbl>
            <c:dLbl>
              <c:idx val="1"/>
              <c:layout>
                <c:manualLayout>
                  <c:x val="-7.3618807724601179E-2"/>
                  <c:y val="-0.11214904211739887"/>
                </c:manualLayout>
              </c:layout>
              <c:tx>
                <c:rich>
                  <a:bodyPr wrap="square" lIns="38100" tIns="19050" rIns="38100" bIns="19050" anchor="ctr">
                    <a:spAutoFit/>
                  </a:bodyPr>
                  <a:lstStyle/>
                  <a:p>
                    <a:pPr>
                      <a:defRPr sz="750">
                        <a:solidFill>
                          <a:srgbClr val="000000"/>
                        </a:solidFill>
                        <a:latin typeface="Tahoma"/>
                        <a:ea typeface="Tahoma"/>
                        <a:cs typeface="Tahoma"/>
                      </a:defRPr>
                    </a:pPr>
                    <a:r>
                      <a:rPr lang="en-US"/>
                      <a:t>0.01278</a:t>
                    </a:r>
                  </a:p>
                </c:rich>
              </c:tx>
              <c:spPr>
                <a:noFill/>
                <a:ln>
                  <a:noFill/>
                </a:ln>
                <a:effectLst/>
              </c:spPr>
              <c:dLblPos val="r"/>
              <c:showLegendKey val="0"/>
              <c:showVal val="1"/>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03-BA2B-4C53-9D55-82F034AF3333}"/>
                </c:ext>
              </c:extLst>
            </c:dLbl>
            <c:spPr>
              <a:noFill/>
              <a:ln>
                <a:noFill/>
              </a:ln>
              <a:effectLst/>
            </c:spPr>
            <c:showLegendKey val="0"/>
            <c:showVal val="0"/>
            <c:showCatName val="0"/>
            <c:showSerName val="0"/>
            <c:showPercent val="0"/>
            <c:showBubbleSize val="0"/>
            <c:extLst>
              <c:ext xmlns:c15="http://schemas.microsoft.com/office/drawing/2012/chart" uri="{CE6537A1-D6FC-4f65-9D91-7224C49458BB}">
                <c15:showLeaderLines val="0"/>
              </c:ext>
            </c:extLst>
          </c:dLbls>
          <c:errBars>
            <c:errDir val="y"/>
            <c:errBarType val="minus"/>
            <c:errValType val="fixedVal"/>
            <c:noEndCap val="0"/>
            <c:val val="350"/>
            <c:spPr>
              <a:ln w="12700">
                <a:solidFill>
                  <a:srgbClr val="000000"/>
                </a:solidFill>
                <a:prstDash val="sysDash"/>
              </a:ln>
            </c:spPr>
          </c:errBars>
          <c:xVal>
            <c:numLit>
              <c:formatCode>General</c:formatCode>
              <c:ptCount val="2"/>
              <c:pt idx="0">
                <c:v>7.9191812909125293E-3</c:v>
              </c:pt>
              <c:pt idx="1">
                <c:v>1.2776191856058175E-2</c:v>
              </c:pt>
            </c:numLit>
          </c:xVal>
          <c:yVal>
            <c:numLit>
              <c:formatCode>General</c:formatCode>
              <c:ptCount val="2"/>
              <c:pt idx="0">
                <c:v>350</c:v>
              </c:pt>
              <c:pt idx="1">
                <c:v>350</c:v>
              </c:pt>
            </c:numLit>
          </c:yVal>
          <c:smooth val="1"/>
          <c:extLst>
            <c:ext xmlns:c16="http://schemas.microsoft.com/office/drawing/2014/chart" uri="{C3380CC4-5D6E-409C-BE32-E72D297353CC}">
              <c16:uniqueId val="{00000004-BA2B-4C53-9D55-82F034AF3333}"/>
            </c:ext>
          </c:extLst>
        </c:ser>
        <c:ser>
          <c:idx val="3"/>
          <c:order val="3"/>
          <c:tx>
            <c:v>xPDelimiter1</c:v>
          </c:tx>
          <c:spPr>
            <a:ln w="19050">
              <a:noFill/>
            </a:ln>
          </c:spPr>
          <c:marker>
            <c:symbol val="none"/>
          </c:marker>
          <c:dLbls>
            <c:dLbl>
              <c:idx val="0"/>
              <c:layout>
                <c:manualLayout>
                  <c:x val="-6.3103988575735334E-2"/>
                  <c:y val="-4.2056070005352442E-2"/>
                </c:manualLayout>
              </c:layout>
              <c:tx>
                <c:rich>
                  <a:bodyPr wrap="square" lIns="38100" tIns="19050" rIns="38100" bIns="19050" anchor="ctr">
                    <a:noAutofit/>
                  </a:bodyPr>
                  <a:lstStyle/>
                  <a:p>
                    <a:pPr>
                      <a:defRPr sz="750">
                        <a:solidFill>
                          <a:srgbClr val="000000"/>
                        </a:solidFill>
                        <a:latin typeface="Tahoma"/>
                        <a:ea typeface="Tahoma"/>
                        <a:cs typeface="Tahoma"/>
                      </a:defRPr>
                    </a:pPr>
                    <a:r>
                      <a:rPr lang="en-US"/>
                      <a:t>2.5%</a:t>
                    </a:r>
                  </a:p>
                </c:rich>
              </c:tx>
              <c:spPr>
                <a:noFill/>
                <a:ln w="9525">
                  <a:solidFill>
                    <a:srgbClr val="000000"/>
                  </a:solidFill>
                </a:ln>
                <a:effectLst/>
              </c:spPr>
              <c:dLblPos val="r"/>
              <c:showLegendKey val="0"/>
              <c:showVal val="1"/>
              <c:showCatName val="0"/>
              <c:showSerName val="0"/>
              <c:showPercent val="0"/>
              <c:showBubbleSize val="0"/>
              <c:extLst>
                <c:ext xmlns:c15="http://schemas.microsoft.com/office/drawing/2012/chart" uri="{CE6537A1-D6FC-4f65-9D91-7224C49458BB}">
                  <c15:layout>
                    <c:manualLayout>
                      <c:w val="8.9264088974191205E-2"/>
                      <c:h val="6.5420560747663545E-2"/>
                    </c:manualLayout>
                  </c15:layout>
                  <c15:showDataLabelsRange val="0"/>
                </c:ext>
                <c:ext xmlns:c16="http://schemas.microsoft.com/office/drawing/2014/chart" uri="{C3380CC4-5D6E-409C-BE32-E72D297353CC}">
                  <c16:uniqueId val="{00000005-BA2B-4C53-9D55-82F034AF3333}"/>
                </c:ext>
              </c:extLst>
            </c:dLbl>
            <c:dLbl>
              <c:idx val="1"/>
              <c:layout>
                <c:manualLayout>
                  <c:x val="-0.13995530785352084"/>
                  <c:y val="-4.2056070005352442E-2"/>
                </c:manualLayout>
              </c:layout>
              <c:tx>
                <c:rich>
                  <a:bodyPr wrap="square" lIns="38100" tIns="19050" rIns="38100" bIns="19050" anchor="ctr">
                    <a:noAutofit/>
                  </a:bodyPr>
                  <a:lstStyle/>
                  <a:p>
                    <a:pPr>
                      <a:defRPr sz="750">
                        <a:solidFill>
                          <a:srgbClr val="000000"/>
                        </a:solidFill>
                        <a:latin typeface="Tahoma"/>
                        <a:ea typeface="Tahoma"/>
                        <a:cs typeface="Tahoma"/>
                      </a:defRPr>
                    </a:pPr>
                    <a:r>
                      <a:rPr lang="en-US"/>
                      <a:t>2.5%</a:t>
                    </a:r>
                  </a:p>
                </c:rich>
              </c:tx>
              <c:spPr>
                <a:noFill/>
                <a:ln w="9525">
                  <a:solidFill>
                    <a:srgbClr val="000000"/>
                  </a:solidFill>
                </a:ln>
                <a:effectLst/>
              </c:spPr>
              <c:dLblPos val="r"/>
              <c:showLegendKey val="0"/>
              <c:showVal val="1"/>
              <c:showCatName val="0"/>
              <c:showSerName val="0"/>
              <c:showPercent val="0"/>
              <c:showBubbleSize val="0"/>
              <c:extLst>
                <c:ext xmlns:c15="http://schemas.microsoft.com/office/drawing/2012/chart" uri="{CE6537A1-D6FC-4f65-9D91-7224C49458BB}">
                  <c15:layout>
                    <c:manualLayout>
                      <c:w val="0.2429673765808669"/>
                      <c:h val="6.5420560747663545E-2"/>
                    </c:manualLayout>
                  </c15:layout>
                  <c15:showDataLabelsRange val="0"/>
                </c:ext>
                <c:ext xmlns:c16="http://schemas.microsoft.com/office/drawing/2014/chart" uri="{C3380CC4-5D6E-409C-BE32-E72D297353CC}">
                  <c16:uniqueId val="{00000006-BA2B-4C53-9D55-82F034AF3333}"/>
                </c:ext>
              </c:extLst>
            </c:dLbl>
            <c:dLbl>
              <c:idx val="2"/>
              <c:layout>
                <c:manualLayout>
                  <c:x val="-0.13142519023912944"/>
                  <c:y val="-4.2056070005352442E-2"/>
                </c:manualLayout>
              </c:layout>
              <c:tx>
                <c:rich>
                  <a:bodyPr wrap="square" lIns="38100" tIns="19050" rIns="38100" bIns="19050" anchor="ctr">
                    <a:noAutofit/>
                  </a:bodyPr>
                  <a:lstStyle/>
                  <a:p>
                    <a:pPr>
                      <a:defRPr sz="750">
                        <a:solidFill>
                          <a:srgbClr val="FFFFFF"/>
                        </a:solidFill>
                        <a:latin typeface="Tahoma"/>
                        <a:ea typeface="Tahoma"/>
                        <a:cs typeface="Tahoma"/>
                      </a:defRPr>
                    </a:pPr>
                    <a:r>
                      <a:rPr lang="en-US"/>
                      <a:t>95.0%</a:t>
                    </a:r>
                  </a:p>
                </c:rich>
              </c:tx>
              <c:spPr>
                <a:solidFill>
                  <a:srgbClr val="DC143C"/>
                </a:solidFill>
                <a:ln w="9525">
                  <a:solidFill>
                    <a:srgbClr val="000000"/>
                  </a:solidFill>
                </a:ln>
                <a:effectLst/>
              </c:spPr>
              <c:dLblPos val="r"/>
              <c:showLegendKey val="0"/>
              <c:showVal val="1"/>
              <c:showCatName val="0"/>
              <c:showSerName val="0"/>
              <c:showPercent val="0"/>
              <c:showBubbleSize val="0"/>
              <c:extLst>
                <c:ext xmlns:c15="http://schemas.microsoft.com/office/drawing/2012/chart" uri="{CE6537A1-D6FC-4f65-9D91-7224C49458BB}">
                  <c15:layout>
                    <c:manualLayout>
                      <c:w val="0.22590705109283166"/>
                      <c:h val="6.5420560747663545E-2"/>
                    </c:manualLayout>
                  </c15:layout>
                  <c15:showDataLabelsRange val="0"/>
                </c:ext>
                <c:ext xmlns:c16="http://schemas.microsoft.com/office/drawing/2014/chart" uri="{C3380CC4-5D6E-409C-BE32-E72D297353CC}">
                  <c16:uniqueId val="{00000007-BA2B-4C53-9D55-82F034AF3333}"/>
                </c:ext>
              </c:extLst>
            </c:dLbl>
            <c:spPr>
              <a:noFill/>
              <a:ln>
                <a:noFill/>
              </a:ln>
              <a:effectLst/>
            </c:spPr>
            <c:showLegendKey val="0"/>
            <c:showVal val="0"/>
            <c:showCatName val="0"/>
            <c:showSerName val="0"/>
            <c:showPercent val="0"/>
            <c:showBubbleSize val="0"/>
            <c:extLst>
              <c:ext xmlns:c15="http://schemas.microsoft.com/office/drawing/2012/chart" uri="{CE6537A1-D6FC-4f65-9D91-7224C49458BB}">
                <c15:showLeaderLines val="0"/>
              </c:ext>
            </c:extLst>
          </c:dLbls>
          <c:xVal>
            <c:numLit>
              <c:formatCode>General</c:formatCode>
              <c:ptCount val="3"/>
              <c:pt idx="0">
                <c:v>6.9595906454562647E-3</c:v>
              </c:pt>
              <c:pt idx="1">
                <c:v>1.5388095928029089E-2</c:v>
              </c:pt>
              <c:pt idx="2">
                <c:v>1.0347686573485351E-2</c:v>
              </c:pt>
            </c:numLit>
          </c:xVal>
          <c:yVal>
            <c:numLit>
              <c:formatCode>General</c:formatCode>
              <c:ptCount val="3"/>
              <c:pt idx="0">
                <c:v>350</c:v>
              </c:pt>
              <c:pt idx="1">
                <c:v>350</c:v>
              </c:pt>
              <c:pt idx="2">
                <c:v>350</c:v>
              </c:pt>
            </c:numLit>
          </c:yVal>
          <c:smooth val="1"/>
          <c:extLst>
            <c:ext xmlns:c16="http://schemas.microsoft.com/office/drawing/2014/chart" uri="{C3380CC4-5D6E-409C-BE32-E72D297353CC}">
              <c16:uniqueId val="{00000008-BA2B-4C53-9D55-82F034AF3333}"/>
            </c:ext>
          </c:extLst>
        </c:ser>
        <c:dLbls>
          <c:showLegendKey val="0"/>
          <c:showVal val="0"/>
          <c:showCatName val="0"/>
          <c:showSerName val="0"/>
          <c:showPercent val="0"/>
          <c:showBubbleSize val="0"/>
        </c:dLbls>
        <c:axId val="484578376"/>
        <c:axId val="484577200"/>
      </c:scatterChart>
      <c:valAx>
        <c:axId val="484578376"/>
        <c:scaling>
          <c:orientation val="minMax"/>
          <c:max val="1.8000000000000002E-2"/>
          <c:min val="6.0000000000000001E-3"/>
        </c:scaling>
        <c:delete val="0"/>
        <c:axPos val="b"/>
        <c:majorGridlines>
          <c:spPr>
            <a:ln>
              <a:solidFill>
                <a:srgbClr val="C0C0C0"/>
              </a:solidFill>
              <a:prstDash val="solid"/>
            </a:ln>
          </c:spPr>
        </c:majorGridlines>
        <c:numFmt formatCode="0.000" sourceLinked="0"/>
        <c:majorTickMark val="out"/>
        <c:minorTickMark val="none"/>
        <c:tickLblPos val="nextTo"/>
        <c:txPr>
          <a:bodyPr rot="-5400000" vert="horz"/>
          <a:lstStyle/>
          <a:p>
            <a:pPr>
              <a:defRPr sz="750" b="0" i="0" u="none" strike="noStrike">
                <a:solidFill>
                  <a:srgbClr val="000000"/>
                </a:solidFill>
                <a:latin typeface="Tahoma"/>
                <a:ea typeface="Tahoma"/>
                <a:cs typeface="Tahoma"/>
              </a:defRPr>
            </a:pPr>
            <a:endParaRPr lang="en-US"/>
          </a:p>
        </c:txPr>
        <c:crossAx val="484577200"/>
        <c:crossesAt val="0"/>
        <c:crossBetween val="midCat"/>
        <c:majorUnit val="2.0000000000000005E-3"/>
      </c:valAx>
      <c:valAx>
        <c:axId val="484577200"/>
        <c:scaling>
          <c:orientation val="minMax"/>
          <c:max val="350"/>
          <c:min val="0"/>
        </c:scaling>
        <c:delete val="0"/>
        <c:axPos val="l"/>
        <c:majorGridlines>
          <c:spPr>
            <a:ln>
              <a:solidFill>
                <a:srgbClr val="C0C0C0"/>
              </a:solidFill>
              <a:prstDash val="solid"/>
            </a:ln>
          </c:spPr>
        </c:majorGridlines>
        <c:numFmt formatCode="0" sourceLinked="0"/>
        <c:majorTickMark val="out"/>
        <c:minorTickMark val="none"/>
        <c:tickLblPos val="nextTo"/>
        <c:txPr>
          <a:bodyPr/>
          <a:lstStyle/>
          <a:p>
            <a:pPr>
              <a:defRPr sz="750" b="0" i="0" u="none" strike="noStrike">
                <a:solidFill>
                  <a:srgbClr val="000000"/>
                </a:solidFill>
                <a:latin typeface="Tahoma"/>
                <a:ea typeface="Tahoma"/>
                <a:cs typeface="Tahoma"/>
              </a:defRPr>
            </a:pPr>
            <a:endParaRPr lang="en-US"/>
          </a:p>
        </c:txPr>
        <c:crossAx val="484578376"/>
        <c:crossesAt val="6.0000000000000001E-3"/>
        <c:crossBetween val="midCat"/>
        <c:majorUnit val="50"/>
      </c:valAx>
      <c:spPr>
        <a:solidFill>
          <a:srgbClr val="F5F5F5"/>
        </a:solidFill>
        <a:ln>
          <a:noFill/>
        </a:ln>
        <a:effectLst/>
        <a:extLst>
          <a:ext uri="{91240B29-F687-4F45-9708-019B960494DF}">
            <a14:hiddenLine xmlns:a14="http://schemas.microsoft.com/office/drawing/2010/main">
              <a:noFill/>
            </a14:hiddenLine>
          </a:ext>
        </a:extLst>
      </c:spPr>
    </c:plotArea>
    <c:legend>
      <c:legendPos val="r"/>
      <c:legendEntry>
        <c:idx val="1"/>
        <c:delete val="1"/>
      </c:legendEntry>
      <c:legendEntry>
        <c:idx val="2"/>
        <c:delete val="1"/>
      </c:legendEntry>
      <c:legendEntry>
        <c:idx val="3"/>
        <c:delete val="1"/>
      </c:legendEntry>
      <c:layout>
        <c:manualLayout>
          <c:xMode val="edge"/>
          <c:yMode val="edge"/>
          <c:x val="0.65827036104114189"/>
          <c:y val="0.5067070221232477"/>
          <c:w val="0.30478589420654911"/>
          <c:h val="9.3457943925233641E-2"/>
        </c:manualLayout>
      </c:layout>
      <c:overlay val="1"/>
      <c:spPr>
        <a:ln w="25400">
          <a:noFill/>
        </a:ln>
      </c:spPr>
      <c:txPr>
        <a:bodyPr/>
        <a:lstStyle/>
        <a:p>
          <a:pPr>
            <a:defRPr sz="563"/>
          </a:pPr>
          <a:endParaRPr lang="en-US"/>
        </a:p>
      </c:txPr>
    </c:legend>
    <c:plotVisOnly val="1"/>
    <c:dispBlanksAs val="gap"/>
    <c:showDLblsOverMax val="0"/>
  </c:chart>
  <c:spPr>
    <a:solidFill>
      <a:srgbClr val="FFFFFF"/>
    </a:solidFill>
    <a:ln w="9525"/>
  </c:sp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b="0" i="0" u="none" strike="noStrike">
                <a:solidFill>
                  <a:srgbClr val="000000"/>
                </a:solidFill>
                <a:latin typeface="Tahoma"/>
                <a:ea typeface="Tahoma"/>
                <a:cs typeface="Tahoma"/>
              </a:defRPr>
            </a:pPr>
            <a:r>
              <a:rPr lang="en-US"/>
              <a:t>HFCs/PFCs Emissions from Substitution of Ozone Depleting Substances</a:t>
            </a:r>
          </a:p>
        </c:rich>
      </c:tx>
      <c:overlay val="0"/>
    </c:title>
    <c:autoTitleDeleted val="0"/>
    <c:plotArea>
      <c:layout>
        <c:manualLayout>
          <c:xMode val="edge"/>
          <c:yMode val="edge"/>
          <c:x val="2.0151133501259445E-2"/>
          <c:y val="0.28971962616822428"/>
          <c:w val="0.76406381192275397"/>
          <c:h val="0.61266874450018105"/>
        </c:manualLayout>
      </c:layout>
      <c:scatterChart>
        <c:scatterStyle val="smoothMarker"/>
        <c:varyColors val="0"/>
        <c:ser>
          <c:idx val="0"/>
          <c:order val="0"/>
          <c:tx>
            <c:v>ODSSubs2017</c:v>
          </c:tx>
          <c:spPr>
            <a:ln w="38100" cap="rnd" cmpd="sng" algn="ctr">
              <a:solidFill>
                <a:srgbClr val="DC143C">
                  <a:alpha val="88000"/>
                </a:srgbClr>
              </a:solidFill>
              <a:prstDash val="solid"/>
              <a:round/>
              <a:headEnd type="none" w="med" len="med"/>
              <a:tailEnd type="none" w="med" len="med"/>
            </a:ln>
          </c:spPr>
          <c:marker>
            <c:symbol val="none"/>
          </c:marker>
          <c:xVal>
            <c:numLit>
              <c:formatCode>General</c:formatCode>
              <c:ptCount val="759"/>
              <c:pt idx="0">
                <c:v>0.78633391535640884</c:v>
              </c:pt>
              <c:pt idx="1">
                <c:v>0.78633391535640884</c:v>
              </c:pt>
              <c:pt idx="2">
                <c:v>0.78633391535640884</c:v>
              </c:pt>
              <c:pt idx="3">
                <c:v>0.78686331181509561</c:v>
              </c:pt>
              <c:pt idx="4">
                <c:v>0.78686331181509561</c:v>
              </c:pt>
              <c:pt idx="5">
                <c:v>0.78739270827378238</c:v>
              </c:pt>
              <c:pt idx="6">
                <c:v>0.78739270827378238</c:v>
              </c:pt>
              <c:pt idx="7">
                <c:v>0.78792210473246915</c:v>
              </c:pt>
              <c:pt idx="8">
                <c:v>0.78792210473246915</c:v>
              </c:pt>
              <c:pt idx="9">
                <c:v>0.78845150119115592</c:v>
              </c:pt>
              <c:pt idx="10">
                <c:v>0.78845150119115592</c:v>
              </c:pt>
              <c:pt idx="11">
                <c:v>0.78898089764984269</c:v>
              </c:pt>
              <c:pt idx="12">
                <c:v>0.78898089764984269</c:v>
              </c:pt>
              <c:pt idx="13">
                <c:v>0.78951029410852946</c:v>
              </c:pt>
              <c:pt idx="14">
                <c:v>0.78951029410852946</c:v>
              </c:pt>
              <c:pt idx="15">
                <c:v>0.78964264322320121</c:v>
              </c:pt>
              <c:pt idx="16">
                <c:v>0.78964264322320121</c:v>
              </c:pt>
              <c:pt idx="19">
                <c:v>0.78964264322320121</c:v>
              </c:pt>
              <c:pt idx="20">
                <c:v>0.78964264322320121</c:v>
              </c:pt>
              <c:pt idx="21">
                <c:v>0.78964264322320121</c:v>
              </c:pt>
              <c:pt idx="22">
                <c:v>0.79017203968188798</c:v>
              </c:pt>
              <c:pt idx="23">
                <c:v>0.79017203968188798</c:v>
              </c:pt>
              <c:pt idx="24">
                <c:v>0.79070143614057475</c:v>
              </c:pt>
              <c:pt idx="25">
                <c:v>0.79070143614057475</c:v>
              </c:pt>
              <c:pt idx="26">
                <c:v>0.79123083259926152</c:v>
              </c:pt>
              <c:pt idx="27">
                <c:v>0.79123083259926152</c:v>
              </c:pt>
              <c:pt idx="28">
                <c:v>0.79176022905794829</c:v>
              </c:pt>
              <c:pt idx="29">
                <c:v>0.79176022905794829</c:v>
              </c:pt>
              <c:pt idx="30">
                <c:v>0.79228962551663507</c:v>
              </c:pt>
              <c:pt idx="31">
                <c:v>0.79228962551663507</c:v>
              </c:pt>
              <c:pt idx="32">
                <c:v>0.79281902197532184</c:v>
              </c:pt>
              <c:pt idx="33">
                <c:v>0.79281902197532184</c:v>
              </c:pt>
              <c:pt idx="34">
                <c:v>0.79295137108999358</c:v>
              </c:pt>
              <c:pt idx="35">
                <c:v>0.79295137108999358</c:v>
              </c:pt>
              <c:pt idx="38">
                <c:v>0.79295137108999358</c:v>
              </c:pt>
              <c:pt idx="39">
                <c:v>0.79295137108999358</c:v>
              </c:pt>
              <c:pt idx="40">
                <c:v>0.79295137108999358</c:v>
              </c:pt>
              <c:pt idx="41">
                <c:v>0.79348076754868035</c:v>
              </c:pt>
              <c:pt idx="42">
                <c:v>0.79348076754868035</c:v>
              </c:pt>
              <c:pt idx="43">
                <c:v>0.79401016400736713</c:v>
              </c:pt>
              <c:pt idx="44">
                <c:v>0.79401016400736713</c:v>
              </c:pt>
              <c:pt idx="45">
                <c:v>0.7945395604660539</c:v>
              </c:pt>
              <c:pt idx="46">
                <c:v>0.7945395604660539</c:v>
              </c:pt>
              <c:pt idx="47">
                <c:v>0.79506895692474067</c:v>
              </c:pt>
              <c:pt idx="48">
                <c:v>0.79506895692474067</c:v>
              </c:pt>
              <c:pt idx="49">
                <c:v>0.79559835338342744</c:v>
              </c:pt>
              <c:pt idx="50">
                <c:v>0.79559835338342744</c:v>
              </c:pt>
              <c:pt idx="51">
                <c:v>0.79612774984211421</c:v>
              </c:pt>
              <c:pt idx="52">
                <c:v>0.79612774984211421</c:v>
              </c:pt>
              <c:pt idx="53">
                <c:v>0.79626009895678584</c:v>
              </c:pt>
              <c:pt idx="54">
                <c:v>0.79626009895678584</c:v>
              </c:pt>
              <c:pt idx="57">
                <c:v>0.79626009895678584</c:v>
              </c:pt>
              <c:pt idx="58">
                <c:v>0.79626009895678584</c:v>
              </c:pt>
              <c:pt idx="59">
                <c:v>0.79626009895678584</c:v>
              </c:pt>
              <c:pt idx="60">
                <c:v>0.79678949541547262</c:v>
              </c:pt>
              <c:pt idx="61">
                <c:v>0.79678949541547262</c:v>
              </c:pt>
              <c:pt idx="62">
                <c:v>0.79731889187415939</c:v>
              </c:pt>
              <c:pt idx="63">
                <c:v>0.79731889187415939</c:v>
              </c:pt>
              <c:pt idx="64">
                <c:v>0.79784828833284616</c:v>
              </c:pt>
              <c:pt idx="65">
                <c:v>0.79784828833284616</c:v>
              </c:pt>
              <c:pt idx="66">
                <c:v>0.79837768479153293</c:v>
              </c:pt>
              <c:pt idx="67">
                <c:v>0.79837768479153293</c:v>
              </c:pt>
              <c:pt idx="68">
                <c:v>0.7989070812502197</c:v>
              </c:pt>
              <c:pt idx="69">
                <c:v>0.7989070812502197</c:v>
              </c:pt>
              <c:pt idx="70">
                <c:v>0.79943647770890647</c:v>
              </c:pt>
              <c:pt idx="71">
                <c:v>0.79943647770890647</c:v>
              </c:pt>
              <c:pt idx="72">
                <c:v>0.79956882682357822</c:v>
              </c:pt>
              <c:pt idx="73">
                <c:v>0.79956882682357822</c:v>
              </c:pt>
              <c:pt idx="76">
                <c:v>0.79956882682357822</c:v>
              </c:pt>
              <c:pt idx="77">
                <c:v>0.79956882682357822</c:v>
              </c:pt>
              <c:pt idx="78">
                <c:v>0.79956882682357822</c:v>
              </c:pt>
              <c:pt idx="79">
                <c:v>0.80009822328226499</c:v>
              </c:pt>
              <c:pt idx="80">
                <c:v>0.80009822328226499</c:v>
              </c:pt>
              <c:pt idx="81">
                <c:v>0.80062761974095176</c:v>
              </c:pt>
              <c:pt idx="82">
                <c:v>0.80062761974095176</c:v>
              </c:pt>
              <c:pt idx="83">
                <c:v>0.80115701619963853</c:v>
              </c:pt>
              <c:pt idx="84">
                <c:v>0.80115701619963853</c:v>
              </c:pt>
              <c:pt idx="85">
                <c:v>0.8016864126583253</c:v>
              </c:pt>
              <c:pt idx="86">
                <c:v>0.8016864126583253</c:v>
              </c:pt>
              <c:pt idx="87">
                <c:v>0.80221580911701207</c:v>
              </c:pt>
              <c:pt idx="88">
                <c:v>0.80221580911701207</c:v>
              </c:pt>
              <c:pt idx="89">
                <c:v>0.80274520557569884</c:v>
              </c:pt>
              <c:pt idx="90">
                <c:v>0.80274520557569884</c:v>
              </c:pt>
              <c:pt idx="91">
                <c:v>0.80287755469037059</c:v>
              </c:pt>
              <c:pt idx="92">
                <c:v>0.80287755469037059</c:v>
              </c:pt>
              <c:pt idx="95">
                <c:v>0.80287755469037059</c:v>
              </c:pt>
              <c:pt idx="96">
                <c:v>0.80287755469037059</c:v>
              </c:pt>
              <c:pt idx="97">
                <c:v>0.80287755469037059</c:v>
              </c:pt>
              <c:pt idx="98">
                <c:v>0.80340695114905736</c:v>
              </c:pt>
              <c:pt idx="99">
                <c:v>0.80340695114905736</c:v>
              </c:pt>
              <c:pt idx="100">
                <c:v>0.80393634760774413</c:v>
              </c:pt>
              <c:pt idx="101">
                <c:v>0.80393634760774413</c:v>
              </c:pt>
              <c:pt idx="102">
                <c:v>0.8044657440664309</c:v>
              </c:pt>
              <c:pt idx="103">
                <c:v>0.8044657440664309</c:v>
              </c:pt>
              <c:pt idx="104">
                <c:v>0.80499514052511767</c:v>
              </c:pt>
              <c:pt idx="105">
                <c:v>0.80499514052511767</c:v>
              </c:pt>
              <c:pt idx="106">
                <c:v>0.80552453698380444</c:v>
              </c:pt>
              <c:pt idx="107">
                <c:v>0.80552453698380444</c:v>
              </c:pt>
              <c:pt idx="108">
                <c:v>0.80605393344249121</c:v>
              </c:pt>
              <c:pt idx="109">
                <c:v>0.80605393344249121</c:v>
              </c:pt>
              <c:pt idx="110">
                <c:v>0.80618628255716285</c:v>
              </c:pt>
              <c:pt idx="111">
                <c:v>0.80618628255716285</c:v>
              </c:pt>
              <c:pt idx="114">
                <c:v>0.80618628255716285</c:v>
              </c:pt>
              <c:pt idx="115">
                <c:v>0.80618628255716285</c:v>
              </c:pt>
              <c:pt idx="116">
                <c:v>0.80618628255716285</c:v>
              </c:pt>
              <c:pt idx="117">
                <c:v>0.80671567901584962</c:v>
              </c:pt>
              <c:pt idx="118">
                <c:v>0.80671567901584962</c:v>
              </c:pt>
              <c:pt idx="119">
                <c:v>0.80724507547453639</c:v>
              </c:pt>
              <c:pt idx="120">
                <c:v>0.80724507547453639</c:v>
              </c:pt>
              <c:pt idx="121">
                <c:v>0.80777447193322316</c:v>
              </c:pt>
              <c:pt idx="122">
                <c:v>0.80777447193322316</c:v>
              </c:pt>
              <c:pt idx="123">
                <c:v>0.80830386839190993</c:v>
              </c:pt>
              <c:pt idx="124">
                <c:v>0.80830386839190993</c:v>
              </c:pt>
              <c:pt idx="125">
                <c:v>0.8088332648505967</c:v>
              </c:pt>
              <c:pt idx="126">
                <c:v>0.8088332648505967</c:v>
              </c:pt>
              <c:pt idx="127">
                <c:v>0.80936266130928347</c:v>
              </c:pt>
              <c:pt idx="128">
                <c:v>0.80936266130928347</c:v>
              </c:pt>
              <c:pt idx="129">
                <c:v>0.80949501042395522</c:v>
              </c:pt>
              <c:pt idx="130">
                <c:v>0.80949501042395522</c:v>
              </c:pt>
              <c:pt idx="133">
                <c:v>0.80949501042395522</c:v>
              </c:pt>
              <c:pt idx="134">
                <c:v>0.80949501042395522</c:v>
              </c:pt>
              <c:pt idx="135">
                <c:v>0.80949501042395522</c:v>
              </c:pt>
              <c:pt idx="136">
                <c:v>0.81002440688264199</c:v>
              </c:pt>
              <c:pt idx="137">
                <c:v>0.81002440688264199</c:v>
              </c:pt>
              <c:pt idx="138">
                <c:v>0.81055380334132876</c:v>
              </c:pt>
              <c:pt idx="139">
                <c:v>0.81055380334132876</c:v>
              </c:pt>
              <c:pt idx="140">
                <c:v>0.81108319980001553</c:v>
              </c:pt>
              <c:pt idx="141">
                <c:v>0.81108319980001553</c:v>
              </c:pt>
              <c:pt idx="142">
                <c:v>0.8116125962587023</c:v>
              </c:pt>
              <c:pt idx="143">
                <c:v>0.8116125962587023</c:v>
              </c:pt>
              <c:pt idx="144">
                <c:v>0.81214199271738907</c:v>
              </c:pt>
              <c:pt idx="145">
                <c:v>0.81214199271738907</c:v>
              </c:pt>
              <c:pt idx="146">
                <c:v>0.81267138917607584</c:v>
              </c:pt>
              <c:pt idx="147">
                <c:v>0.81267138917607584</c:v>
              </c:pt>
              <c:pt idx="148">
                <c:v>0.81280373829074759</c:v>
              </c:pt>
              <c:pt idx="149">
                <c:v>0.81280373829074759</c:v>
              </c:pt>
              <c:pt idx="152">
                <c:v>0.81280373829074759</c:v>
              </c:pt>
              <c:pt idx="153">
                <c:v>0.81280373829074759</c:v>
              </c:pt>
              <c:pt idx="154">
                <c:v>0.81280373829074759</c:v>
              </c:pt>
              <c:pt idx="155">
                <c:v>0.81333313474943436</c:v>
              </c:pt>
              <c:pt idx="156">
                <c:v>0.81333313474943436</c:v>
              </c:pt>
              <c:pt idx="157">
                <c:v>0.81386253120812113</c:v>
              </c:pt>
              <c:pt idx="158">
                <c:v>0.81386253120812113</c:v>
              </c:pt>
              <c:pt idx="159">
                <c:v>0.8143919276668079</c:v>
              </c:pt>
              <c:pt idx="160">
                <c:v>0.8143919276668079</c:v>
              </c:pt>
              <c:pt idx="161">
                <c:v>0.81492132412549467</c:v>
              </c:pt>
              <c:pt idx="162">
                <c:v>0.81492132412549467</c:v>
              </c:pt>
              <c:pt idx="163">
                <c:v>0.81545072058418144</c:v>
              </c:pt>
              <c:pt idx="164">
                <c:v>0.81545072058418144</c:v>
              </c:pt>
              <c:pt idx="165">
                <c:v>0.81598011704286821</c:v>
              </c:pt>
              <c:pt idx="166">
                <c:v>0.81598011704286821</c:v>
              </c:pt>
              <c:pt idx="167">
                <c:v>0.81611246615753996</c:v>
              </c:pt>
              <c:pt idx="168">
                <c:v>0.81611246615753996</c:v>
              </c:pt>
              <c:pt idx="171">
                <c:v>0.81611246615753996</c:v>
              </c:pt>
              <c:pt idx="172">
                <c:v>0.81611246615753996</c:v>
              </c:pt>
              <c:pt idx="173">
                <c:v>0.81611246615753996</c:v>
              </c:pt>
              <c:pt idx="174">
                <c:v>0.81664186261622673</c:v>
              </c:pt>
              <c:pt idx="175">
                <c:v>0.81664186261622673</c:v>
              </c:pt>
              <c:pt idx="176">
                <c:v>0.8171712590749135</c:v>
              </c:pt>
              <c:pt idx="177">
                <c:v>0.8171712590749135</c:v>
              </c:pt>
              <c:pt idx="178">
                <c:v>0.81770065553360027</c:v>
              </c:pt>
              <c:pt idx="179">
                <c:v>0.81770065553360027</c:v>
              </c:pt>
              <c:pt idx="180">
                <c:v>0.81823005199228704</c:v>
              </c:pt>
              <c:pt idx="181">
                <c:v>0.81823005199228704</c:v>
              </c:pt>
              <c:pt idx="182">
                <c:v>0.81875944845097381</c:v>
              </c:pt>
              <c:pt idx="183">
                <c:v>0.81875944845097381</c:v>
              </c:pt>
              <c:pt idx="184">
                <c:v>0.81928884490966059</c:v>
              </c:pt>
              <c:pt idx="185">
                <c:v>0.81928884490966059</c:v>
              </c:pt>
              <c:pt idx="186">
                <c:v>0.81942119402433233</c:v>
              </c:pt>
              <c:pt idx="187">
                <c:v>0.81942119402433233</c:v>
              </c:pt>
              <c:pt idx="190">
                <c:v>0.81942119402433233</c:v>
              </c:pt>
              <c:pt idx="191">
                <c:v>0.81942119402433233</c:v>
              </c:pt>
              <c:pt idx="192">
                <c:v>0.81942119402433233</c:v>
              </c:pt>
              <c:pt idx="193">
                <c:v>0.8199505904830191</c:v>
              </c:pt>
              <c:pt idx="194">
                <c:v>0.8199505904830191</c:v>
              </c:pt>
              <c:pt idx="195">
                <c:v>0.82047998694170587</c:v>
              </c:pt>
              <c:pt idx="196">
                <c:v>0.82047998694170587</c:v>
              </c:pt>
              <c:pt idx="197">
                <c:v>0.82100938340039264</c:v>
              </c:pt>
              <c:pt idx="198">
                <c:v>0.82100938340039264</c:v>
              </c:pt>
              <c:pt idx="199">
                <c:v>0.82153877985907942</c:v>
              </c:pt>
              <c:pt idx="200">
                <c:v>0.82153877985907942</c:v>
              </c:pt>
              <c:pt idx="201">
                <c:v>0.82206817631776619</c:v>
              </c:pt>
              <c:pt idx="202">
                <c:v>0.82206817631776619</c:v>
              </c:pt>
              <c:pt idx="203">
                <c:v>0.82259757277645296</c:v>
              </c:pt>
              <c:pt idx="204">
                <c:v>0.82259757277645296</c:v>
              </c:pt>
              <c:pt idx="205">
                <c:v>0.82272992189112459</c:v>
              </c:pt>
              <c:pt idx="206">
                <c:v>0.82272992189112459</c:v>
              </c:pt>
              <c:pt idx="209">
                <c:v>0.82272992189112459</c:v>
              </c:pt>
              <c:pt idx="210">
                <c:v>0.82272992189112459</c:v>
              </c:pt>
              <c:pt idx="211">
                <c:v>0.82272992189112459</c:v>
              </c:pt>
              <c:pt idx="212">
                <c:v>0.82325931834981136</c:v>
              </c:pt>
              <c:pt idx="213">
                <c:v>0.82325931834981136</c:v>
              </c:pt>
              <c:pt idx="214">
                <c:v>0.82378871480849813</c:v>
              </c:pt>
              <c:pt idx="215">
                <c:v>0.82378871480849813</c:v>
              </c:pt>
              <c:pt idx="216">
                <c:v>0.82431811126718491</c:v>
              </c:pt>
              <c:pt idx="217">
                <c:v>0.82431811126718491</c:v>
              </c:pt>
              <c:pt idx="218">
                <c:v>0.82484750772587168</c:v>
              </c:pt>
              <c:pt idx="219">
                <c:v>0.82484750772587168</c:v>
              </c:pt>
              <c:pt idx="220">
                <c:v>0.82537690418455845</c:v>
              </c:pt>
              <c:pt idx="221">
                <c:v>0.82537690418455845</c:v>
              </c:pt>
              <c:pt idx="222">
                <c:v>0.82590630064324522</c:v>
              </c:pt>
              <c:pt idx="223">
                <c:v>0.82590630064324522</c:v>
              </c:pt>
              <c:pt idx="224">
                <c:v>0.82603864975791697</c:v>
              </c:pt>
              <c:pt idx="225">
                <c:v>0.82603864975791697</c:v>
              </c:pt>
              <c:pt idx="228">
                <c:v>0.82603864975791697</c:v>
              </c:pt>
              <c:pt idx="229">
                <c:v>0.82603864975791697</c:v>
              </c:pt>
              <c:pt idx="230">
                <c:v>0.82603864975791697</c:v>
              </c:pt>
              <c:pt idx="231">
                <c:v>0.82656804621660374</c:v>
              </c:pt>
              <c:pt idx="232">
                <c:v>0.82656804621660374</c:v>
              </c:pt>
              <c:pt idx="233">
                <c:v>0.82709744267529051</c:v>
              </c:pt>
              <c:pt idx="234">
                <c:v>0.82709744267529051</c:v>
              </c:pt>
              <c:pt idx="235">
                <c:v>0.82762683913397728</c:v>
              </c:pt>
              <c:pt idx="236">
                <c:v>0.82762683913397728</c:v>
              </c:pt>
              <c:pt idx="237">
                <c:v>0.82815623559266405</c:v>
              </c:pt>
              <c:pt idx="238">
                <c:v>0.82815623559266405</c:v>
              </c:pt>
              <c:pt idx="239">
                <c:v>0.82868563205135082</c:v>
              </c:pt>
              <c:pt idx="240">
                <c:v>0.82868563205135082</c:v>
              </c:pt>
              <c:pt idx="241">
                <c:v>0.82921502851003759</c:v>
              </c:pt>
              <c:pt idx="242">
                <c:v>0.82921502851003759</c:v>
              </c:pt>
              <c:pt idx="243">
                <c:v>0.82934737762470934</c:v>
              </c:pt>
              <c:pt idx="244">
                <c:v>0.82934737762470934</c:v>
              </c:pt>
              <c:pt idx="247">
                <c:v>0.82934737762470934</c:v>
              </c:pt>
              <c:pt idx="248">
                <c:v>0.82934737762470934</c:v>
              </c:pt>
              <c:pt idx="249">
                <c:v>0.82934737762470934</c:v>
              </c:pt>
              <c:pt idx="250">
                <c:v>0.82987677408339611</c:v>
              </c:pt>
              <c:pt idx="251">
                <c:v>0.82987677408339611</c:v>
              </c:pt>
              <c:pt idx="252">
                <c:v>0.83040617054208288</c:v>
              </c:pt>
              <c:pt idx="253">
                <c:v>0.83040617054208288</c:v>
              </c:pt>
              <c:pt idx="254">
                <c:v>0.83093556700076965</c:v>
              </c:pt>
              <c:pt idx="255">
                <c:v>0.83093556700076965</c:v>
              </c:pt>
              <c:pt idx="256">
                <c:v>0.83146496345945642</c:v>
              </c:pt>
              <c:pt idx="257">
                <c:v>0.83146496345945642</c:v>
              </c:pt>
              <c:pt idx="258">
                <c:v>0.83199435991814319</c:v>
              </c:pt>
              <c:pt idx="259">
                <c:v>0.83199435991814319</c:v>
              </c:pt>
              <c:pt idx="260">
                <c:v>0.83252375637682996</c:v>
              </c:pt>
              <c:pt idx="261">
                <c:v>0.83252375637682996</c:v>
              </c:pt>
              <c:pt idx="262">
                <c:v>0.8326561054915016</c:v>
              </c:pt>
              <c:pt idx="263">
                <c:v>0.8326561054915016</c:v>
              </c:pt>
              <c:pt idx="266">
                <c:v>0.8326561054915016</c:v>
              </c:pt>
              <c:pt idx="267">
                <c:v>0.8326561054915016</c:v>
              </c:pt>
              <c:pt idx="268">
                <c:v>0.8326561054915016</c:v>
              </c:pt>
              <c:pt idx="269">
                <c:v>0.83318550195018837</c:v>
              </c:pt>
              <c:pt idx="270">
                <c:v>0.83318550195018837</c:v>
              </c:pt>
              <c:pt idx="271">
                <c:v>0.83371489840887514</c:v>
              </c:pt>
              <c:pt idx="272">
                <c:v>0.83371489840887514</c:v>
              </c:pt>
              <c:pt idx="273">
                <c:v>0.83424429486756191</c:v>
              </c:pt>
              <c:pt idx="274">
                <c:v>0.83424429486756191</c:v>
              </c:pt>
              <c:pt idx="275">
                <c:v>0.83477369132624868</c:v>
              </c:pt>
              <c:pt idx="276">
                <c:v>0.83477369132624868</c:v>
              </c:pt>
              <c:pt idx="277">
                <c:v>0.83530308778493545</c:v>
              </c:pt>
              <c:pt idx="278">
                <c:v>0.83530308778493545</c:v>
              </c:pt>
              <c:pt idx="279">
                <c:v>0.83583248424362222</c:v>
              </c:pt>
              <c:pt idx="280">
                <c:v>0.83583248424362222</c:v>
              </c:pt>
              <c:pt idx="281">
                <c:v>0.83596483335829397</c:v>
              </c:pt>
              <c:pt idx="282">
                <c:v>0.83596483335829397</c:v>
              </c:pt>
              <c:pt idx="285">
                <c:v>0.83596483335829397</c:v>
              </c:pt>
              <c:pt idx="286">
                <c:v>0.83596483335829397</c:v>
              </c:pt>
              <c:pt idx="287">
                <c:v>0.83596483335829397</c:v>
              </c:pt>
              <c:pt idx="288">
                <c:v>0.83649422981698074</c:v>
              </c:pt>
              <c:pt idx="289">
                <c:v>0.83649422981698074</c:v>
              </c:pt>
              <c:pt idx="290">
                <c:v>0.83702362627566751</c:v>
              </c:pt>
              <c:pt idx="291">
                <c:v>0.83702362627566751</c:v>
              </c:pt>
              <c:pt idx="292">
                <c:v>0.83755302273435428</c:v>
              </c:pt>
              <c:pt idx="293">
                <c:v>0.83755302273435428</c:v>
              </c:pt>
              <c:pt idx="294">
                <c:v>0.83808241919304105</c:v>
              </c:pt>
              <c:pt idx="295">
                <c:v>0.83808241919304105</c:v>
              </c:pt>
              <c:pt idx="296">
                <c:v>0.83861181565172782</c:v>
              </c:pt>
              <c:pt idx="297">
                <c:v>0.83861181565172782</c:v>
              </c:pt>
              <c:pt idx="298">
                <c:v>0.83914121211041459</c:v>
              </c:pt>
              <c:pt idx="299">
                <c:v>0.83914121211041459</c:v>
              </c:pt>
              <c:pt idx="300">
                <c:v>0.83927356122508634</c:v>
              </c:pt>
              <c:pt idx="301">
                <c:v>0.83927356122508634</c:v>
              </c:pt>
              <c:pt idx="304">
                <c:v>0.83927356122508634</c:v>
              </c:pt>
              <c:pt idx="305">
                <c:v>0.83927356122508634</c:v>
              </c:pt>
              <c:pt idx="306">
                <c:v>0.83927356122508634</c:v>
              </c:pt>
              <c:pt idx="307">
                <c:v>0.83980295768377311</c:v>
              </c:pt>
              <c:pt idx="308">
                <c:v>0.83980295768377311</c:v>
              </c:pt>
              <c:pt idx="309">
                <c:v>0.84033235414245988</c:v>
              </c:pt>
              <c:pt idx="310">
                <c:v>0.84033235414245988</c:v>
              </c:pt>
              <c:pt idx="311">
                <c:v>0.84086175060114665</c:v>
              </c:pt>
              <c:pt idx="312">
                <c:v>0.84086175060114665</c:v>
              </c:pt>
              <c:pt idx="313">
                <c:v>0.84139114705983342</c:v>
              </c:pt>
              <c:pt idx="314">
                <c:v>0.84139114705983342</c:v>
              </c:pt>
              <c:pt idx="315">
                <c:v>0.84192054351852019</c:v>
              </c:pt>
              <c:pt idx="316">
                <c:v>0.84192054351852019</c:v>
              </c:pt>
              <c:pt idx="317">
                <c:v>0.84244993997720696</c:v>
              </c:pt>
              <c:pt idx="318">
                <c:v>0.84244993997720696</c:v>
              </c:pt>
              <c:pt idx="319">
                <c:v>0.84258228909187871</c:v>
              </c:pt>
              <c:pt idx="320">
                <c:v>0.84258228909187871</c:v>
              </c:pt>
              <c:pt idx="323">
                <c:v>0.84258228909187871</c:v>
              </c:pt>
              <c:pt idx="324">
                <c:v>0.84258228909187871</c:v>
              </c:pt>
              <c:pt idx="325">
                <c:v>0.84258228909187871</c:v>
              </c:pt>
              <c:pt idx="326">
                <c:v>0.84311168555056548</c:v>
              </c:pt>
              <c:pt idx="327">
                <c:v>0.84311168555056548</c:v>
              </c:pt>
              <c:pt idx="328">
                <c:v>0.84364108200925225</c:v>
              </c:pt>
              <c:pt idx="329">
                <c:v>0.84364108200925225</c:v>
              </c:pt>
              <c:pt idx="330">
                <c:v>0.84417047846793902</c:v>
              </c:pt>
              <c:pt idx="331">
                <c:v>0.84417047846793902</c:v>
              </c:pt>
              <c:pt idx="332">
                <c:v>0.84469987492662579</c:v>
              </c:pt>
              <c:pt idx="333">
                <c:v>0.84469987492662579</c:v>
              </c:pt>
              <c:pt idx="334">
                <c:v>0.84522927138531256</c:v>
              </c:pt>
              <c:pt idx="335">
                <c:v>0.84522927138531256</c:v>
              </c:pt>
              <c:pt idx="336">
                <c:v>0.84575866784399933</c:v>
              </c:pt>
              <c:pt idx="337">
                <c:v>0.84575866784399933</c:v>
              </c:pt>
              <c:pt idx="338">
                <c:v>0.84589101695867108</c:v>
              </c:pt>
              <c:pt idx="339">
                <c:v>0.84589101695867108</c:v>
              </c:pt>
              <c:pt idx="342">
                <c:v>0.84589101695867108</c:v>
              </c:pt>
              <c:pt idx="343">
                <c:v>0.84589101695867108</c:v>
              </c:pt>
              <c:pt idx="344">
                <c:v>0.84589101695867108</c:v>
              </c:pt>
              <c:pt idx="345">
                <c:v>0.84642041341735785</c:v>
              </c:pt>
              <c:pt idx="346">
                <c:v>0.84642041341735785</c:v>
              </c:pt>
              <c:pt idx="347">
                <c:v>0.84694980987604462</c:v>
              </c:pt>
              <c:pt idx="348">
                <c:v>0.84694980987604462</c:v>
              </c:pt>
              <c:pt idx="349">
                <c:v>0.84747920633473139</c:v>
              </c:pt>
              <c:pt idx="350">
                <c:v>0.84747920633473139</c:v>
              </c:pt>
              <c:pt idx="351">
                <c:v>0.84800860279341816</c:v>
              </c:pt>
              <c:pt idx="352">
                <c:v>0.84800860279341816</c:v>
              </c:pt>
              <c:pt idx="353">
                <c:v>0.84853799925210494</c:v>
              </c:pt>
              <c:pt idx="354">
                <c:v>0.84853799925210494</c:v>
              </c:pt>
              <c:pt idx="355">
                <c:v>0.84906739571079171</c:v>
              </c:pt>
              <c:pt idx="356">
                <c:v>0.84906739571079171</c:v>
              </c:pt>
              <c:pt idx="357">
                <c:v>0.84919974482546334</c:v>
              </c:pt>
              <c:pt idx="358">
                <c:v>0.84919974482546334</c:v>
              </c:pt>
              <c:pt idx="361">
                <c:v>0.84919974482546334</c:v>
              </c:pt>
              <c:pt idx="362">
                <c:v>0.84919974482546334</c:v>
              </c:pt>
              <c:pt idx="363">
                <c:v>0.84919974482546334</c:v>
              </c:pt>
              <c:pt idx="364">
                <c:v>0.84972914128415011</c:v>
              </c:pt>
              <c:pt idx="365">
                <c:v>0.84972914128415011</c:v>
              </c:pt>
              <c:pt idx="366">
                <c:v>0.85025853774283688</c:v>
              </c:pt>
              <c:pt idx="367">
                <c:v>0.85025853774283688</c:v>
              </c:pt>
              <c:pt idx="368">
                <c:v>0.85078793420152365</c:v>
              </c:pt>
              <c:pt idx="369">
                <c:v>0.85078793420152365</c:v>
              </c:pt>
              <c:pt idx="370">
                <c:v>0.85131733066021043</c:v>
              </c:pt>
              <c:pt idx="371">
                <c:v>0.85131733066021043</c:v>
              </c:pt>
              <c:pt idx="372">
                <c:v>0.8518467271188972</c:v>
              </c:pt>
              <c:pt idx="373">
                <c:v>0.8518467271188972</c:v>
              </c:pt>
              <c:pt idx="374">
                <c:v>0.85237612357758397</c:v>
              </c:pt>
              <c:pt idx="375">
                <c:v>0.85237612357758397</c:v>
              </c:pt>
              <c:pt idx="376">
                <c:v>0.85250847269225571</c:v>
              </c:pt>
              <c:pt idx="377">
                <c:v>0.85250847269225571</c:v>
              </c:pt>
              <c:pt idx="380">
                <c:v>0.85250847269225571</c:v>
              </c:pt>
              <c:pt idx="381">
                <c:v>0.85250847269225571</c:v>
              </c:pt>
              <c:pt idx="382">
                <c:v>0.85250847269225571</c:v>
              </c:pt>
              <c:pt idx="383">
                <c:v>0.85303786915094248</c:v>
              </c:pt>
              <c:pt idx="384">
                <c:v>0.85303786915094248</c:v>
              </c:pt>
              <c:pt idx="385">
                <c:v>0.85356726560962926</c:v>
              </c:pt>
              <c:pt idx="386">
                <c:v>0.85356726560962926</c:v>
              </c:pt>
              <c:pt idx="387">
                <c:v>0.85409666206831603</c:v>
              </c:pt>
              <c:pt idx="388">
                <c:v>0.85409666206831603</c:v>
              </c:pt>
              <c:pt idx="389">
                <c:v>0.8546260585270028</c:v>
              </c:pt>
              <c:pt idx="390">
                <c:v>0.8546260585270028</c:v>
              </c:pt>
              <c:pt idx="391">
                <c:v>0.85515545498568957</c:v>
              </c:pt>
              <c:pt idx="392">
                <c:v>0.85515545498568957</c:v>
              </c:pt>
              <c:pt idx="393">
                <c:v>0.85568485144437634</c:v>
              </c:pt>
              <c:pt idx="394">
                <c:v>0.85568485144437634</c:v>
              </c:pt>
              <c:pt idx="395">
                <c:v>0.85581720055904809</c:v>
              </c:pt>
              <c:pt idx="396">
                <c:v>0.85581720055904809</c:v>
              </c:pt>
              <c:pt idx="399">
                <c:v>0.85581720055904809</c:v>
              </c:pt>
              <c:pt idx="400">
                <c:v>0.85581720055904809</c:v>
              </c:pt>
              <c:pt idx="401">
                <c:v>0.85581720055904809</c:v>
              </c:pt>
              <c:pt idx="402">
                <c:v>0.85634659701773486</c:v>
              </c:pt>
              <c:pt idx="403">
                <c:v>0.85634659701773486</c:v>
              </c:pt>
              <c:pt idx="404">
                <c:v>0.85687599347642163</c:v>
              </c:pt>
              <c:pt idx="405">
                <c:v>0.85687599347642163</c:v>
              </c:pt>
              <c:pt idx="406">
                <c:v>0.8574053899351084</c:v>
              </c:pt>
              <c:pt idx="407">
                <c:v>0.8574053899351084</c:v>
              </c:pt>
              <c:pt idx="408">
                <c:v>0.85793478639379517</c:v>
              </c:pt>
              <c:pt idx="409">
                <c:v>0.85793478639379517</c:v>
              </c:pt>
              <c:pt idx="410">
                <c:v>0.85846418285248194</c:v>
              </c:pt>
              <c:pt idx="411">
                <c:v>0.85846418285248194</c:v>
              </c:pt>
              <c:pt idx="412">
                <c:v>0.85899357931116871</c:v>
              </c:pt>
              <c:pt idx="413">
                <c:v>0.85899357931116871</c:v>
              </c:pt>
              <c:pt idx="414">
                <c:v>0.85912592842584035</c:v>
              </c:pt>
              <c:pt idx="415">
                <c:v>0.85912592842584035</c:v>
              </c:pt>
              <c:pt idx="418">
                <c:v>0.85912592842584035</c:v>
              </c:pt>
              <c:pt idx="419">
                <c:v>0.85912592842584035</c:v>
              </c:pt>
              <c:pt idx="420">
                <c:v>0.85912592842584035</c:v>
              </c:pt>
              <c:pt idx="421">
                <c:v>0.85965532488452712</c:v>
              </c:pt>
              <c:pt idx="422">
                <c:v>0.85965532488452712</c:v>
              </c:pt>
              <c:pt idx="423">
                <c:v>0.86018472134321389</c:v>
              </c:pt>
              <c:pt idx="424">
                <c:v>0.86018472134321389</c:v>
              </c:pt>
              <c:pt idx="425">
                <c:v>0.86071411780190066</c:v>
              </c:pt>
              <c:pt idx="426">
                <c:v>0.86071411780190066</c:v>
              </c:pt>
              <c:pt idx="427">
                <c:v>0.86124351426058743</c:v>
              </c:pt>
              <c:pt idx="428">
                <c:v>0.86124351426058743</c:v>
              </c:pt>
              <c:pt idx="429">
                <c:v>0.8617729107192742</c:v>
              </c:pt>
              <c:pt idx="430">
                <c:v>0.8617729107192742</c:v>
              </c:pt>
              <c:pt idx="431">
                <c:v>0.86230230717796097</c:v>
              </c:pt>
              <c:pt idx="432">
                <c:v>0.86230230717796097</c:v>
              </c:pt>
              <c:pt idx="433">
                <c:v>0.86243465629263272</c:v>
              </c:pt>
              <c:pt idx="434">
                <c:v>0.86243465629263272</c:v>
              </c:pt>
              <c:pt idx="437">
                <c:v>0.86243465629263272</c:v>
              </c:pt>
              <c:pt idx="438">
                <c:v>0.86243465629263272</c:v>
              </c:pt>
              <c:pt idx="439">
                <c:v>0.86243465629263272</c:v>
              </c:pt>
              <c:pt idx="440">
                <c:v>0.86296405275131949</c:v>
              </c:pt>
              <c:pt idx="441">
                <c:v>0.86296405275131949</c:v>
              </c:pt>
              <c:pt idx="442">
                <c:v>0.86349344921000626</c:v>
              </c:pt>
              <c:pt idx="443">
                <c:v>0.86349344921000626</c:v>
              </c:pt>
              <c:pt idx="444">
                <c:v>0.86402284566869303</c:v>
              </c:pt>
              <c:pt idx="445">
                <c:v>0.86402284566869303</c:v>
              </c:pt>
              <c:pt idx="446">
                <c:v>0.8645522421273798</c:v>
              </c:pt>
              <c:pt idx="447">
                <c:v>0.8645522421273798</c:v>
              </c:pt>
              <c:pt idx="448">
                <c:v>0.86508163858606657</c:v>
              </c:pt>
              <c:pt idx="449">
                <c:v>0.86508163858606657</c:v>
              </c:pt>
              <c:pt idx="450">
                <c:v>0.86561103504475334</c:v>
              </c:pt>
              <c:pt idx="451">
                <c:v>0.86561103504475334</c:v>
              </c:pt>
              <c:pt idx="452">
                <c:v>0.86574338415942509</c:v>
              </c:pt>
              <c:pt idx="453">
                <c:v>0.86574338415942509</c:v>
              </c:pt>
              <c:pt idx="456">
                <c:v>0.86574338415942509</c:v>
              </c:pt>
              <c:pt idx="457">
                <c:v>0.86574338415942509</c:v>
              </c:pt>
              <c:pt idx="458">
                <c:v>0.86574338415942509</c:v>
              </c:pt>
              <c:pt idx="459">
                <c:v>0.86627278061811186</c:v>
              </c:pt>
              <c:pt idx="460">
                <c:v>0.86627278061811186</c:v>
              </c:pt>
              <c:pt idx="461">
                <c:v>0.86680217707679863</c:v>
              </c:pt>
              <c:pt idx="462">
                <c:v>0.86680217707679863</c:v>
              </c:pt>
              <c:pt idx="463">
                <c:v>0.8673315735354854</c:v>
              </c:pt>
              <c:pt idx="464">
                <c:v>0.8673315735354854</c:v>
              </c:pt>
              <c:pt idx="465">
                <c:v>0.86786096999417217</c:v>
              </c:pt>
              <c:pt idx="466">
                <c:v>0.86786096999417217</c:v>
              </c:pt>
              <c:pt idx="467">
                <c:v>0.86839036645285894</c:v>
              </c:pt>
              <c:pt idx="468">
                <c:v>0.86839036645285894</c:v>
              </c:pt>
              <c:pt idx="469">
                <c:v>0.86891976291154571</c:v>
              </c:pt>
              <c:pt idx="470">
                <c:v>0.86891976291154571</c:v>
              </c:pt>
              <c:pt idx="471">
                <c:v>0.86905211202621746</c:v>
              </c:pt>
              <c:pt idx="472">
                <c:v>0.86905211202621746</c:v>
              </c:pt>
              <c:pt idx="475">
                <c:v>0.86905211202621746</c:v>
              </c:pt>
              <c:pt idx="476">
                <c:v>0.86905211202621746</c:v>
              </c:pt>
              <c:pt idx="477">
                <c:v>0.86905211202621746</c:v>
              </c:pt>
              <c:pt idx="478">
                <c:v>0.86958150848490423</c:v>
              </c:pt>
              <c:pt idx="479">
                <c:v>0.86958150848490423</c:v>
              </c:pt>
              <c:pt idx="480">
                <c:v>0.870110904943591</c:v>
              </c:pt>
              <c:pt idx="481">
                <c:v>0.870110904943591</c:v>
              </c:pt>
              <c:pt idx="482">
                <c:v>0.87064030140227777</c:v>
              </c:pt>
              <c:pt idx="483">
                <c:v>0.87064030140227777</c:v>
              </c:pt>
              <c:pt idx="484">
                <c:v>0.87116969786096454</c:v>
              </c:pt>
              <c:pt idx="485">
                <c:v>0.87116969786096454</c:v>
              </c:pt>
              <c:pt idx="486">
                <c:v>0.87169909431965131</c:v>
              </c:pt>
              <c:pt idx="487">
                <c:v>0.87169909431965131</c:v>
              </c:pt>
              <c:pt idx="488">
                <c:v>0.87222849077833808</c:v>
              </c:pt>
              <c:pt idx="489">
                <c:v>0.87222849077833808</c:v>
              </c:pt>
              <c:pt idx="490">
                <c:v>0.87236083989300983</c:v>
              </c:pt>
              <c:pt idx="491">
                <c:v>0.87236083989300983</c:v>
              </c:pt>
              <c:pt idx="494">
                <c:v>0.87236083989300983</c:v>
              </c:pt>
              <c:pt idx="495">
                <c:v>0.87236083989300983</c:v>
              </c:pt>
              <c:pt idx="496">
                <c:v>0.87236083989300983</c:v>
              </c:pt>
              <c:pt idx="497">
                <c:v>0.8728902363516966</c:v>
              </c:pt>
              <c:pt idx="498">
                <c:v>0.8728902363516966</c:v>
              </c:pt>
              <c:pt idx="499">
                <c:v>0.87341963281038337</c:v>
              </c:pt>
              <c:pt idx="500">
                <c:v>0.87341963281038337</c:v>
              </c:pt>
              <c:pt idx="501">
                <c:v>0.87394902926907014</c:v>
              </c:pt>
              <c:pt idx="502">
                <c:v>0.87394902926907014</c:v>
              </c:pt>
              <c:pt idx="503">
                <c:v>0.87447842572775691</c:v>
              </c:pt>
              <c:pt idx="504">
                <c:v>0.87447842572775691</c:v>
              </c:pt>
              <c:pt idx="505">
                <c:v>0.87500782218644368</c:v>
              </c:pt>
              <c:pt idx="506">
                <c:v>0.87500782218644368</c:v>
              </c:pt>
              <c:pt idx="507">
                <c:v>0.87553721864513046</c:v>
              </c:pt>
              <c:pt idx="508">
                <c:v>0.87553721864513046</c:v>
              </c:pt>
              <c:pt idx="509">
                <c:v>0.87566956775980209</c:v>
              </c:pt>
              <c:pt idx="510">
                <c:v>0.87566956775980209</c:v>
              </c:pt>
              <c:pt idx="513">
                <c:v>0.87566956775980209</c:v>
              </c:pt>
              <c:pt idx="514">
                <c:v>0.87566956775980209</c:v>
              </c:pt>
              <c:pt idx="515">
                <c:v>0.87566956775980209</c:v>
              </c:pt>
              <c:pt idx="516">
                <c:v>0.87619896421848886</c:v>
              </c:pt>
              <c:pt idx="517">
                <c:v>0.87619896421848886</c:v>
              </c:pt>
              <c:pt idx="518">
                <c:v>0.87672836067717563</c:v>
              </c:pt>
              <c:pt idx="519">
                <c:v>0.87672836067717563</c:v>
              </c:pt>
              <c:pt idx="520">
                <c:v>0.8772577571358624</c:v>
              </c:pt>
              <c:pt idx="521">
                <c:v>0.8772577571358624</c:v>
              </c:pt>
              <c:pt idx="522">
                <c:v>0.87778715359454917</c:v>
              </c:pt>
              <c:pt idx="523">
                <c:v>0.87778715359454917</c:v>
              </c:pt>
              <c:pt idx="524">
                <c:v>0.87831655005323594</c:v>
              </c:pt>
              <c:pt idx="525">
                <c:v>0.87831655005323594</c:v>
              </c:pt>
              <c:pt idx="526">
                <c:v>0.87884594651192272</c:v>
              </c:pt>
              <c:pt idx="527">
                <c:v>0.87884594651192272</c:v>
              </c:pt>
              <c:pt idx="528">
                <c:v>0.87897829562659446</c:v>
              </c:pt>
              <c:pt idx="529">
                <c:v>0.87897829562659446</c:v>
              </c:pt>
              <c:pt idx="532">
                <c:v>0.87897829562659446</c:v>
              </c:pt>
              <c:pt idx="533">
                <c:v>0.87897829562659446</c:v>
              </c:pt>
              <c:pt idx="534">
                <c:v>0.87897829562659446</c:v>
              </c:pt>
              <c:pt idx="535">
                <c:v>0.87950769208528123</c:v>
              </c:pt>
              <c:pt idx="536">
                <c:v>0.87950769208528123</c:v>
              </c:pt>
              <c:pt idx="537">
                <c:v>0.880037088543968</c:v>
              </c:pt>
              <c:pt idx="538">
                <c:v>0.880037088543968</c:v>
              </c:pt>
              <c:pt idx="539">
                <c:v>0.88056648500265478</c:v>
              </c:pt>
              <c:pt idx="540">
                <c:v>0.88056648500265478</c:v>
              </c:pt>
              <c:pt idx="541">
                <c:v>0.88109588146134155</c:v>
              </c:pt>
              <c:pt idx="542">
                <c:v>0.88109588146134155</c:v>
              </c:pt>
              <c:pt idx="543">
                <c:v>0.88162527792002832</c:v>
              </c:pt>
              <c:pt idx="544">
                <c:v>0.88162527792002832</c:v>
              </c:pt>
              <c:pt idx="545">
                <c:v>0.88215467437871509</c:v>
              </c:pt>
              <c:pt idx="546">
                <c:v>0.88215467437871509</c:v>
              </c:pt>
              <c:pt idx="547">
                <c:v>0.88228702349338683</c:v>
              </c:pt>
              <c:pt idx="548">
                <c:v>0.88228702349338683</c:v>
              </c:pt>
              <c:pt idx="551">
                <c:v>0.88228702349338683</c:v>
              </c:pt>
              <c:pt idx="552">
                <c:v>0.88228702349338683</c:v>
              </c:pt>
              <c:pt idx="553">
                <c:v>0.88228702349338683</c:v>
              </c:pt>
              <c:pt idx="554">
                <c:v>0.88281641995207361</c:v>
              </c:pt>
              <c:pt idx="555">
                <c:v>0.88281641995207361</c:v>
              </c:pt>
              <c:pt idx="556">
                <c:v>0.88334581641076038</c:v>
              </c:pt>
              <c:pt idx="557">
                <c:v>0.88334581641076038</c:v>
              </c:pt>
              <c:pt idx="558">
                <c:v>0.88387521286944715</c:v>
              </c:pt>
              <c:pt idx="559">
                <c:v>0.88387521286944715</c:v>
              </c:pt>
              <c:pt idx="560">
                <c:v>0.88440460932813392</c:v>
              </c:pt>
              <c:pt idx="561">
                <c:v>0.88440460932813392</c:v>
              </c:pt>
              <c:pt idx="562">
                <c:v>0.88493400578682069</c:v>
              </c:pt>
              <c:pt idx="563">
                <c:v>0.88493400578682069</c:v>
              </c:pt>
              <c:pt idx="564">
                <c:v>0.88546340224550746</c:v>
              </c:pt>
              <c:pt idx="565">
                <c:v>0.88546340224550746</c:v>
              </c:pt>
              <c:pt idx="566">
                <c:v>0.8855957513601791</c:v>
              </c:pt>
              <c:pt idx="567">
                <c:v>0.8855957513601791</c:v>
              </c:pt>
              <c:pt idx="570">
                <c:v>0.8855957513601791</c:v>
              </c:pt>
              <c:pt idx="571">
                <c:v>0.8855957513601791</c:v>
              </c:pt>
              <c:pt idx="572">
                <c:v>0.8855957513601791</c:v>
              </c:pt>
              <c:pt idx="573">
                <c:v>0.88612514781886587</c:v>
              </c:pt>
              <c:pt idx="574">
                <c:v>0.88612514781886587</c:v>
              </c:pt>
              <c:pt idx="575">
                <c:v>0.88665454427755264</c:v>
              </c:pt>
              <c:pt idx="576">
                <c:v>0.88665454427755264</c:v>
              </c:pt>
              <c:pt idx="577">
                <c:v>0.88718394073623941</c:v>
              </c:pt>
              <c:pt idx="578">
                <c:v>0.88718394073623941</c:v>
              </c:pt>
              <c:pt idx="579">
                <c:v>0.88771333719492618</c:v>
              </c:pt>
              <c:pt idx="580">
                <c:v>0.88771333719492618</c:v>
              </c:pt>
              <c:pt idx="581">
                <c:v>0.88824273365361295</c:v>
              </c:pt>
              <c:pt idx="582">
                <c:v>0.88824273365361295</c:v>
              </c:pt>
              <c:pt idx="583">
                <c:v>0.88877213011229972</c:v>
              </c:pt>
              <c:pt idx="584">
                <c:v>0.88877213011229972</c:v>
              </c:pt>
              <c:pt idx="585">
                <c:v>0.88890447922697147</c:v>
              </c:pt>
              <c:pt idx="586">
                <c:v>0.88890447922697147</c:v>
              </c:pt>
              <c:pt idx="589">
                <c:v>0.88890447922697147</c:v>
              </c:pt>
              <c:pt idx="590">
                <c:v>0.88890447922697147</c:v>
              </c:pt>
              <c:pt idx="591">
                <c:v>0.88890447922697147</c:v>
              </c:pt>
              <c:pt idx="592">
                <c:v>0.88943387568565824</c:v>
              </c:pt>
              <c:pt idx="593">
                <c:v>0.88943387568565824</c:v>
              </c:pt>
              <c:pt idx="594">
                <c:v>0.88996327214434501</c:v>
              </c:pt>
              <c:pt idx="595">
                <c:v>0.88996327214434501</c:v>
              </c:pt>
              <c:pt idx="596">
                <c:v>0.89049266860303178</c:v>
              </c:pt>
              <c:pt idx="597">
                <c:v>0.89049266860303178</c:v>
              </c:pt>
              <c:pt idx="598">
                <c:v>0.89102206506171855</c:v>
              </c:pt>
              <c:pt idx="599">
                <c:v>0.89102206506171855</c:v>
              </c:pt>
              <c:pt idx="600">
                <c:v>0.89155146152040532</c:v>
              </c:pt>
              <c:pt idx="601">
                <c:v>0.89155146152040532</c:v>
              </c:pt>
              <c:pt idx="602">
                <c:v>0.89208085797909209</c:v>
              </c:pt>
              <c:pt idx="603">
                <c:v>0.89208085797909209</c:v>
              </c:pt>
              <c:pt idx="604">
                <c:v>0.89221320709376384</c:v>
              </c:pt>
              <c:pt idx="605">
                <c:v>0.89221320709376384</c:v>
              </c:pt>
              <c:pt idx="608">
                <c:v>0.89221320709376384</c:v>
              </c:pt>
              <c:pt idx="609">
                <c:v>0.89221320709376384</c:v>
              </c:pt>
              <c:pt idx="610">
                <c:v>0.89221320709376384</c:v>
              </c:pt>
              <c:pt idx="611">
                <c:v>0.89274260355245061</c:v>
              </c:pt>
              <c:pt idx="612">
                <c:v>0.89274260355245061</c:v>
              </c:pt>
              <c:pt idx="613">
                <c:v>0.89327200001113738</c:v>
              </c:pt>
              <c:pt idx="614">
                <c:v>0.89327200001113738</c:v>
              </c:pt>
              <c:pt idx="615">
                <c:v>0.89380139646982415</c:v>
              </c:pt>
              <c:pt idx="616">
                <c:v>0.89380139646982415</c:v>
              </c:pt>
              <c:pt idx="617">
                <c:v>0.89433079292851092</c:v>
              </c:pt>
              <c:pt idx="618">
                <c:v>0.89433079292851092</c:v>
              </c:pt>
              <c:pt idx="619">
                <c:v>0.89486018938719769</c:v>
              </c:pt>
              <c:pt idx="620">
                <c:v>0.89486018938719769</c:v>
              </c:pt>
              <c:pt idx="621">
                <c:v>0.89538958584588446</c:v>
              </c:pt>
              <c:pt idx="622">
                <c:v>0.89538958584588446</c:v>
              </c:pt>
              <c:pt idx="623">
                <c:v>0.89552193496055621</c:v>
              </c:pt>
              <c:pt idx="624">
                <c:v>0.89552193496055621</c:v>
              </c:pt>
              <c:pt idx="627">
                <c:v>0.89552193496055621</c:v>
              </c:pt>
              <c:pt idx="628">
                <c:v>0.89552193496055621</c:v>
              </c:pt>
              <c:pt idx="629">
                <c:v>0.89552193496055621</c:v>
              </c:pt>
              <c:pt idx="630">
                <c:v>0.89605133141924298</c:v>
              </c:pt>
              <c:pt idx="631">
                <c:v>0.89605133141924298</c:v>
              </c:pt>
              <c:pt idx="632">
                <c:v>0.89658072787792975</c:v>
              </c:pt>
              <c:pt idx="633">
                <c:v>0.89658072787792975</c:v>
              </c:pt>
              <c:pt idx="634">
                <c:v>0.89711012433661652</c:v>
              </c:pt>
              <c:pt idx="635">
                <c:v>0.89711012433661652</c:v>
              </c:pt>
              <c:pt idx="636">
                <c:v>0.89763952079530329</c:v>
              </c:pt>
              <c:pt idx="637">
                <c:v>0.89763952079530329</c:v>
              </c:pt>
              <c:pt idx="638">
                <c:v>0.89816891725399006</c:v>
              </c:pt>
              <c:pt idx="639">
                <c:v>0.89816891725399006</c:v>
              </c:pt>
              <c:pt idx="640">
                <c:v>0.89869831371267683</c:v>
              </c:pt>
              <c:pt idx="641">
                <c:v>0.89869831371267683</c:v>
              </c:pt>
              <c:pt idx="642">
                <c:v>0.89883066282734858</c:v>
              </c:pt>
              <c:pt idx="643">
                <c:v>0.89883066282734858</c:v>
              </c:pt>
              <c:pt idx="646">
                <c:v>0.89883066282734858</c:v>
              </c:pt>
              <c:pt idx="647">
                <c:v>0.89883066282734858</c:v>
              </c:pt>
              <c:pt idx="648">
                <c:v>0.89883066282734858</c:v>
              </c:pt>
              <c:pt idx="649">
                <c:v>0.89936005928603535</c:v>
              </c:pt>
              <c:pt idx="650">
                <c:v>0.89936005928603535</c:v>
              </c:pt>
              <c:pt idx="651">
                <c:v>0.89988945574472212</c:v>
              </c:pt>
              <c:pt idx="652">
                <c:v>0.89988945574472212</c:v>
              </c:pt>
              <c:pt idx="653">
                <c:v>0.90041885220340889</c:v>
              </c:pt>
              <c:pt idx="654">
                <c:v>0.90041885220340889</c:v>
              </c:pt>
              <c:pt idx="655">
                <c:v>0.90094824866209566</c:v>
              </c:pt>
              <c:pt idx="656">
                <c:v>0.90094824866209566</c:v>
              </c:pt>
              <c:pt idx="657">
                <c:v>0.90147764512078243</c:v>
              </c:pt>
              <c:pt idx="658">
                <c:v>0.90147764512078243</c:v>
              </c:pt>
              <c:pt idx="659">
                <c:v>0.9020070415794692</c:v>
              </c:pt>
              <c:pt idx="660">
                <c:v>0.9020070415794692</c:v>
              </c:pt>
              <c:pt idx="661">
                <c:v>0.90213939069414084</c:v>
              </c:pt>
              <c:pt idx="662">
                <c:v>0.90213939069414084</c:v>
              </c:pt>
              <c:pt idx="665">
                <c:v>0.90213939069414084</c:v>
              </c:pt>
              <c:pt idx="666">
                <c:v>0.90213939069414084</c:v>
              </c:pt>
              <c:pt idx="667">
                <c:v>0.90213939069414084</c:v>
              </c:pt>
              <c:pt idx="668">
                <c:v>0.90266878715282761</c:v>
              </c:pt>
              <c:pt idx="669">
                <c:v>0.90266878715282761</c:v>
              </c:pt>
              <c:pt idx="670">
                <c:v>0.90319818361151438</c:v>
              </c:pt>
              <c:pt idx="671">
                <c:v>0.90319818361151438</c:v>
              </c:pt>
              <c:pt idx="672">
                <c:v>0.90372758007020115</c:v>
              </c:pt>
              <c:pt idx="673">
                <c:v>0.90372758007020115</c:v>
              </c:pt>
              <c:pt idx="674">
                <c:v>0.90425697652888792</c:v>
              </c:pt>
              <c:pt idx="675">
                <c:v>0.90425697652888792</c:v>
              </c:pt>
              <c:pt idx="676">
                <c:v>0.90478637298757469</c:v>
              </c:pt>
              <c:pt idx="677">
                <c:v>0.90478637298757469</c:v>
              </c:pt>
              <c:pt idx="678">
                <c:v>0.90531576944626146</c:v>
              </c:pt>
              <c:pt idx="679">
                <c:v>0.90531576944626146</c:v>
              </c:pt>
              <c:pt idx="680">
                <c:v>0.90544811856093321</c:v>
              </c:pt>
              <c:pt idx="681">
                <c:v>0.90544811856093321</c:v>
              </c:pt>
              <c:pt idx="684">
                <c:v>0.90544811856093321</c:v>
              </c:pt>
              <c:pt idx="685">
                <c:v>0.90544811856093321</c:v>
              </c:pt>
              <c:pt idx="686">
                <c:v>0.90544811856093321</c:v>
              </c:pt>
              <c:pt idx="687">
                <c:v>0.90597751501961998</c:v>
              </c:pt>
              <c:pt idx="688">
                <c:v>0.90597751501961998</c:v>
              </c:pt>
              <c:pt idx="689">
                <c:v>0.90650691147830675</c:v>
              </c:pt>
              <c:pt idx="690">
                <c:v>0.90650691147830675</c:v>
              </c:pt>
              <c:pt idx="691">
                <c:v>0.90703630793699352</c:v>
              </c:pt>
              <c:pt idx="692">
                <c:v>0.90703630793699352</c:v>
              </c:pt>
              <c:pt idx="693">
                <c:v>0.90756570439568029</c:v>
              </c:pt>
              <c:pt idx="694">
                <c:v>0.90756570439568029</c:v>
              </c:pt>
              <c:pt idx="695">
                <c:v>0.90809510085436707</c:v>
              </c:pt>
              <c:pt idx="696">
                <c:v>0.90809510085436707</c:v>
              </c:pt>
              <c:pt idx="697">
                <c:v>0.90862449731305384</c:v>
              </c:pt>
              <c:pt idx="698">
                <c:v>0.90862449731305384</c:v>
              </c:pt>
              <c:pt idx="699">
                <c:v>0.90875684642772558</c:v>
              </c:pt>
              <c:pt idx="700">
                <c:v>0.90875684642772558</c:v>
              </c:pt>
              <c:pt idx="703">
                <c:v>0.90875684642772558</c:v>
              </c:pt>
              <c:pt idx="704">
                <c:v>0.90875684642772558</c:v>
              </c:pt>
              <c:pt idx="705">
                <c:v>0.90875684642772558</c:v>
              </c:pt>
              <c:pt idx="706">
                <c:v>0.90928624288641235</c:v>
              </c:pt>
              <c:pt idx="707">
                <c:v>0.90928624288641235</c:v>
              </c:pt>
              <c:pt idx="708">
                <c:v>0.90981563934509913</c:v>
              </c:pt>
              <c:pt idx="709">
                <c:v>0.90981563934509913</c:v>
              </c:pt>
              <c:pt idx="710">
                <c:v>0.9103450358037859</c:v>
              </c:pt>
              <c:pt idx="711">
                <c:v>0.9103450358037859</c:v>
              </c:pt>
              <c:pt idx="712">
                <c:v>0.91087443226247267</c:v>
              </c:pt>
              <c:pt idx="713">
                <c:v>0.91087443226247267</c:v>
              </c:pt>
              <c:pt idx="714">
                <c:v>0.91140382872115944</c:v>
              </c:pt>
              <c:pt idx="715">
                <c:v>0.91140382872115944</c:v>
              </c:pt>
              <c:pt idx="716">
                <c:v>0.91193322517984621</c:v>
              </c:pt>
              <c:pt idx="717">
                <c:v>0.91193322517984621</c:v>
              </c:pt>
              <c:pt idx="718">
                <c:v>0.91206557429451784</c:v>
              </c:pt>
              <c:pt idx="719">
                <c:v>0.91206557429451784</c:v>
              </c:pt>
              <c:pt idx="722">
                <c:v>0.91206557429451784</c:v>
              </c:pt>
              <c:pt idx="723">
                <c:v>0.91206557429451784</c:v>
              </c:pt>
              <c:pt idx="724">
                <c:v>0.91206557429451784</c:v>
              </c:pt>
              <c:pt idx="725">
                <c:v>0.91259497075320462</c:v>
              </c:pt>
              <c:pt idx="726">
                <c:v>0.91259497075320462</c:v>
              </c:pt>
              <c:pt idx="727">
                <c:v>0.91312436721189139</c:v>
              </c:pt>
              <c:pt idx="728">
                <c:v>0.91312436721189139</c:v>
              </c:pt>
              <c:pt idx="729">
                <c:v>0.91365376367057816</c:v>
              </c:pt>
              <c:pt idx="730">
                <c:v>0.91365376367057816</c:v>
              </c:pt>
              <c:pt idx="731">
                <c:v>0.91418316012926493</c:v>
              </c:pt>
              <c:pt idx="732">
                <c:v>0.91418316012926493</c:v>
              </c:pt>
              <c:pt idx="733">
                <c:v>0.9147125565879517</c:v>
              </c:pt>
              <c:pt idx="734">
                <c:v>0.9147125565879517</c:v>
              </c:pt>
              <c:pt idx="735">
                <c:v>0.91524195304663847</c:v>
              </c:pt>
              <c:pt idx="736">
                <c:v>0.91524195304663847</c:v>
              </c:pt>
              <c:pt idx="737">
                <c:v>0.91537430216131022</c:v>
              </c:pt>
              <c:pt idx="738">
                <c:v>0.91537430216131022</c:v>
              </c:pt>
              <c:pt idx="741">
                <c:v>0.91537430216131022</c:v>
              </c:pt>
              <c:pt idx="742">
                <c:v>0.91537430216131022</c:v>
              </c:pt>
              <c:pt idx="743">
                <c:v>0.91537430216131022</c:v>
              </c:pt>
              <c:pt idx="744">
                <c:v>0.91590369861999699</c:v>
              </c:pt>
              <c:pt idx="745">
                <c:v>0.91590369861999699</c:v>
              </c:pt>
              <c:pt idx="746">
                <c:v>0.91643309507868376</c:v>
              </c:pt>
              <c:pt idx="747">
                <c:v>0.91643309507868376</c:v>
              </c:pt>
              <c:pt idx="748">
                <c:v>0.91696249153737053</c:v>
              </c:pt>
              <c:pt idx="749">
                <c:v>0.91696249153737053</c:v>
              </c:pt>
              <c:pt idx="750">
                <c:v>0.9174918879960573</c:v>
              </c:pt>
              <c:pt idx="751">
                <c:v>0.9174918879960573</c:v>
              </c:pt>
              <c:pt idx="752">
                <c:v>0.91802128445474407</c:v>
              </c:pt>
              <c:pt idx="753">
                <c:v>0.91802128445474407</c:v>
              </c:pt>
              <c:pt idx="754">
                <c:v>0.91855068091343084</c:v>
              </c:pt>
              <c:pt idx="755">
                <c:v>0.91855068091343084</c:v>
              </c:pt>
              <c:pt idx="756">
                <c:v>0.91868303002810259</c:v>
              </c:pt>
              <c:pt idx="757">
                <c:v>0.91868303002810259</c:v>
              </c:pt>
            </c:numLit>
          </c:xVal>
          <c:yVal>
            <c:numLit>
              <c:formatCode>General</c:formatCode>
              <c:ptCount val="759"/>
              <c:pt idx="0">
                <c:v>0</c:v>
              </c:pt>
              <c:pt idx="1">
                <c:v>0</c:v>
              </c:pt>
              <c:pt idx="2">
                <c:v>9.0669288039947921E-2</c:v>
              </c:pt>
              <c:pt idx="3">
                <c:v>9.0669288039947921E-2</c:v>
              </c:pt>
              <c:pt idx="4">
                <c:v>0</c:v>
              </c:pt>
              <c:pt idx="5">
                <c:v>0</c:v>
              </c:pt>
              <c:pt idx="6">
                <c:v>9.0669288039947921E-2</c:v>
              </c:pt>
              <c:pt idx="7">
                <c:v>9.0669288039947921E-2</c:v>
              </c:pt>
              <c:pt idx="8">
                <c:v>0</c:v>
              </c:pt>
              <c:pt idx="9">
                <c:v>0</c:v>
              </c:pt>
              <c:pt idx="10">
                <c:v>9.0669288039947921E-2</c:v>
              </c:pt>
              <c:pt idx="11">
                <c:v>9.0669288039947921E-2</c:v>
              </c:pt>
              <c:pt idx="12">
                <c:v>0</c:v>
              </c:pt>
              <c:pt idx="13">
                <c:v>0</c:v>
              </c:pt>
              <c:pt idx="14">
                <c:v>9.0669288039947921E-2</c:v>
              </c:pt>
              <c:pt idx="15">
                <c:v>9.0669288039947921E-2</c:v>
              </c:pt>
              <c:pt idx="16">
                <c:v>0</c:v>
              </c:pt>
              <c:pt idx="19">
                <c:v>0</c:v>
              </c:pt>
              <c:pt idx="20">
                <c:v>0</c:v>
              </c:pt>
              <c:pt idx="21">
                <c:v>0.30223096013315981</c:v>
              </c:pt>
              <c:pt idx="22">
                <c:v>0.30223096013315981</c:v>
              </c:pt>
              <c:pt idx="23">
                <c:v>0</c:v>
              </c:pt>
              <c:pt idx="24">
                <c:v>0</c:v>
              </c:pt>
              <c:pt idx="25">
                <c:v>0.30223096013315981</c:v>
              </c:pt>
              <c:pt idx="26">
                <c:v>0.30223096013315981</c:v>
              </c:pt>
              <c:pt idx="27">
                <c:v>0</c:v>
              </c:pt>
              <c:pt idx="28">
                <c:v>0</c:v>
              </c:pt>
              <c:pt idx="29">
                <c:v>0.30223096013315981</c:v>
              </c:pt>
              <c:pt idx="30">
                <c:v>0.30223096013315981</c:v>
              </c:pt>
              <c:pt idx="31">
                <c:v>0</c:v>
              </c:pt>
              <c:pt idx="32">
                <c:v>0</c:v>
              </c:pt>
              <c:pt idx="33">
                <c:v>0.30223096013315981</c:v>
              </c:pt>
              <c:pt idx="34">
                <c:v>0.30223096013315981</c:v>
              </c:pt>
              <c:pt idx="35">
                <c:v>0</c:v>
              </c:pt>
              <c:pt idx="38">
                <c:v>0</c:v>
              </c:pt>
              <c:pt idx="39">
                <c:v>0</c:v>
              </c:pt>
              <c:pt idx="40">
                <c:v>0.78580049634624172</c:v>
              </c:pt>
              <c:pt idx="41">
                <c:v>0.78580049634624172</c:v>
              </c:pt>
              <c:pt idx="42">
                <c:v>0</c:v>
              </c:pt>
              <c:pt idx="43">
                <c:v>0</c:v>
              </c:pt>
              <c:pt idx="44">
                <c:v>0.78580049634624172</c:v>
              </c:pt>
              <c:pt idx="45">
                <c:v>0.78580049634624172</c:v>
              </c:pt>
              <c:pt idx="46">
                <c:v>0</c:v>
              </c:pt>
              <c:pt idx="47">
                <c:v>0</c:v>
              </c:pt>
              <c:pt idx="48">
                <c:v>0.78580049634624172</c:v>
              </c:pt>
              <c:pt idx="49">
                <c:v>0.78580049634624172</c:v>
              </c:pt>
              <c:pt idx="50">
                <c:v>0</c:v>
              </c:pt>
              <c:pt idx="51">
                <c:v>0</c:v>
              </c:pt>
              <c:pt idx="52">
                <c:v>0.78580049634624172</c:v>
              </c:pt>
              <c:pt idx="53">
                <c:v>0.78580049634624172</c:v>
              </c:pt>
              <c:pt idx="54">
                <c:v>0</c:v>
              </c:pt>
              <c:pt idx="57">
                <c:v>0</c:v>
              </c:pt>
              <c:pt idx="58">
                <c:v>0</c:v>
              </c:pt>
              <c:pt idx="59">
                <c:v>1.2693700325592709</c:v>
              </c:pt>
              <c:pt idx="60">
                <c:v>1.2693700325592709</c:v>
              </c:pt>
              <c:pt idx="61">
                <c:v>0</c:v>
              </c:pt>
              <c:pt idx="62">
                <c:v>0</c:v>
              </c:pt>
              <c:pt idx="63">
                <c:v>1.2693700325592709</c:v>
              </c:pt>
              <c:pt idx="64">
                <c:v>1.2693700325592709</c:v>
              </c:pt>
              <c:pt idx="65">
                <c:v>0</c:v>
              </c:pt>
              <c:pt idx="66">
                <c:v>0</c:v>
              </c:pt>
              <c:pt idx="67">
                <c:v>1.2693700325592709</c:v>
              </c:pt>
              <c:pt idx="68">
                <c:v>1.2693700325592709</c:v>
              </c:pt>
              <c:pt idx="69">
                <c:v>0</c:v>
              </c:pt>
              <c:pt idx="70">
                <c:v>0</c:v>
              </c:pt>
              <c:pt idx="71">
                <c:v>1.2693700325592709</c:v>
              </c:pt>
              <c:pt idx="72">
                <c:v>1.2693700325592709</c:v>
              </c:pt>
              <c:pt idx="73">
                <c:v>0</c:v>
              </c:pt>
              <c:pt idx="76">
                <c:v>0</c:v>
              </c:pt>
              <c:pt idx="77">
                <c:v>0</c:v>
              </c:pt>
              <c:pt idx="78">
                <c:v>3.1129788893715458</c:v>
              </c:pt>
              <c:pt idx="79">
                <c:v>3.1129788893715458</c:v>
              </c:pt>
              <c:pt idx="80">
                <c:v>0</c:v>
              </c:pt>
              <c:pt idx="81">
                <c:v>0</c:v>
              </c:pt>
              <c:pt idx="82">
                <c:v>3.1129788893715458</c:v>
              </c:pt>
              <c:pt idx="83">
                <c:v>3.1129788893715458</c:v>
              </c:pt>
              <c:pt idx="84">
                <c:v>0</c:v>
              </c:pt>
              <c:pt idx="85">
                <c:v>0</c:v>
              </c:pt>
              <c:pt idx="86">
                <c:v>3.1129788893715458</c:v>
              </c:pt>
              <c:pt idx="87">
                <c:v>3.1129788893715458</c:v>
              </c:pt>
              <c:pt idx="88">
                <c:v>0</c:v>
              </c:pt>
              <c:pt idx="89">
                <c:v>0</c:v>
              </c:pt>
              <c:pt idx="90">
                <c:v>3.1129788893715458</c:v>
              </c:pt>
              <c:pt idx="91">
                <c:v>3.1129788893715458</c:v>
              </c:pt>
              <c:pt idx="92">
                <c:v>0</c:v>
              </c:pt>
              <c:pt idx="95">
                <c:v>0</c:v>
              </c:pt>
              <c:pt idx="96">
                <c:v>0</c:v>
              </c:pt>
              <c:pt idx="97">
                <c:v>5.6819420505035936</c:v>
              </c:pt>
              <c:pt idx="98">
                <c:v>5.6819420505035936</c:v>
              </c:pt>
              <c:pt idx="99">
                <c:v>0</c:v>
              </c:pt>
              <c:pt idx="100">
                <c:v>0</c:v>
              </c:pt>
              <c:pt idx="101">
                <c:v>5.6819420505035936</c:v>
              </c:pt>
              <c:pt idx="102">
                <c:v>5.6819420505035936</c:v>
              </c:pt>
              <c:pt idx="103">
                <c:v>0</c:v>
              </c:pt>
              <c:pt idx="104">
                <c:v>0</c:v>
              </c:pt>
              <c:pt idx="105">
                <c:v>5.6819420505035936</c:v>
              </c:pt>
              <c:pt idx="106">
                <c:v>5.6819420505035936</c:v>
              </c:pt>
              <c:pt idx="107">
                <c:v>0</c:v>
              </c:pt>
              <c:pt idx="108">
                <c:v>0</c:v>
              </c:pt>
              <c:pt idx="109">
                <c:v>5.6819420505035936</c:v>
              </c:pt>
              <c:pt idx="110">
                <c:v>5.6819420505035936</c:v>
              </c:pt>
              <c:pt idx="111">
                <c:v>0</c:v>
              </c:pt>
              <c:pt idx="114">
                <c:v>0</c:v>
              </c:pt>
              <c:pt idx="115">
                <c:v>0</c:v>
              </c:pt>
              <c:pt idx="116">
                <c:v>8.7344747478483207</c:v>
              </c:pt>
              <c:pt idx="117">
                <c:v>8.7344747478483207</c:v>
              </c:pt>
              <c:pt idx="118">
                <c:v>0</c:v>
              </c:pt>
              <c:pt idx="119">
                <c:v>0</c:v>
              </c:pt>
              <c:pt idx="120">
                <c:v>8.7344747478483207</c:v>
              </c:pt>
              <c:pt idx="121">
                <c:v>8.7344747478483207</c:v>
              </c:pt>
              <c:pt idx="122">
                <c:v>0</c:v>
              </c:pt>
              <c:pt idx="123">
                <c:v>0</c:v>
              </c:pt>
              <c:pt idx="124">
                <c:v>8.7344747478483207</c:v>
              </c:pt>
              <c:pt idx="125">
                <c:v>8.7344747478483207</c:v>
              </c:pt>
              <c:pt idx="126">
                <c:v>0</c:v>
              </c:pt>
              <c:pt idx="127">
                <c:v>0</c:v>
              </c:pt>
              <c:pt idx="128">
                <c:v>8.7344747478483207</c:v>
              </c:pt>
              <c:pt idx="129">
                <c:v>8.7344747478483207</c:v>
              </c:pt>
              <c:pt idx="130">
                <c:v>0</c:v>
              </c:pt>
              <c:pt idx="133">
                <c:v>0</c:v>
              </c:pt>
              <c:pt idx="134">
                <c:v>0</c:v>
              </c:pt>
              <c:pt idx="135">
                <c:v>10.910537660807066</c:v>
              </c:pt>
              <c:pt idx="136">
                <c:v>10.910537660807066</c:v>
              </c:pt>
              <c:pt idx="137">
                <c:v>0</c:v>
              </c:pt>
              <c:pt idx="138">
                <c:v>0</c:v>
              </c:pt>
              <c:pt idx="139">
                <c:v>10.910537660807066</c:v>
              </c:pt>
              <c:pt idx="140">
                <c:v>10.910537660807066</c:v>
              </c:pt>
              <c:pt idx="141">
                <c:v>0</c:v>
              </c:pt>
              <c:pt idx="142">
                <c:v>0</c:v>
              </c:pt>
              <c:pt idx="143">
                <c:v>10.910537660807066</c:v>
              </c:pt>
              <c:pt idx="144">
                <c:v>10.910537660807066</c:v>
              </c:pt>
              <c:pt idx="145">
                <c:v>0</c:v>
              </c:pt>
              <c:pt idx="146">
                <c:v>0</c:v>
              </c:pt>
              <c:pt idx="147">
                <c:v>10.910537660807066</c:v>
              </c:pt>
              <c:pt idx="148">
                <c:v>10.910537660807066</c:v>
              </c:pt>
              <c:pt idx="149">
                <c:v>0</c:v>
              </c:pt>
              <c:pt idx="152">
                <c:v>0</c:v>
              </c:pt>
              <c:pt idx="153">
                <c:v>0</c:v>
              </c:pt>
              <c:pt idx="154">
                <c:v>14.386193702338403</c:v>
              </c:pt>
              <c:pt idx="155">
                <c:v>14.386193702338403</c:v>
              </c:pt>
              <c:pt idx="156">
                <c:v>0</c:v>
              </c:pt>
              <c:pt idx="157">
                <c:v>0</c:v>
              </c:pt>
              <c:pt idx="158">
                <c:v>14.386193702338403</c:v>
              </c:pt>
              <c:pt idx="159">
                <c:v>14.386193702338403</c:v>
              </c:pt>
              <c:pt idx="160">
                <c:v>0</c:v>
              </c:pt>
              <c:pt idx="161">
                <c:v>0</c:v>
              </c:pt>
              <c:pt idx="162">
                <c:v>14.386193702338403</c:v>
              </c:pt>
              <c:pt idx="163">
                <c:v>14.386193702338403</c:v>
              </c:pt>
              <c:pt idx="164">
                <c:v>0</c:v>
              </c:pt>
              <c:pt idx="165">
                <c:v>0</c:v>
              </c:pt>
              <c:pt idx="166">
                <c:v>14.386193702338403</c:v>
              </c:pt>
              <c:pt idx="167">
                <c:v>14.386193702338403</c:v>
              </c:pt>
              <c:pt idx="168">
                <c:v>0</c:v>
              </c:pt>
              <c:pt idx="171">
                <c:v>0</c:v>
              </c:pt>
              <c:pt idx="172">
                <c:v>0</c:v>
              </c:pt>
              <c:pt idx="173">
                <c:v>16.894710671443633</c:v>
              </c:pt>
              <c:pt idx="174">
                <c:v>16.894710671443633</c:v>
              </c:pt>
              <c:pt idx="175">
                <c:v>0</c:v>
              </c:pt>
              <c:pt idx="176">
                <c:v>0</c:v>
              </c:pt>
              <c:pt idx="177">
                <c:v>16.894710671443633</c:v>
              </c:pt>
              <c:pt idx="178">
                <c:v>16.894710671443633</c:v>
              </c:pt>
              <c:pt idx="179">
                <c:v>0</c:v>
              </c:pt>
              <c:pt idx="180">
                <c:v>0</c:v>
              </c:pt>
              <c:pt idx="181">
                <c:v>16.894710671443633</c:v>
              </c:pt>
              <c:pt idx="182">
                <c:v>16.894710671443633</c:v>
              </c:pt>
              <c:pt idx="183">
                <c:v>0</c:v>
              </c:pt>
              <c:pt idx="184">
                <c:v>0</c:v>
              </c:pt>
              <c:pt idx="185">
                <c:v>16.894710671443633</c:v>
              </c:pt>
              <c:pt idx="186">
                <c:v>16.894710671443633</c:v>
              </c:pt>
              <c:pt idx="187">
                <c:v>0</c:v>
              </c:pt>
              <c:pt idx="190">
                <c:v>0</c:v>
              </c:pt>
              <c:pt idx="191">
                <c:v>0</c:v>
              </c:pt>
              <c:pt idx="192">
                <c:v>18.073411415963566</c:v>
              </c:pt>
              <c:pt idx="193">
                <c:v>18.073411415963566</c:v>
              </c:pt>
              <c:pt idx="194">
                <c:v>0</c:v>
              </c:pt>
              <c:pt idx="195">
                <c:v>0</c:v>
              </c:pt>
              <c:pt idx="196">
                <c:v>18.073411415963566</c:v>
              </c:pt>
              <c:pt idx="197">
                <c:v>18.073411415963566</c:v>
              </c:pt>
              <c:pt idx="198">
                <c:v>0</c:v>
              </c:pt>
              <c:pt idx="199">
                <c:v>0</c:v>
              </c:pt>
              <c:pt idx="200">
                <c:v>18.073411415963566</c:v>
              </c:pt>
              <c:pt idx="201">
                <c:v>18.073411415963566</c:v>
              </c:pt>
              <c:pt idx="202">
                <c:v>0</c:v>
              </c:pt>
              <c:pt idx="203">
                <c:v>0</c:v>
              </c:pt>
              <c:pt idx="204">
                <c:v>18.073411415963566</c:v>
              </c:pt>
              <c:pt idx="205">
                <c:v>18.073411415963566</c:v>
              </c:pt>
              <c:pt idx="206">
                <c:v>0</c:v>
              </c:pt>
              <c:pt idx="209">
                <c:v>0</c:v>
              </c:pt>
              <c:pt idx="210">
                <c:v>0</c:v>
              </c:pt>
              <c:pt idx="211">
                <c:v>18.587204048189324</c:v>
              </c:pt>
              <c:pt idx="212">
                <c:v>18.587204048189324</c:v>
              </c:pt>
              <c:pt idx="213">
                <c:v>0</c:v>
              </c:pt>
              <c:pt idx="214">
                <c:v>0</c:v>
              </c:pt>
              <c:pt idx="215">
                <c:v>18.587204048189324</c:v>
              </c:pt>
              <c:pt idx="216">
                <c:v>18.587204048189324</c:v>
              </c:pt>
              <c:pt idx="217">
                <c:v>0</c:v>
              </c:pt>
              <c:pt idx="218">
                <c:v>0</c:v>
              </c:pt>
              <c:pt idx="219">
                <c:v>18.587204048189324</c:v>
              </c:pt>
              <c:pt idx="220">
                <c:v>18.587204048189324</c:v>
              </c:pt>
              <c:pt idx="221">
                <c:v>0</c:v>
              </c:pt>
              <c:pt idx="222">
                <c:v>0</c:v>
              </c:pt>
              <c:pt idx="223">
                <c:v>18.587204048189324</c:v>
              </c:pt>
              <c:pt idx="224">
                <c:v>18.587204048189324</c:v>
              </c:pt>
              <c:pt idx="225">
                <c:v>0</c:v>
              </c:pt>
              <c:pt idx="228">
                <c:v>0</c:v>
              </c:pt>
              <c:pt idx="229">
                <c:v>0</c:v>
              </c:pt>
              <c:pt idx="230">
                <c:v>19.493896928588807</c:v>
              </c:pt>
              <c:pt idx="231">
                <c:v>19.493896928588807</c:v>
              </c:pt>
              <c:pt idx="232">
                <c:v>0</c:v>
              </c:pt>
              <c:pt idx="233">
                <c:v>0</c:v>
              </c:pt>
              <c:pt idx="234">
                <c:v>19.493896928588807</c:v>
              </c:pt>
              <c:pt idx="235">
                <c:v>19.493896928588807</c:v>
              </c:pt>
              <c:pt idx="236">
                <c:v>0</c:v>
              </c:pt>
              <c:pt idx="237">
                <c:v>0</c:v>
              </c:pt>
              <c:pt idx="238">
                <c:v>19.493896928588807</c:v>
              </c:pt>
              <c:pt idx="239">
                <c:v>19.493896928588807</c:v>
              </c:pt>
              <c:pt idx="240">
                <c:v>0</c:v>
              </c:pt>
              <c:pt idx="241">
                <c:v>0</c:v>
              </c:pt>
              <c:pt idx="242">
                <c:v>19.493896928588807</c:v>
              </c:pt>
              <c:pt idx="243">
                <c:v>19.493896928588807</c:v>
              </c:pt>
              <c:pt idx="244">
                <c:v>0</c:v>
              </c:pt>
              <c:pt idx="247">
                <c:v>0</c:v>
              </c:pt>
              <c:pt idx="248">
                <c:v>0</c:v>
              </c:pt>
              <c:pt idx="249">
                <c:v>18.466311664136679</c:v>
              </c:pt>
              <c:pt idx="250">
                <c:v>18.466311664136679</c:v>
              </c:pt>
              <c:pt idx="251">
                <c:v>0</c:v>
              </c:pt>
              <c:pt idx="252">
                <c:v>0</c:v>
              </c:pt>
              <c:pt idx="253">
                <c:v>18.466311664136679</c:v>
              </c:pt>
              <c:pt idx="254">
                <c:v>18.466311664136679</c:v>
              </c:pt>
              <c:pt idx="255">
                <c:v>0</c:v>
              </c:pt>
              <c:pt idx="256">
                <c:v>0</c:v>
              </c:pt>
              <c:pt idx="257">
                <c:v>18.466311664136679</c:v>
              </c:pt>
              <c:pt idx="258">
                <c:v>18.466311664136679</c:v>
              </c:pt>
              <c:pt idx="259">
                <c:v>0</c:v>
              </c:pt>
              <c:pt idx="260">
                <c:v>0</c:v>
              </c:pt>
              <c:pt idx="261">
                <c:v>18.466311664136679</c:v>
              </c:pt>
              <c:pt idx="262">
                <c:v>18.466311664136679</c:v>
              </c:pt>
              <c:pt idx="263">
                <c:v>0</c:v>
              </c:pt>
              <c:pt idx="266">
                <c:v>0</c:v>
              </c:pt>
              <c:pt idx="267">
                <c:v>0</c:v>
              </c:pt>
              <c:pt idx="268">
                <c:v>18.79876572028255</c:v>
              </c:pt>
              <c:pt idx="269">
                <c:v>18.79876572028255</c:v>
              </c:pt>
              <c:pt idx="270">
                <c:v>0</c:v>
              </c:pt>
              <c:pt idx="271">
                <c:v>0</c:v>
              </c:pt>
              <c:pt idx="272">
                <c:v>18.79876572028255</c:v>
              </c:pt>
              <c:pt idx="273">
                <c:v>18.79876572028255</c:v>
              </c:pt>
              <c:pt idx="274">
                <c:v>0</c:v>
              </c:pt>
              <c:pt idx="275">
                <c:v>0</c:v>
              </c:pt>
              <c:pt idx="276">
                <c:v>18.79876572028255</c:v>
              </c:pt>
              <c:pt idx="277">
                <c:v>18.79876572028255</c:v>
              </c:pt>
              <c:pt idx="278">
                <c:v>0</c:v>
              </c:pt>
              <c:pt idx="279">
                <c:v>0</c:v>
              </c:pt>
              <c:pt idx="280">
                <c:v>18.79876572028255</c:v>
              </c:pt>
              <c:pt idx="281">
                <c:v>18.79876572028255</c:v>
              </c:pt>
              <c:pt idx="282">
                <c:v>0</c:v>
              </c:pt>
              <c:pt idx="285">
                <c:v>0</c:v>
              </c:pt>
              <c:pt idx="286">
                <c:v>0</c:v>
              </c:pt>
              <c:pt idx="287">
                <c:v>18.34541928008279</c:v>
              </c:pt>
              <c:pt idx="288">
                <c:v>18.34541928008279</c:v>
              </c:pt>
              <c:pt idx="289">
                <c:v>0</c:v>
              </c:pt>
              <c:pt idx="290">
                <c:v>0</c:v>
              </c:pt>
              <c:pt idx="291">
                <c:v>18.34541928008279</c:v>
              </c:pt>
              <c:pt idx="292">
                <c:v>18.34541928008279</c:v>
              </c:pt>
              <c:pt idx="293">
                <c:v>0</c:v>
              </c:pt>
              <c:pt idx="294">
                <c:v>0</c:v>
              </c:pt>
              <c:pt idx="295">
                <c:v>18.34541928008279</c:v>
              </c:pt>
              <c:pt idx="296">
                <c:v>18.34541928008279</c:v>
              </c:pt>
              <c:pt idx="297">
                <c:v>0</c:v>
              </c:pt>
              <c:pt idx="298">
                <c:v>0</c:v>
              </c:pt>
              <c:pt idx="299">
                <c:v>18.34541928008279</c:v>
              </c:pt>
              <c:pt idx="300">
                <c:v>18.34541928008279</c:v>
              </c:pt>
              <c:pt idx="301">
                <c:v>0</c:v>
              </c:pt>
              <c:pt idx="304">
                <c:v>0</c:v>
              </c:pt>
              <c:pt idx="305">
                <c:v>0</c:v>
              </c:pt>
              <c:pt idx="306">
                <c:v>16.290248751177295</c:v>
              </c:pt>
              <c:pt idx="307">
                <c:v>16.290248751177295</c:v>
              </c:pt>
              <c:pt idx="308">
                <c:v>0</c:v>
              </c:pt>
              <c:pt idx="309">
                <c:v>0</c:v>
              </c:pt>
              <c:pt idx="310">
                <c:v>16.290248751177295</c:v>
              </c:pt>
              <c:pt idx="311">
                <c:v>16.290248751177295</c:v>
              </c:pt>
              <c:pt idx="312">
                <c:v>0</c:v>
              </c:pt>
              <c:pt idx="313">
                <c:v>0</c:v>
              </c:pt>
              <c:pt idx="314">
                <c:v>16.290248751177295</c:v>
              </c:pt>
              <c:pt idx="315">
                <c:v>16.290248751177295</c:v>
              </c:pt>
              <c:pt idx="316">
                <c:v>0</c:v>
              </c:pt>
              <c:pt idx="317">
                <c:v>0</c:v>
              </c:pt>
              <c:pt idx="318">
                <c:v>16.290248751177295</c:v>
              </c:pt>
              <c:pt idx="319">
                <c:v>16.290248751177295</c:v>
              </c:pt>
              <c:pt idx="320">
                <c:v>0</c:v>
              </c:pt>
              <c:pt idx="323">
                <c:v>0</c:v>
              </c:pt>
              <c:pt idx="324">
                <c:v>0</c:v>
              </c:pt>
              <c:pt idx="325">
                <c:v>16.501810423270552</c:v>
              </c:pt>
              <c:pt idx="326">
                <c:v>16.501810423270552</c:v>
              </c:pt>
              <c:pt idx="327">
                <c:v>0</c:v>
              </c:pt>
              <c:pt idx="328">
                <c:v>0</c:v>
              </c:pt>
              <c:pt idx="329">
                <c:v>16.501810423270552</c:v>
              </c:pt>
              <c:pt idx="330">
                <c:v>16.501810423270552</c:v>
              </c:pt>
              <c:pt idx="331">
                <c:v>0</c:v>
              </c:pt>
              <c:pt idx="332">
                <c:v>0</c:v>
              </c:pt>
              <c:pt idx="333">
                <c:v>16.501810423270552</c:v>
              </c:pt>
              <c:pt idx="334">
                <c:v>16.501810423270552</c:v>
              </c:pt>
              <c:pt idx="335">
                <c:v>0</c:v>
              </c:pt>
              <c:pt idx="336">
                <c:v>0</c:v>
              </c:pt>
              <c:pt idx="337">
                <c:v>16.501810423270552</c:v>
              </c:pt>
              <c:pt idx="338">
                <c:v>16.501810423270552</c:v>
              </c:pt>
              <c:pt idx="339">
                <c:v>0</c:v>
              </c:pt>
              <c:pt idx="342">
                <c:v>0</c:v>
              </c:pt>
              <c:pt idx="343">
                <c:v>0</c:v>
              </c:pt>
              <c:pt idx="344">
                <c:v>15.292886582738392</c:v>
              </c:pt>
              <c:pt idx="345">
                <c:v>15.292886582738392</c:v>
              </c:pt>
              <c:pt idx="346">
                <c:v>0</c:v>
              </c:pt>
              <c:pt idx="347">
                <c:v>0</c:v>
              </c:pt>
              <c:pt idx="348">
                <c:v>15.292886582738392</c:v>
              </c:pt>
              <c:pt idx="349">
                <c:v>15.292886582738392</c:v>
              </c:pt>
              <c:pt idx="350">
                <c:v>0</c:v>
              </c:pt>
              <c:pt idx="351">
                <c:v>0</c:v>
              </c:pt>
              <c:pt idx="352">
                <c:v>15.292886582738392</c:v>
              </c:pt>
              <c:pt idx="353">
                <c:v>15.292886582738392</c:v>
              </c:pt>
              <c:pt idx="354">
                <c:v>0</c:v>
              </c:pt>
              <c:pt idx="355">
                <c:v>0</c:v>
              </c:pt>
              <c:pt idx="356">
                <c:v>15.292886582738392</c:v>
              </c:pt>
              <c:pt idx="357">
                <c:v>15.292886582738392</c:v>
              </c:pt>
              <c:pt idx="358">
                <c:v>0</c:v>
              </c:pt>
              <c:pt idx="361">
                <c:v>0</c:v>
              </c:pt>
              <c:pt idx="362">
                <c:v>0</c:v>
              </c:pt>
              <c:pt idx="363">
                <c:v>12.723923421606001</c:v>
              </c:pt>
              <c:pt idx="364">
                <c:v>12.723923421606001</c:v>
              </c:pt>
              <c:pt idx="365">
                <c:v>0</c:v>
              </c:pt>
              <c:pt idx="366">
                <c:v>0</c:v>
              </c:pt>
              <c:pt idx="367">
                <c:v>12.723923421606001</c:v>
              </c:pt>
              <c:pt idx="368">
                <c:v>12.723923421606001</c:v>
              </c:pt>
              <c:pt idx="369">
                <c:v>0</c:v>
              </c:pt>
              <c:pt idx="370">
                <c:v>0</c:v>
              </c:pt>
              <c:pt idx="371">
                <c:v>12.723923421606001</c:v>
              </c:pt>
              <c:pt idx="372">
                <c:v>12.723923421606001</c:v>
              </c:pt>
              <c:pt idx="373">
                <c:v>0</c:v>
              </c:pt>
              <c:pt idx="374">
                <c:v>0</c:v>
              </c:pt>
              <c:pt idx="375">
                <c:v>12.723923421606001</c:v>
              </c:pt>
              <c:pt idx="376">
                <c:v>12.723923421606001</c:v>
              </c:pt>
              <c:pt idx="377">
                <c:v>0</c:v>
              </c:pt>
              <c:pt idx="380">
                <c:v>0</c:v>
              </c:pt>
              <c:pt idx="381">
                <c:v>0</c:v>
              </c:pt>
              <c:pt idx="382">
                <c:v>11.87767673323318</c:v>
              </c:pt>
              <c:pt idx="383">
                <c:v>11.87767673323318</c:v>
              </c:pt>
              <c:pt idx="384">
                <c:v>0</c:v>
              </c:pt>
              <c:pt idx="385">
                <c:v>0</c:v>
              </c:pt>
              <c:pt idx="386">
                <c:v>11.87767673323318</c:v>
              </c:pt>
              <c:pt idx="387">
                <c:v>11.87767673323318</c:v>
              </c:pt>
              <c:pt idx="388">
                <c:v>0</c:v>
              </c:pt>
              <c:pt idx="389">
                <c:v>0</c:v>
              </c:pt>
              <c:pt idx="390">
                <c:v>11.87767673323318</c:v>
              </c:pt>
              <c:pt idx="391">
                <c:v>11.87767673323318</c:v>
              </c:pt>
              <c:pt idx="392">
                <c:v>0</c:v>
              </c:pt>
              <c:pt idx="393">
                <c:v>0</c:v>
              </c:pt>
              <c:pt idx="394">
                <c:v>11.87767673323318</c:v>
              </c:pt>
              <c:pt idx="395">
                <c:v>11.87767673323318</c:v>
              </c:pt>
              <c:pt idx="396">
                <c:v>0</c:v>
              </c:pt>
              <c:pt idx="399">
                <c:v>0</c:v>
              </c:pt>
              <c:pt idx="400">
                <c:v>0</c:v>
              </c:pt>
              <c:pt idx="401">
                <c:v>10.850091468780812</c:v>
              </c:pt>
              <c:pt idx="402">
                <c:v>10.850091468780812</c:v>
              </c:pt>
              <c:pt idx="403">
                <c:v>0</c:v>
              </c:pt>
              <c:pt idx="404">
                <c:v>0</c:v>
              </c:pt>
              <c:pt idx="405">
                <c:v>10.850091468780812</c:v>
              </c:pt>
              <c:pt idx="406">
                <c:v>10.850091468780812</c:v>
              </c:pt>
              <c:pt idx="407">
                <c:v>0</c:v>
              </c:pt>
              <c:pt idx="408">
                <c:v>0</c:v>
              </c:pt>
              <c:pt idx="409">
                <c:v>10.850091468780812</c:v>
              </c:pt>
              <c:pt idx="410">
                <c:v>10.850091468780812</c:v>
              </c:pt>
              <c:pt idx="411">
                <c:v>0</c:v>
              </c:pt>
              <c:pt idx="412">
                <c:v>0</c:v>
              </c:pt>
              <c:pt idx="413">
                <c:v>10.850091468780812</c:v>
              </c:pt>
              <c:pt idx="414">
                <c:v>10.850091468780812</c:v>
              </c:pt>
              <c:pt idx="415">
                <c:v>0</c:v>
              </c:pt>
              <c:pt idx="418">
                <c:v>0</c:v>
              </c:pt>
              <c:pt idx="419">
                <c:v>0</c:v>
              </c:pt>
              <c:pt idx="420">
                <c:v>9.7620600123010597</c:v>
              </c:pt>
              <c:pt idx="421">
                <c:v>9.7620600123010597</c:v>
              </c:pt>
              <c:pt idx="422">
                <c:v>0</c:v>
              </c:pt>
              <c:pt idx="423">
                <c:v>0</c:v>
              </c:pt>
              <c:pt idx="424">
                <c:v>9.7620600123010597</c:v>
              </c:pt>
              <c:pt idx="425">
                <c:v>9.7620600123010597</c:v>
              </c:pt>
              <c:pt idx="426">
                <c:v>0</c:v>
              </c:pt>
              <c:pt idx="427">
                <c:v>0</c:v>
              </c:pt>
              <c:pt idx="428">
                <c:v>9.7620600123010597</c:v>
              </c:pt>
              <c:pt idx="429">
                <c:v>9.7620600123010597</c:v>
              </c:pt>
              <c:pt idx="430">
                <c:v>0</c:v>
              </c:pt>
              <c:pt idx="431">
                <c:v>0</c:v>
              </c:pt>
              <c:pt idx="432">
                <c:v>9.7620600123010597</c:v>
              </c:pt>
              <c:pt idx="433">
                <c:v>9.7620600123010597</c:v>
              </c:pt>
              <c:pt idx="434">
                <c:v>0</c:v>
              </c:pt>
              <c:pt idx="437">
                <c:v>0</c:v>
              </c:pt>
              <c:pt idx="438">
                <c:v>0</c:v>
              </c:pt>
              <c:pt idx="439">
                <c:v>7.6464432913689393</c:v>
              </c:pt>
              <c:pt idx="440">
                <c:v>7.6464432913689393</c:v>
              </c:pt>
              <c:pt idx="441">
                <c:v>0</c:v>
              </c:pt>
              <c:pt idx="442">
                <c:v>0</c:v>
              </c:pt>
              <c:pt idx="443">
                <c:v>7.6464432913689393</c:v>
              </c:pt>
              <c:pt idx="444">
                <c:v>7.6464432913689393</c:v>
              </c:pt>
              <c:pt idx="445">
                <c:v>0</c:v>
              </c:pt>
              <c:pt idx="446">
                <c:v>0</c:v>
              </c:pt>
              <c:pt idx="447">
                <c:v>7.6464432913689393</c:v>
              </c:pt>
              <c:pt idx="448">
                <c:v>7.6464432913689393</c:v>
              </c:pt>
              <c:pt idx="449">
                <c:v>0</c:v>
              </c:pt>
              <c:pt idx="450">
                <c:v>0</c:v>
              </c:pt>
              <c:pt idx="451">
                <c:v>7.6464432913689393</c:v>
              </c:pt>
              <c:pt idx="452">
                <c:v>7.6464432913689393</c:v>
              </c:pt>
              <c:pt idx="453">
                <c:v>0</c:v>
              </c:pt>
              <c:pt idx="456">
                <c:v>0</c:v>
              </c:pt>
              <c:pt idx="457">
                <c:v>0</c:v>
              </c:pt>
              <c:pt idx="458">
                <c:v>6.316627066783048</c:v>
              </c:pt>
              <c:pt idx="459">
                <c:v>6.316627066783048</c:v>
              </c:pt>
              <c:pt idx="460">
                <c:v>0</c:v>
              </c:pt>
              <c:pt idx="461">
                <c:v>0</c:v>
              </c:pt>
              <c:pt idx="462">
                <c:v>6.316627066783048</c:v>
              </c:pt>
              <c:pt idx="463">
                <c:v>6.316627066783048</c:v>
              </c:pt>
              <c:pt idx="464">
                <c:v>0</c:v>
              </c:pt>
              <c:pt idx="465">
                <c:v>0</c:v>
              </c:pt>
              <c:pt idx="466">
                <c:v>6.316627066783048</c:v>
              </c:pt>
              <c:pt idx="467">
                <c:v>6.316627066783048</c:v>
              </c:pt>
              <c:pt idx="468">
                <c:v>0</c:v>
              </c:pt>
              <c:pt idx="469">
                <c:v>0</c:v>
              </c:pt>
              <c:pt idx="470">
                <c:v>6.316627066783048</c:v>
              </c:pt>
              <c:pt idx="471">
                <c:v>6.316627066783048</c:v>
              </c:pt>
              <c:pt idx="472">
                <c:v>0</c:v>
              </c:pt>
              <c:pt idx="475">
                <c:v>0</c:v>
              </c:pt>
              <c:pt idx="476">
                <c:v>0</c:v>
              </c:pt>
              <c:pt idx="477">
                <c:v>4.8356953621305605</c:v>
              </c:pt>
              <c:pt idx="478">
                <c:v>4.8356953621305605</c:v>
              </c:pt>
              <c:pt idx="479">
                <c:v>0</c:v>
              </c:pt>
              <c:pt idx="480">
                <c:v>0</c:v>
              </c:pt>
              <c:pt idx="481">
                <c:v>4.8356953621305605</c:v>
              </c:pt>
              <c:pt idx="482">
                <c:v>4.8356953621305605</c:v>
              </c:pt>
              <c:pt idx="483">
                <c:v>0</c:v>
              </c:pt>
              <c:pt idx="484">
                <c:v>0</c:v>
              </c:pt>
              <c:pt idx="485">
                <c:v>4.8356953621305605</c:v>
              </c:pt>
              <c:pt idx="486">
                <c:v>4.8356953621305605</c:v>
              </c:pt>
              <c:pt idx="487">
                <c:v>0</c:v>
              </c:pt>
              <c:pt idx="488">
                <c:v>0</c:v>
              </c:pt>
              <c:pt idx="489">
                <c:v>4.8356953621305605</c:v>
              </c:pt>
              <c:pt idx="490">
                <c:v>4.8356953621305605</c:v>
              </c:pt>
              <c:pt idx="491">
                <c:v>0</c:v>
              </c:pt>
              <c:pt idx="494">
                <c:v>0</c:v>
              </c:pt>
              <c:pt idx="495">
                <c:v>0</c:v>
              </c:pt>
              <c:pt idx="496">
                <c:v>4.6241336900374934</c:v>
              </c:pt>
              <c:pt idx="497">
                <c:v>4.6241336900374934</c:v>
              </c:pt>
              <c:pt idx="498">
                <c:v>0</c:v>
              </c:pt>
              <c:pt idx="499">
                <c:v>0</c:v>
              </c:pt>
              <c:pt idx="500">
                <c:v>4.6241336900374934</c:v>
              </c:pt>
              <c:pt idx="501">
                <c:v>4.6241336900374934</c:v>
              </c:pt>
              <c:pt idx="502">
                <c:v>0</c:v>
              </c:pt>
              <c:pt idx="503">
                <c:v>0</c:v>
              </c:pt>
              <c:pt idx="504">
                <c:v>4.6241336900374934</c:v>
              </c:pt>
              <c:pt idx="505">
                <c:v>4.6241336900374934</c:v>
              </c:pt>
              <c:pt idx="506">
                <c:v>0</c:v>
              </c:pt>
              <c:pt idx="507">
                <c:v>0</c:v>
              </c:pt>
              <c:pt idx="508">
                <c:v>4.6241336900374934</c:v>
              </c:pt>
              <c:pt idx="509">
                <c:v>4.6241336900374934</c:v>
              </c:pt>
              <c:pt idx="510">
                <c:v>0</c:v>
              </c:pt>
              <c:pt idx="513">
                <c:v>0</c:v>
              </c:pt>
              <c:pt idx="514">
                <c:v>0</c:v>
              </c:pt>
              <c:pt idx="515">
                <c:v>2.9316403132916626</c:v>
              </c:pt>
              <c:pt idx="516">
                <c:v>2.9316403132916626</c:v>
              </c:pt>
              <c:pt idx="517">
                <c:v>0</c:v>
              </c:pt>
              <c:pt idx="518">
                <c:v>0</c:v>
              </c:pt>
              <c:pt idx="519">
                <c:v>2.9316403132916626</c:v>
              </c:pt>
              <c:pt idx="520">
                <c:v>2.9316403132916626</c:v>
              </c:pt>
              <c:pt idx="521">
                <c:v>0</c:v>
              </c:pt>
              <c:pt idx="522">
                <c:v>0</c:v>
              </c:pt>
              <c:pt idx="523">
                <c:v>2.9316403132916626</c:v>
              </c:pt>
              <c:pt idx="524">
                <c:v>2.9316403132916626</c:v>
              </c:pt>
              <c:pt idx="525">
                <c:v>0</c:v>
              </c:pt>
              <c:pt idx="526">
                <c:v>0</c:v>
              </c:pt>
              <c:pt idx="527">
                <c:v>2.9316403132916626</c:v>
              </c:pt>
              <c:pt idx="528">
                <c:v>2.9316403132916626</c:v>
              </c:pt>
              <c:pt idx="529">
                <c:v>0</c:v>
              </c:pt>
              <c:pt idx="532">
                <c:v>0</c:v>
              </c:pt>
              <c:pt idx="533">
                <c:v>0</c:v>
              </c:pt>
              <c:pt idx="534">
                <c:v>2.9920865053182544</c:v>
              </c:pt>
              <c:pt idx="535">
                <c:v>2.9920865053182544</c:v>
              </c:pt>
              <c:pt idx="536">
                <c:v>0</c:v>
              </c:pt>
              <c:pt idx="537">
                <c:v>0</c:v>
              </c:pt>
              <c:pt idx="538">
                <c:v>2.9920865053182544</c:v>
              </c:pt>
              <c:pt idx="539">
                <c:v>2.9920865053182544</c:v>
              </c:pt>
              <c:pt idx="540">
                <c:v>0</c:v>
              </c:pt>
              <c:pt idx="541">
                <c:v>0</c:v>
              </c:pt>
              <c:pt idx="542">
                <c:v>2.9920865053182544</c:v>
              </c:pt>
              <c:pt idx="543">
                <c:v>2.9920865053182544</c:v>
              </c:pt>
              <c:pt idx="544">
                <c:v>0</c:v>
              </c:pt>
              <c:pt idx="545">
                <c:v>0</c:v>
              </c:pt>
              <c:pt idx="546">
                <c:v>2.9920865053182544</c:v>
              </c:pt>
              <c:pt idx="547">
                <c:v>2.9920865053182544</c:v>
              </c:pt>
              <c:pt idx="548">
                <c:v>0</c:v>
              </c:pt>
              <c:pt idx="551">
                <c:v>0</c:v>
              </c:pt>
              <c:pt idx="552">
                <c:v>0</c:v>
              </c:pt>
              <c:pt idx="553">
                <c:v>1.9645012408656231</c:v>
              </c:pt>
              <c:pt idx="554">
                <c:v>1.9645012408656231</c:v>
              </c:pt>
              <c:pt idx="555">
                <c:v>0</c:v>
              </c:pt>
              <c:pt idx="556">
                <c:v>0</c:v>
              </c:pt>
              <c:pt idx="557">
                <c:v>1.9645012408656231</c:v>
              </c:pt>
              <c:pt idx="558">
                <c:v>1.9645012408656231</c:v>
              </c:pt>
              <c:pt idx="559">
                <c:v>0</c:v>
              </c:pt>
              <c:pt idx="560">
                <c:v>0</c:v>
              </c:pt>
              <c:pt idx="561">
                <c:v>1.9645012408656231</c:v>
              </c:pt>
              <c:pt idx="562">
                <c:v>1.9645012408656231</c:v>
              </c:pt>
              <c:pt idx="563">
                <c:v>0</c:v>
              </c:pt>
              <c:pt idx="564">
                <c:v>0</c:v>
              </c:pt>
              <c:pt idx="565">
                <c:v>1.9645012408656231</c:v>
              </c:pt>
              <c:pt idx="566">
                <c:v>1.9645012408656231</c:v>
              </c:pt>
              <c:pt idx="567">
                <c:v>0</c:v>
              </c:pt>
              <c:pt idx="570">
                <c:v>0</c:v>
              </c:pt>
              <c:pt idx="571">
                <c:v>0</c:v>
              </c:pt>
              <c:pt idx="572">
                <c:v>1.4809317046524877</c:v>
              </c:pt>
              <c:pt idx="573">
                <c:v>1.4809317046524877</c:v>
              </c:pt>
              <c:pt idx="574">
                <c:v>0</c:v>
              </c:pt>
              <c:pt idx="575">
                <c:v>0</c:v>
              </c:pt>
              <c:pt idx="576">
                <c:v>1.4809317046524877</c:v>
              </c:pt>
              <c:pt idx="577">
                <c:v>1.4809317046524877</c:v>
              </c:pt>
              <c:pt idx="578">
                <c:v>0</c:v>
              </c:pt>
              <c:pt idx="579">
                <c:v>0</c:v>
              </c:pt>
              <c:pt idx="580">
                <c:v>1.4809317046524877</c:v>
              </c:pt>
              <c:pt idx="581">
                <c:v>1.4809317046524877</c:v>
              </c:pt>
              <c:pt idx="582">
                <c:v>0</c:v>
              </c:pt>
              <c:pt idx="583">
                <c:v>0</c:v>
              </c:pt>
              <c:pt idx="584">
                <c:v>1.4809317046524877</c:v>
              </c:pt>
              <c:pt idx="585">
                <c:v>1.4809317046524877</c:v>
              </c:pt>
              <c:pt idx="586">
                <c:v>0</c:v>
              </c:pt>
              <c:pt idx="589">
                <c:v>0</c:v>
              </c:pt>
              <c:pt idx="590">
                <c:v>0</c:v>
              </c:pt>
              <c:pt idx="591">
                <c:v>0.84624668837285488</c:v>
              </c:pt>
              <c:pt idx="592">
                <c:v>0.84624668837285488</c:v>
              </c:pt>
              <c:pt idx="593">
                <c:v>0</c:v>
              </c:pt>
              <c:pt idx="594">
                <c:v>0</c:v>
              </c:pt>
              <c:pt idx="595">
                <c:v>0.84624668837285488</c:v>
              </c:pt>
              <c:pt idx="596">
                <c:v>0.84624668837285488</c:v>
              </c:pt>
              <c:pt idx="597">
                <c:v>0</c:v>
              </c:pt>
              <c:pt idx="598">
                <c:v>0</c:v>
              </c:pt>
              <c:pt idx="599">
                <c:v>0.84624668837285488</c:v>
              </c:pt>
              <c:pt idx="600">
                <c:v>0.84624668837285488</c:v>
              </c:pt>
              <c:pt idx="601">
                <c:v>0</c:v>
              </c:pt>
              <c:pt idx="602">
                <c:v>0</c:v>
              </c:pt>
              <c:pt idx="603">
                <c:v>0.84624668837285488</c:v>
              </c:pt>
              <c:pt idx="604">
                <c:v>0.84624668837285488</c:v>
              </c:pt>
              <c:pt idx="605">
                <c:v>0</c:v>
              </c:pt>
              <c:pt idx="608">
                <c:v>0</c:v>
              </c:pt>
              <c:pt idx="609">
                <c:v>0</c:v>
              </c:pt>
              <c:pt idx="610">
                <c:v>0.48356953621303594</c:v>
              </c:pt>
              <c:pt idx="611">
                <c:v>0.48356953621303594</c:v>
              </c:pt>
              <c:pt idx="612">
                <c:v>0</c:v>
              </c:pt>
              <c:pt idx="613">
                <c:v>0</c:v>
              </c:pt>
              <c:pt idx="614">
                <c:v>0.48356953621303594</c:v>
              </c:pt>
              <c:pt idx="615">
                <c:v>0.48356953621303594</c:v>
              </c:pt>
              <c:pt idx="616">
                <c:v>0</c:v>
              </c:pt>
              <c:pt idx="617">
                <c:v>0</c:v>
              </c:pt>
              <c:pt idx="618">
                <c:v>0.48356953621303594</c:v>
              </c:pt>
              <c:pt idx="619">
                <c:v>0.48356953621303594</c:v>
              </c:pt>
              <c:pt idx="620">
                <c:v>0</c:v>
              </c:pt>
              <c:pt idx="621">
                <c:v>0</c:v>
              </c:pt>
              <c:pt idx="622">
                <c:v>0.48356953621303594</c:v>
              </c:pt>
              <c:pt idx="623">
                <c:v>0.48356953621303594</c:v>
              </c:pt>
              <c:pt idx="624">
                <c:v>0</c:v>
              </c:pt>
              <c:pt idx="627">
                <c:v>0</c:v>
              </c:pt>
              <c:pt idx="628">
                <c:v>0</c:v>
              </c:pt>
              <c:pt idx="629">
                <c:v>0.33245405614647272</c:v>
              </c:pt>
              <c:pt idx="630">
                <c:v>0.33245405614647272</c:v>
              </c:pt>
              <c:pt idx="631">
                <c:v>0</c:v>
              </c:pt>
              <c:pt idx="632">
                <c:v>0</c:v>
              </c:pt>
              <c:pt idx="633">
                <c:v>0.33245405614647272</c:v>
              </c:pt>
              <c:pt idx="634">
                <c:v>0.33245405614647272</c:v>
              </c:pt>
              <c:pt idx="635">
                <c:v>0</c:v>
              </c:pt>
              <c:pt idx="636">
                <c:v>0</c:v>
              </c:pt>
              <c:pt idx="637">
                <c:v>0.33245405614647272</c:v>
              </c:pt>
              <c:pt idx="638">
                <c:v>0.33245405614647272</c:v>
              </c:pt>
              <c:pt idx="639">
                <c:v>0</c:v>
              </c:pt>
              <c:pt idx="640">
                <c:v>0</c:v>
              </c:pt>
              <c:pt idx="641">
                <c:v>0.33245405614647272</c:v>
              </c:pt>
              <c:pt idx="642">
                <c:v>0.33245405614647272</c:v>
              </c:pt>
              <c:pt idx="643">
                <c:v>0</c:v>
              </c:pt>
              <c:pt idx="646">
                <c:v>0</c:v>
              </c:pt>
              <c:pt idx="647">
                <c:v>0</c:v>
              </c:pt>
              <c:pt idx="648">
                <c:v>0.2720078641198565</c:v>
              </c:pt>
              <c:pt idx="649">
                <c:v>0.2720078641198565</c:v>
              </c:pt>
              <c:pt idx="650">
                <c:v>0</c:v>
              </c:pt>
              <c:pt idx="651">
                <c:v>0</c:v>
              </c:pt>
              <c:pt idx="652">
                <c:v>0.2720078641198565</c:v>
              </c:pt>
              <c:pt idx="653">
                <c:v>0.2720078641198565</c:v>
              </c:pt>
              <c:pt idx="654">
                <c:v>0</c:v>
              </c:pt>
              <c:pt idx="655">
                <c:v>0</c:v>
              </c:pt>
              <c:pt idx="656">
                <c:v>0.2720078641198565</c:v>
              </c:pt>
              <c:pt idx="657">
                <c:v>0.2720078641198565</c:v>
              </c:pt>
              <c:pt idx="658">
                <c:v>0</c:v>
              </c:pt>
              <c:pt idx="659">
                <c:v>0</c:v>
              </c:pt>
              <c:pt idx="660">
                <c:v>0.2720078641198565</c:v>
              </c:pt>
              <c:pt idx="661">
                <c:v>0.2720078641198565</c:v>
              </c:pt>
              <c:pt idx="662">
                <c:v>0</c:v>
              </c:pt>
              <c:pt idx="665">
                <c:v>0</c:v>
              </c:pt>
              <c:pt idx="666">
                <c:v>0</c:v>
              </c:pt>
              <c:pt idx="667">
                <c:v>0.18133857607990944</c:v>
              </c:pt>
              <c:pt idx="668">
                <c:v>0.18133857607990944</c:v>
              </c:pt>
              <c:pt idx="669">
                <c:v>0</c:v>
              </c:pt>
              <c:pt idx="670">
                <c:v>0</c:v>
              </c:pt>
              <c:pt idx="671">
                <c:v>0.18133857607990944</c:v>
              </c:pt>
              <c:pt idx="672">
                <c:v>0.18133857607990944</c:v>
              </c:pt>
              <c:pt idx="673">
                <c:v>0</c:v>
              </c:pt>
              <c:pt idx="674">
                <c:v>0</c:v>
              </c:pt>
              <c:pt idx="675">
                <c:v>0.18133857607990944</c:v>
              </c:pt>
              <c:pt idx="676">
                <c:v>0.18133857607990944</c:v>
              </c:pt>
              <c:pt idx="677">
                <c:v>0</c:v>
              </c:pt>
              <c:pt idx="678">
                <c:v>0</c:v>
              </c:pt>
              <c:pt idx="679">
                <c:v>0.18133857607990944</c:v>
              </c:pt>
              <c:pt idx="680">
                <c:v>0.18133857607990944</c:v>
              </c:pt>
              <c:pt idx="681">
                <c:v>0</c:v>
              </c:pt>
              <c:pt idx="684">
                <c:v>0</c:v>
              </c:pt>
              <c:pt idx="685">
                <c:v>0</c:v>
              </c:pt>
              <c:pt idx="686">
                <c:v>6.0446192026625295E-2</c:v>
              </c:pt>
              <c:pt idx="687">
                <c:v>6.0446192026625295E-2</c:v>
              </c:pt>
              <c:pt idx="688">
                <c:v>0</c:v>
              </c:pt>
              <c:pt idx="689">
                <c:v>0</c:v>
              </c:pt>
              <c:pt idx="690">
                <c:v>6.0446192026625295E-2</c:v>
              </c:pt>
              <c:pt idx="691">
                <c:v>6.0446192026625295E-2</c:v>
              </c:pt>
              <c:pt idx="692">
                <c:v>0</c:v>
              </c:pt>
              <c:pt idx="693">
                <c:v>0</c:v>
              </c:pt>
              <c:pt idx="694">
                <c:v>6.0446192026625295E-2</c:v>
              </c:pt>
              <c:pt idx="695">
                <c:v>6.0446192026625295E-2</c:v>
              </c:pt>
              <c:pt idx="696">
                <c:v>0</c:v>
              </c:pt>
              <c:pt idx="697">
                <c:v>0</c:v>
              </c:pt>
              <c:pt idx="698">
                <c:v>6.0446192026625295E-2</c:v>
              </c:pt>
              <c:pt idx="699">
                <c:v>6.0446192026625295E-2</c:v>
              </c:pt>
              <c:pt idx="700">
                <c:v>0</c:v>
              </c:pt>
              <c:pt idx="703">
                <c:v>0</c:v>
              </c:pt>
              <c:pt idx="704">
                <c:v>0</c:v>
              </c:pt>
              <c:pt idx="705">
                <c:v>0</c:v>
              </c:pt>
              <c:pt idx="706">
                <c:v>0</c:v>
              </c:pt>
              <c:pt idx="707">
                <c:v>0</c:v>
              </c:pt>
              <c:pt idx="708">
                <c:v>0</c:v>
              </c:pt>
              <c:pt idx="709">
                <c:v>0</c:v>
              </c:pt>
              <c:pt idx="710">
                <c:v>0</c:v>
              </c:pt>
              <c:pt idx="711">
                <c:v>0</c:v>
              </c:pt>
              <c:pt idx="712">
                <c:v>0</c:v>
              </c:pt>
              <c:pt idx="713">
                <c:v>0</c:v>
              </c:pt>
              <c:pt idx="714">
                <c:v>0</c:v>
              </c:pt>
              <c:pt idx="715">
                <c:v>0</c:v>
              </c:pt>
              <c:pt idx="716">
                <c:v>0</c:v>
              </c:pt>
              <c:pt idx="717">
                <c:v>0</c:v>
              </c:pt>
              <c:pt idx="718">
                <c:v>0</c:v>
              </c:pt>
              <c:pt idx="719">
                <c:v>0</c:v>
              </c:pt>
              <c:pt idx="722">
                <c:v>0</c:v>
              </c:pt>
              <c:pt idx="723">
                <c:v>0</c:v>
              </c:pt>
              <c:pt idx="724">
                <c:v>0</c:v>
              </c:pt>
              <c:pt idx="725">
                <c:v>0</c:v>
              </c:pt>
              <c:pt idx="726">
                <c:v>0</c:v>
              </c:pt>
              <c:pt idx="727">
                <c:v>0</c:v>
              </c:pt>
              <c:pt idx="728">
                <c:v>0</c:v>
              </c:pt>
              <c:pt idx="729">
                <c:v>0</c:v>
              </c:pt>
              <c:pt idx="730">
                <c:v>0</c:v>
              </c:pt>
              <c:pt idx="731">
                <c:v>0</c:v>
              </c:pt>
              <c:pt idx="732">
                <c:v>0</c:v>
              </c:pt>
              <c:pt idx="733">
                <c:v>0</c:v>
              </c:pt>
              <c:pt idx="734">
                <c:v>0</c:v>
              </c:pt>
              <c:pt idx="735">
                <c:v>0</c:v>
              </c:pt>
              <c:pt idx="736">
                <c:v>0</c:v>
              </c:pt>
              <c:pt idx="737">
                <c:v>0</c:v>
              </c:pt>
              <c:pt idx="738">
                <c:v>0</c:v>
              </c:pt>
              <c:pt idx="741">
                <c:v>0</c:v>
              </c:pt>
              <c:pt idx="742">
                <c:v>0</c:v>
              </c:pt>
              <c:pt idx="743">
                <c:v>3.0223096013312648E-2</c:v>
              </c:pt>
              <c:pt idx="744">
                <c:v>3.0223096013312648E-2</c:v>
              </c:pt>
              <c:pt idx="745">
                <c:v>0</c:v>
              </c:pt>
              <c:pt idx="746">
                <c:v>0</c:v>
              </c:pt>
              <c:pt idx="747">
                <c:v>3.0223096013312648E-2</c:v>
              </c:pt>
              <c:pt idx="748">
                <c:v>3.0223096013312648E-2</c:v>
              </c:pt>
              <c:pt idx="749">
                <c:v>0</c:v>
              </c:pt>
              <c:pt idx="750">
                <c:v>0</c:v>
              </c:pt>
              <c:pt idx="751">
                <c:v>3.0223096013312648E-2</c:v>
              </c:pt>
              <c:pt idx="752">
                <c:v>3.0223096013312648E-2</c:v>
              </c:pt>
              <c:pt idx="753">
                <c:v>0</c:v>
              </c:pt>
              <c:pt idx="754">
                <c:v>0</c:v>
              </c:pt>
              <c:pt idx="755">
                <c:v>3.0223096013312648E-2</c:v>
              </c:pt>
              <c:pt idx="756">
                <c:v>3.0223096013312648E-2</c:v>
              </c:pt>
              <c:pt idx="757">
                <c:v>0</c:v>
              </c:pt>
            </c:numLit>
          </c:yVal>
          <c:smooth val="0"/>
          <c:extLst>
            <c:ext xmlns:c16="http://schemas.microsoft.com/office/drawing/2014/chart" uri="{C3380CC4-5D6E-409C-BE32-E72D297353CC}">
              <c16:uniqueId val="{00000000-5332-4914-8068-F8705C367391}"/>
            </c:ext>
          </c:extLst>
        </c:ser>
        <c:ser>
          <c:idx val="1"/>
          <c:order val="1"/>
          <c:tx>
            <c:v>Outline</c:v>
          </c:tx>
          <c:spPr>
            <a:ln w="38100" cap="rnd" cmpd="sng" algn="ctr">
              <a:solidFill>
                <a:srgbClr val="000000">
                  <a:alpha val="20000"/>
                </a:srgbClr>
              </a:solidFill>
              <a:prstDash val="solid"/>
              <a:round/>
              <a:headEnd type="none" w="med" len="med"/>
              <a:tailEnd type="none" w="med" len="med"/>
            </a:ln>
          </c:spPr>
          <c:marker>
            <c:symbol val="none"/>
          </c:marker>
          <c:xVal>
            <c:numLit>
              <c:formatCode>General</c:formatCode>
              <c:ptCount val="125"/>
              <c:pt idx="0">
                <c:v>0.78633391535640884</c:v>
              </c:pt>
              <c:pt idx="1">
                <c:v>0.78633391535640884</c:v>
              </c:pt>
              <c:pt idx="2">
                <c:v>0.78633391535640884</c:v>
              </c:pt>
              <c:pt idx="3">
                <c:v>0.78964264322320121</c:v>
              </c:pt>
              <c:pt idx="4">
                <c:v>0.78964264322320121</c:v>
              </c:pt>
              <c:pt idx="5">
                <c:v>0.78964264322320121</c:v>
              </c:pt>
              <c:pt idx="6">
                <c:v>0.79295137108999358</c:v>
              </c:pt>
              <c:pt idx="7">
                <c:v>0.79295137108999358</c:v>
              </c:pt>
              <c:pt idx="8">
                <c:v>0.79295137108999358</c:v>
              </c:pt>
              <c:pt idx="9">
                <c:v>0.79626009895678584</c:v>
              </c:pt>
              <c:pt idx="10">
                <c:v>0.79626009895678584</c:v>
              </c:pt>
              <c:pt idx="11">
                <c:v>0.79626009895678584</c:v>
              </c:pt>
              <c:pt idx="12">
                <c:v>0.79956882682357822</c:v>
              </c:pt>
              <c:pt idx="13">
                <c:v>0.79956882682357822</c:v>
              </c:pt>
              <c:pt idx="14">
                <c:v>0.79956882682357822</c:v>
              </c:pt>
              <c:pt idx="15">
                <c:v>0.80287755469037059</c:v>
              </c:pt>
              <c:pt idx="16">
                <c:v>0.80287755469037059</c:v>
              </c:pt>
              <c:pt idx="17">
                <c:v>0.80287755469037059</c:v>
              </c:pt>
              <c:pt idx="18">
                <c:v>0.80618628255716285</c:v>
              </c:pt>
              <c:pt idx="19">
                <c:v>0.80618628255716285</c:v>
              </c:pt>
              <c:pt idx="20">
                <c:v>0.80618628255716285</c:v>
              </c:pt>
              <c:pt idx="21">
                <c:v>0.80949501042395522</c:v>
              </c:pt>
              <c:pt idx="22">
                <c:v>0.80949501042395522</c:v>
              </c:pt>
              <c:pt idx="23">
                <c:v>0.80949501042395522</c:v>
              </c:pt>
              <c:pt idx="24">
                <c:v>0.81280373829074759</c:v>
              </c:pt>
              <c:pt idx="25">
                <c:v>0.81280373829074759</c:v>
              </c:pt>
              <c:pt idx="26">
                <c:v>0.81280373829074759</c:v>
              </c:pt>
              <c:pt idx="27">
                <c:v>0.81611246615753996</c:v>
              </c:pt>
              <c:pt idx="28">
                <c:v>0.81611246615753996</c:v>
              </c:pt>
              <c:pt idx="29">
                <c:v>0.81611246615753996</c:v>
              </c:pt>
              <c:pt idx="30">
                <c:v>0.81942119402433233</c:v>
              </c:pt>
              <c:pt idx="31">
                <c:v>0.81942119402433233</c:v>
              </c:pt>
              <c:pt idx="32">
                <c:v>0.81942119402433233</c:v>
              </c:pt>
              <c:pt idx="33">
                <c:v>0.82272992189112459</c:v>
              </c:pt>
              <c:pt idx="34">
                <c:v>0.82272992189112459</c:v>
              </c:pt>
              <c:pt idx="35">
                <c:v>0.82272992189112459</c:v>
              </c:pt>
              <c:pt idx="36">
                <c:v>0.82603864975791697</c:v>
              </c:pt>
              <c:pt idx="37">
                <c:v>0.82603864975791697</c:v>
              </c:pt>
              <c:pt idx="38">
                <c:v>0.82603864975791697</c:v>
              </c:pt>
              <c:pt idx="39">
                <c:v>0.82934737762470934</c:v>
              </c:pt>
              <c:pt idx="40">
                <c:v>0.82934737762470934</c:v>
              </c:pt>
              <c:pt idx="41">
                <c:v>0.82934737762470934</c:v>
              </c:pt>
              <c:pt idx="42">
                <c:v>0.8326561054915016</c:v>
              </c:pt>
              <c:pt idx="43">
                <c:v>0.8326561054915016</c:v>
              </c:pt>
              <c:pt idx="44">
                <c:v>0.8326561054915016</c:v>
              </c:pt>
              <c:pt idx="45">
                <c:v>0.83596483335829397</c:v>
              </c:pt>
              <c:pt idx="46">
                <c:v>0.83596483335829397</c:v>
              </c:pt>
              <c:pt idx="47">
                <c:v>0.83596483335829397</c:v>
              </c:pt>
              <c:pt idx="48">
                <c:v>0.83927356122508634</c:v>
              </c:pt>
              <c:pt idx="49">
                <c:v>0.83927356122508634</c:v>
              </c:pt>
              <c:pt idx="50">
                <c:v>0.83927356122508634</c:v>
              </c:pt>
              <c:pt idx="51">
                <c:v>0.84258228909187871</c:v>
              </c:pt>
              <c:pt idx="52">
                <c:v>0.84258228909187871</c:v>
              </c:pt>
              <c:pt idx="53">
                <c:v>0.84258228909187871</c:v>
              </c:pt>
              <c:pt idx="54">
                <c:v>0.84589101695867108</c:v>
              </c:pt>
              <c:pt idx="55">
                <c:v>0.84589101695867108</c:v>
              </c:pt>
              <c:pt idx="56">
                <c:v>0.84589101695867108</c:v>
              </c:pt>
              <c:pt idx="57">
                <c:v>0.84919974482546334</c:v>
              </c:pt>
              <c:pt idx="58">
                <c:v>0.84919974482546334</c:v>
              </c:pt>
              <c:pt idx="59">
                <c:v>0.84919974482546334</c:v>
              </c:pt>
              <c:pt idx="60">
                <c:v>0.85250847269225571</c:v>
              </c:pt>
              <c:pt idx="61">
                <c:v>0.85250847269225571</c:v>
              </c:pt>
              <c:pt idx="62">
                <c:v>0.85250847269225571</c:v>
              </c:pt>
              <c:pt idx="63">
                <c:v>0.85581720055904809</c:v>
              </c:pt>
              <c:pt idx="64">
                <c:v>0.85581720055904809</c:v>
              </c:pt>
              <c:pt idx="65">
                <c:v>0.85581720055904809</c:v>
              </c:pt>
              <c:pt idx="66">
                <c:v>0.85912592842584035</c:v>
              </c:pt>
              <c:pt idx="67">
                <c:v>0.85912592842584035</c:v>
              </c:pt>
              <c:pt idx="68">
                <c:v>0.85912592842584035</c:v>
              </c:pt>
              <c:pt idx="69">
                <c:v>0.86243465629263272</c:v>
              </c:pt>
              <c:pt idx="70">
                <c:v>0.86243465629263272</c:v>
              </c:pt>
              <c:pt idx="71">
                <c:v>0.86243465629263272</c:v>
              </c:pt>
              <c:pt idx="72">
                <c:v>0.86574338415942509</c:v>
              </c:pt>
              <c:pt idx="73">
                <c:v>0.86574338415942509</c:v>
              </c:pt>
              <c:pt idx="74">
                <c:v>0.86574338415942509</c:v>
              </c:pt>
              <c:pt idx="75">
                <c:v>0.86905211202621746</c:v>
              </c:pt>
              <c:pt idx="76">
                <c:v>0.86905211202621746</c:v>
              </c:pt>
              <c:pt idx="77">
                <c:v>0.86905211202621746</c:v>
              </c:pt>
              <c:pt idx="78">
                <c:v>0.87236083989300983</c:v>
              </c:pt>
              <c:pt idx="79">
                <c:v>0.87236083989300983</c:v>
              </c:pt>
              <c:pt idx="80">
                <c:v>0.87236083989300983</c:v>
              </c:pt>
              <c:pt idx="81">
                <c:v>0.87566956775980209</c:v>
              </c:pt>
              <c:pt idx="82">
                <c:v>0.87566956775980209</c:v>
              </c:pt>
              <c:pt idx="83">
                <c:v>0.87566956775980209</c:v>
              </c:pt>
              <c:pt idx="84">
                <c:v>0.87897829562659446</c:v>
              </c:pt>
              <c:pt idx="85">
                <c:v>0.87897829562659446</c:v>
              </c:pt>
              <c:pt idx="86">
                <c:v>0.87897829562659446</c:v>
              </c:pt>
              <c:pt idx="87">
                <c:v>0.88228702349338683</c:v>
              </c:pt>
              <c:pt idx="88">
                <c:v>0.88228702349338683</c:v>
              </c:pt>
              <c:pt idx="89">
                <c:v>0.88228702349338683</c:v>
              </c:pt>
              <c:pt idx="90">
                <c:v>0.8855957513601791</c:v>
              </c:pt>
              <c:pt idx="91">
                <c:v>0.8855957513601791</c:v>
              </c:pt>
              <c:pt idx="92">
                <c:v>0.8855957513601791</c:v>
              </c:pt>
              <c:pt idx="93">
                <c:v>0.88890447922697147</c:v>
              </c:pt>
              <c:pt idx="94">
                <c:v>0.88890447922697147</c:v>
              </c:pt>
              <c:pt idx="95">
                <c:v>0.88890447922697147</c:v>
              </c:pt>
              <c:pt idx="96">
                <c:v>0.89221320709376384</c:v>
              </c:pt>
              <c:pt idx="97">
                <c:v>0.89221320709376384</c:v>
              </c:pt>
              <c:pt idx="98">
                <c:v>0.89221320709376384</c:v>
              </c:pt>
              <c:pt idx="99">
                <c:v>0.89552193496055621</c:v>
              </c:pt>
              <c:pt idx="100">
                <c:v>0.89552193496055621</c:v>
              </c:pt>
              <c:pt idx="101">
                <c:v>0.89552193496055621</c:v>
              </c:pt>
              <c:pt idx="102">
                <c:v>0.89883066282734858</c:v>
              </c:pt>
              <c:pt idx="103">
                <c:v>0.89883066282734858</c:v>
              </c:pt>
              <c:pt idx="104">
                <c:v>0.89883066282734858</c:v>
              </c:pt>
              <c:pt idx="105">
                <c:v>0.90213939069414084</c:v>
              </c:pt>
              <c:pt idx="106">
                <c:v>0.90213939069414084</c:v>
              </c:pt>
              <c:pt idx="107">
                <c:v>0.90213939069414084</c:v>
              </c:pt>
              <c:pt idx="108">
                <c:v>0.90544811856093321</c:v>
              </c:pt>
              <c:pt idx="109">
                <c:v>0.90544811856093321</c:v>
              </c:pt>
              <c:pt idx="110">
                <c:v>0.90544811856093321</c:v>
              </c:pt>
              <c:pt idx="111">
                <c:v>0.90875684642772558</c:v>
              </c:pt>
              <c:pt idx="112">
                <c:v>0.90875684642772558</c:v>
              </c:pt>
              <c:pt idx="113">
                <c:v>0.90875684642772558</c:v>
              </c:pt>
              <c:pt idx="114">
                <c:v>0.91206557429451784</c:v>
              </c:pt>
              <c:pt idx="115">
                <c:v>0.91206557429451784</c:v>
              </c:pt>
              <c:pt idx="116">
                <c:v>0.91206557429451784</c:v>
              </c:pt>
              <c:pt idx="117">
                <c:v>0.91537430216131022</c:v>
              </c:pt>
              <c:pt idx="118">
                <c:v>0.91537430216131022</c:v>
              </c:pt>
              <c:pt idx="119">
                <c:v>0.91537430216131022</c:v>
              </c:pt>
              <c:pt idx="120">
                <c:v>0.91868303002810259</c:v>
              </c:pt>
              <c:pt idx="121">
                <c:v>0.91868303002810259</c:v>
              </c:pt>
              <c:pt idx="122">
                <c:v>0.91868303002810259</c:v>
              </c:pt>
            </c:numLit>
          </c:xVal>
          <c:yVal>
            <c:numLit>
              <c:formatCode>General</c:formatCode>
              <c:ptCount val="125"/>
              <c:pt idx="0">
                <c:v>0</c:v>
              </c:pt>
              <c:pt idx="1">
                <c:v>0</c:v>
              </c:pt>
              <c:pt idx="2">
                <c:v>9.0669288039947921E-2</c:v>
              </c:pt>
              <c:pt idx="3">
                <c:v>9.0669288039947921E-2</c:v>
              </c:pt>
              <c:pt idx="4">
                <c:v>0</c:v>
              </c:pt>
              <c:pt idx="5">
                <c:v>0.30223096013315981</c:v>
              </c:pt>
              <c:pt idx="6">
                <c:v>0.30223096013315981</c:v>
              </c:pt>
              <c:pt idx="7">
                <c:v>0</c:v>
              </c:pt>
              <c:pt idx="8">
                <c:v>0.78580049634624172</c:v>
              </c:pt>
              <c:pt idx="9">
                <c:v>0.78580049634624172</c:v>
              </c:pt>
              <c:pt idx="10">
                <c:v>0</c:v>
              </c:pt>
              <c:pt idx="11">
                <c:v>1.2693700325592709</c:v>
              </c:pt>
              <c:pt idx="12">
                <c:v>1.2693700325592709</c:v>
              </c:pt>
              <c:pt idx="13">
                <c:v>0</c:v>
              </c:pt>
              <c:pt idx="14">
                <c:v>3.1129788893715458</c:v>
              </c:pt>
              <c:pt idx="15">
                <c:v>3.1129788893715458</c:v>
              </c:pt>
              <c:pt idx="16">
                <c:v>0</c:v>
              </c:pt>
              <c:pt idx="17">
                <c:v>5.6819420505035936</c:v>
              </c:pt>
              <c:pt idx="18">
                <c:v>5.6819420505035936</c:v>
              </c:pt>
              <c:pt idx="19">
                <c:v>0</c:v>
              </c:pt>
              <c:pt idx="20">
                <c:v>8.7344747478483207</c:v>
              </c:pt>
              <c:pt idx="21">
                <c:v>8.7344747478483207</c:v>
              </c:pt>
              <c:pt idx="22">
                <c:v>0</c:v>
              </c:pt>
              <c:pt idx="23">
                <c:v>10.910537660807066</c:v>
              </c:pt>
              <c:pt idx="24">
                <c:v>10.910537660807066</c:v>
              </c:pt>
              <c:pt idx="25">
                <c:v>0</c:v>
              </c:pt>
              <c:pt idx="26">
                <c:v>14.386193702338403</c:v>
              </c:pt>
              <c:pt idx="27">
                <c:v>14.386193702338403</c:v>
              </c:pt>
              <c:pt idx="28">
                <c:v>0</c:v>
              </c:pt>
              <c:pt idx="29">
                <c:v>16.894710671443633</c:v>
              </c:pt>
              <c:pt idx="30">
                <c:v>16.894710671443633</c:v>
              </c:pt>
              <c:pt idx="31">
                <c:v>0</c:v>
              </c:pt>
              <c:pt idx="32">
                <c:v>18.073411415963566</c:v>
              </c:pt>
              <c:pt idx="33">
                <c:v>18.073411415963566</c:v>
              </c:pt>
              <c:pt idx="34">
                <c:v>0</c:v>
              </c:pt>
              <c:pt idx="35">
                <c:v>18.587204048189324</c:v>
              </c:pt>
              <c:pt idx="36">
                <c:v>18.587204048189324</c:v>
              </c:pt>
              <c:pt idx="37">
                <c:v>0</c:v>
              </c:pt>
              <c:pt idx="38">
                <c:v>19.493896928588807</c:v>
              </c:pt>
              <c:pt idx="39">
                <c:v>19.493896928588807</c:v>
              </c:pt>
              <c:pt idx="40">
                <c:v>0</c:v>
              </c:pt>
              <c:pt idx="41">
                <c:v>18.466311664136679</c:v>
              </c:pt>
              <c:pt idx="42">
                <c:v>18.466311664136679</c:v>
              </c:pt>
              <c:pt idx="43">
                <c:v>0</c:v>
              </c:pt>
              <c:pt idx="44">
                <c:v>18.79876572028255</c:v>
              </c:pt>
              <c:pt idx="45">
                <c:v>18.79876572028255</c:v>
              </c:pt>
              <c:pt idx="46">
                <c:v>0</c:v>
              </c:pt>
              <c:pt idx="47">
                <c:v>18.34541928008279</c:v>
              </c:pt>
              <c:pt idx="48">
                <c:v>18.34541928008279</c:v>
              </c:pt>
              <c:pt idx="49">
                <c:v>0</c:v>
              </c:pt>
              <c:pt idx="50">
                <c:v>16.290248751177295</c:v>
              </c:pt>
              <c:pt idx="51">
                <c:v>16.290248751177295</c:v>
              </c:pt>
              <c:pt idx="52">
                <c:v>0</c:v>
              </c:pt>
              <c:pt idx="53">
                <c:v>16.501810423270552</c:v>
              </c:pt>
              <c:pt idx="54">
                <c:v>16.501810423270552</c:v>
              </c:pt>
              <c:pt idx="55">
                <c:v>0</c:v>
              </c:pt>
              <c:pt idx="56">
                <c:v>15.292886582738392</c:v>
              </c:pt>
              <c:pt idx="57">
                <c:v>15.292886582738392</c:v>
              </c:pt>
              <c:pt idx="58">
                <c:v>0</c:v>
              </c:pt>
              <c:pt idx="59">
                <c:v>12.723923421606001</c:v>
              </c:pt>
              <c:pt idx="60">
                <c:v>12.723923421606001</c:v>
              </c:pt>
              <c:pt idx="61">
                <c:v>0</c:v>
              </c:pt>
              <c:pt idx="62">
                <c:v>11.87767673323318</c:v>
              </c:pt>
              <c:pt idx="63">
                <c:v>11.87767673323318</c:v>
              </c:pt>
              <c:pt idx="64">
                <c:v>0</c:v>
              </c:pt>
              <c:pt idx="65">
                <c:v>10.850091468780812</c:v>
              </c:pt>
              <c:pt idx="66">
                <c:v>10.850091468780812</c:v>
              </c:pt>
              <c:pt idx="67">
                <c:v>0</c:v>
              </c:pt>
              <c:pt idx="68">
                <c:v>9.7620600123010597</c:v>
              </c:pt>
              <c:pt idx="69">
                <c:v>9.7620600123010597</c:v>
              </c:pt>
              <c:pt idx="70">
                <c:v>0</c:v>
              </c:pt>
              <c:pt idx="71">
                <c:v>7.6464432913689393</c:v>
              </c:pt>
              <c:pt idx="72">
                <c:v>7.6464432913689393</c:v>
              </c:pt>
              <c:pt idx="73">
                <c:v>0</c:v>
              </c:pt>
              <c:pt idx="74">
                <c:v>6.316627066783048</c:v>
              </c:pt>
              <c:pt idx="75">
                <c:v>6.316627066783048</c:v>
              </c:pt>
              <c:pt idx="76">
                <c:v>0</c:v>
              </c:pt>
              <c:pt idx="77">
                <c:v>4.8356953621305605</c:v>
              </c:pt>
              <c:pt idx="78">
                <c:v>4.8356953621305605</c:v>
              </c:pt>
              <c:pt idx="79">
                <c:v>0</c:v>
              </c:pt>
              <c:pt idx="80">
                <c:v>4.6241336900374934</c:v>
              </c:pt>
              <c:pt idx="81">
                <c:v>4.6241336900374934</c:v>
              </c:pt>
              <c:pt idx="82">
                <c:v>0</c:v>
              </c:pt>
              <c:pt idx="83">
                <c:v>2.9316403132916626</c:v>
              </c:pt>
              <c:pt idx="84">
                <c:v>2.9316403132916626</c:v>
              </c:pt>
              <c:pt idx="85">
                <c:v>0</c:v>
              </c:pt>
              <c:pt idx="86">
                <c:v>2.9920865053182544</c:v>
              </c:pt>
              <c:pt idx="87">
                <c:v>2.9920865053182544</c:v>
              </c:pt>
              <c:pt idx="88">
                <c:v>0</c:v>
              </c:pt>
              <c:pt idx="89">
                <c:v>1.9645012408656231</c:v>
              </c:pt>
              <c:pt idx="90">
                <c:v>1.9645012408656231</c:v>
              </c:pt>
              <c:pt idx="91">
                <c:v>0</c:v>
              </c:pt>
              <c:pt idx="92">
                <c:v>1.4809317046524877</c:v>
              </c:pt>
              <c:pt idx="93">
                <c:v>1.4809317046524877</c:v>
              </c:pt>
              <c:pt idx="94">
                <c:v>0</c:v>
              </c:pt>
              <c:pt idx="95">
                <c:v>0.84624668837285488</c:v>
              </c:pt>
              <c:pt idx="96">
                <c:v>0.84624668837285488</c:v>
              </c:pt>
              <c:pt idx="97">
                <c:v>0</c:v>
              </c:pt>
              <c:pt idx="98">
                <c:v>0.48356953621303594</c:v>
              </c:pt>
              <c:pt idx="99">
                <c:v>0.48356953621303594</c:v>
              </c:pt>
              <c:pt idx="100">
                <c:v>0</c:v>
              </c:pt>
              <c:pt idx="101">
                <c:v>0.33245405614647272</c:v>
              </c:pt>
              <c:pt idx="102">
                <c:v>0.33245405614647272</c:v>
              </c:pt>
              <c:pt idx="103">
                <c:v>0</c:v>
              </c:pt>
              <c:pt idx="104">
                <c:v>0.2720078641198565</c:v>
              </c:pt>
              <c:pt idx="105">
                <c:v>0.2720078641198565</c:v>
              </c:pt>
              <c:pt idx="106">
                <c:v>0</c:v>
              </c:pt>
              <c:pt idx="107">
                <c:v>0.18133857607990944</c:v>
              </c:pt>
              <c:pt idx="108">
                <c:v>0.18133857607990944</c:v>
              </c:pt>
              <c:pt idx="109">
                <c:v>0</c:v>
              </c:pt>
              <c:pt idx="110">
                <c:v>6.0446192026625295E-2</c:v>
              </c:pt>
              <c:pt idx="111">
                <c:v>6.0446192026625295E-2</c:v>
              </c:pt>
              <c:pt idx="112">
                <c:v>0</c:v>
              </c:pt>
              <c:pt idx="113">
                <c:v>0</c:v>
              </c:pt>
              <c:pt idx="114">
                <c:v>0</c:v>
              </c:pt>
              <c:pt idx="115">
                <c:v>0</c:v>
              </c:pt>
              <c:pt idx="116">
                <c:v>0</c:v>
              </c:pt>
              <c:pt idx="117">
                <c:v>0</c:v>
              </c:pt>
              <c:pt idx="118">
                <c:v>0</c:v>
              </c:pt>
              <c:pt idx="119">
                <c:v>3.0223096013312648E-2</c:v>
              </c:pt>
              <c:pt idx="120">
                <c:v>3.0223096013312648E-2</c:v>
              </c:pt>
              <c:pt idx="121">
                <c:v>0</c:v>
              </c:pt>
              <c:pt idx="122">
                <c:v>0</c:v>
              </c:pt>
              <c:pt idx="123">
                <c:v>0</c:v>
              </c:pt>
              <c:pt idx="124">
                <c:v>0</c:v>
              </c:pt>
            </c:numLit>
          </c:yVal>
          <c:smooth val="0"/>
          <c:extLst>
            <c:ext xmlns:c16="http://schemas.microsoft.com/office/drawing/2014/chart" uri="{C3380CC4-5D6E-409C-BE32-E72D297353CC}">
              <c16:uniqueId val="{00000001-5332-4914-8068-F8705C367391}"/>
            </c:ext>
          </c:extLst>
        </c:ser>
        <c:ser>
          <c:idx val="2"/>
          <c:order val="2"/>
          <c:tx>
            <c:v>xDelimiter</c:v>
          </c:tx>
          <c:spPr>
            <a:ln w="19050">
              <a:noFill/>
            </a:ln>
          </c:spPr>
          <c:marker>
            <c:symbol val="diamond"/>
            <c:size val="5"/>
            <c:spPr>
              <a:solidFill>
                <a:srgbClr val="000000"/>
              </a:solidFill>
            </c:spPr>
          </c:marker>
          <c:dLbls>
            <c:dLbl>
              <c:idx val="0"/>
              <c:layout>
                <c:manualLayout>
                  <c:x val="-6.6742299529939111E-2"/>
                  <c:y val="-0.11214904211739887"/>
                </c:manualLayout>
              </c:layout>
              <c:tx>
                <c:rich>
                  <a:bodyPr wrap="square" lIns="38100" tIns="19050" rIns="38100" bIns="19050" anchor="ctr">
                    <a:spAutoFit/>
                  </a:bodyPr>
                  <a:lstStyle/>
                  <a:p>
                    <a:pPr>
                      <a:defRPr sz="750">
                        <a:solidFill>
                          <a:srgbClr val="000000"/>
                        </a:solidFill>
                        <a:latin typeface="Tahoma"/>
                        <a:ea typeface="Tahoma"/>
                        <a:cs typeface="Tahoma"/>
                      </a:defRPr>
                    </a:pPr>
                    <a:r>
                      <a:rPr lang="en-US"/>
                      <a:t>0.8042</a:t>
                    </a:r>
                  </a:p>
                </c:rich>
              </c:tx>
              <c:spPr>
                <a:noFill/>
                <a:ln>
                  <a:noFill/>
                </a:ln>
                <a:effectLst/>
              </c:spPr>
              <c:dLblPos val="r"/>
              <c:showLegendKey val="0"/>
              <c:showVal val="1"/>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02-5332-4914-8068-F8705C367391}"/>
                </c:ext>
              </c:extLst>
            </c:dLbl>
            <c:dLbl>
              <c:idx val="1"/>
              <c:layout>
                <c:manualLayout>
                  <c:x val="-6.6742299529939111E-2"/>
                  <c:y val="-0.11214904211739887"/>
                </c:manualLayout>
              </c:layout>
              <c:tx>
                <c:rich>
                  <a:bodyPr wrap="square" lIns="38100" tIns="19050" rIns="38100" bIns="19050" anchor="ctr">
                    <a:spAutoFit/>
                  </a:bodyPr>
                  <a:lstStyle/>
                  <a:p>
                    <a:pPr>
                      <a:defRPr sz="750">
                        <a:solidFill>
                          <a:srgbClr val="000000"/>
                        </a:solidFill>
                        <a:latin typeface="Tahoma"/>
                        <a:ea typeface="Tahoma"/>
                        <a:cs typeface="Tahoma"/>
                      </a:defRPr>
                    </a:pPr>
                    <a:r>
                      <a:rPr lang="en-US"/>
                      <a:t>0.8802</a:t>
                    </a:r>
                  </a:p>
                </c:rich>
              </c:tx>
              <c:spPr>
                <a:noFill/>
                <a:ln>
                  <a:noFill/>
                </a:ln>
                <a:effectLst/>
              </c:spPr>
              <c:dLblPos val="r"/>
              <c:showLegendKey val="0"/>
              <c:showVal val="1"/>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03-5332-4914-8068-F8705C367391}"/>
                </c:ext>
              </c:extLst>
            </c:dLbl>
            <c:spPr>
              <a:noFill/>
              <a:ln>
                <a:noFill/>
              </a:ln>
              <a:effectLst/>
            </c:spPr>
            <c:showLegendKey val="0"/>
            <c:showVal val="0"/>
            <c:showCatName val="0"/>
            <c:showSerName val="0"/>
            <c:showPercent val="0"/>
            <c:showBubbleSize val="0"/>
            <c:extLst>
              <c:ext xmlns:c15="http://schemas.microsoft.com/office/drawing/2012/chart" uri="{CE6537A1-D6FC-4f65-9D91-7224C49458BB}">
                <c15:showLeaderLines val="0"/>
              </c:ext>
            </c:extLst>
          </c:dLbls>
          <c:errBars>
            <c:errDir val="y"/>
            <c:errBarType val="minus"/>
            <c:errValType val="fixedVal"/>
            <c:noEndCap val="0"/>
            <c:val val="20"/>
            <c:spPr>
              <a:ln w="12700">
                <a:solidFill>
                  <a:srgbClr val="000000"/>
                </a:solidFill>
                <a:prstDash val="sysDash"/>
              </a:ln>
            </c:spPr>
          </c:errBars>
          <c:xVal>
            <c:numLit>
              <c:formatCode>General</c:formatCode>
              <c:ptCount val="2"/>
              <c:pt idx="0">
                <c:v>0.80416101355486069</c:v>
              </c:pt>
              <c:pt idx="1">
                <c:v>0.88016448458921248</c:v>
              </c:pt>
            </c:numLit>
          </c:xVal>
          <c:yVal>
            <c:numLit>
              <c:formatCode>General</c:formatCode>
              <c:ptCount val="2"/>
              <c:pt idx="0">
                <c:v>20</c:v>
              </c:pt>
              <c:pt idx="1">
                <c:v>20</c:v>
              </c:pt>
            </c:numLit>
          </c:yVal>
          <c:smooth val="1"/>
          <c:extLst>
            <c:ext xmlns:c16="http://schemas.microsoft.com/office/drawing/2014/chart" uri="{C3380CC4-5D6E-409C-BE32-E72D297353CC}">
              <c16:uniqueId val="{00000004-5332-4914-8068-F8705C367391}"/>
            </c:ext>
          </c:extLst>
        </c:ser>
        <c:ser>
          <c:idx val="3"/>
          <c:order val="3"/>
          <c:tx>
            <c:v>xPDelimiter1</c:v>
          </c:tx>
          <c:spPr>
            <a:ln w="19050">
              <a:noFill/>
            </a:ln>
          </c:spPr>
          <c:marker>
            <c:symbol val="none"/>
          </c:marker>
          <c:dLbls>
            <c:dLbl>
              <c:idx val="0"/>
              <c:layout>
                <c:manualLayout>
                  <c:x val="-7.7818282790217977E-2"/>
                  <c:y val="-4.2056070005352442E-2"/>
                </c:manualLayout>
              </c:layout>
              <c:tx>
                <c:rich>
                  <a:bodyPr wrap="square" lIns="38100" tIns="19050" rIns="38100" bIns="19050" anchor="ctr">
                    <a:noAutofit/>
                  </a:bodyPr>
                  <a:lstStyle/>
                  <a:p>
                    <a:pPr>
                      <a:defRPr sz="750">
                        <a:solidFill>
                          <a:srgbClr val="000000"/>
                        </a:solidFill>
                        <a:latin typeface="Tahoma"/>
                        <a:ea typeface="Tahoma"/>
                        <a:cs typeface="Tahoma"/>
                      </a:defRPr>
                    </a:pPr>
                    <a:r>
                      <a:rPr lang="en-US"/>
                      <a:t>2.5%</a:t>
                    </a:r>
                  </a:p>
                </c:rich>
              </c:tx>
              <c:spPr>
                <a:noFill/>
                <a:ln w="9525">
                  <a:solidFill>
                    <a:srgbClr val="000000"/>
                  </a:solidFill>
                </a:ln>
                <a:effectLst/>
              </c:spPr>
              <c:dLblPos val="r"/>
              <c:showLegendKey val="0"/>
              <c:showVal val="1"/>
              <c:showCatName val="0"/>
              <c:showSerName val="0"/>
              <c:showPercent val="0"/>
              <c:showBubbleSize val="0"/>
              <c:extLst>
                <c:ext xmlns:c15="http://schemas.microsoft.com/office/drawing/2012/chart" uri="{CE6537A1-D6FC-4f65-9D91-7224C49458BB}">
                  <c15:layout>
                    <c:manualLayout>
                      <c:w val="0.118692841677982"/>
                      <c:h val="6.5420560747663545E-2"/>
                    </c:manualLayout>
                  </c15:layout>
                  <c15:showDataLabelsRange val="0"/>
                </c:ext>
                <c:ext xmlns:c16="http://schemas.microsoft.com/office/drawing/2014/chart" uri="{C3380CC4-5D6E-409C-BE32-E72D297353CC}">
                  <c16:uniqueId val="{00000005-5332-4914-8068-F8705C367391}"/>
                </c:ext>
              </c:extLst>
            </c:dLbl>
            <c:dLbl>
              <c:idx val="1"/>
              <c:layout>
                <c:manualLayout>
                  <c:x val="-0.116319376954455"/>
                  <c:y val="-4.2056070005352442E-2"/>
                </c:manualLayout>
              </c:layout>
              <c:tx>
                <c:rich>
                  <a:bodyPr wrap="square" lIns="38100" tIns="19050" rIns="38100" bIns="19050" anchor="ctr">
                    <a:noAutofit/>
                  </a:bodyPr>
                  <a:lstStyle/>
                  <a:p>
                    <a:pPr>
                      <a:defRPr sz="750">
                        <a:solidFill>
                          <a:srgbClr val="000000"/>
                        </a:solidFill>
                        <a:latin typeface="Tahoma"/>
                        <a:ea typeface="Tahoma"/>
                        <a:cs typeface="Tahoma"/>
                      </a:defRPr>
                    </a:pPr>
                    <a:r>
                      <a:rPr lang="en-US"/>
                      <a:t>2.5%</a:t>
                    </a:r>
                  </a:p>
                </c:rich>
              </c:tx>
              <c:spPr>
                <a:noFill/>
                <a:ln w="9525">
                  <a:solidFill>
                    <a:srgbClr val="000000"/>
                  </a:solidFill>
                </a:ln>
                <a:effectLst/>
              </c:spPr>
              <c:dLblPos val="r"/>
              <c:showLegendKey val="0"/>
              <c:showVal val="1"/>
              <c:showCatName val="0"/>
              <c:showSerName val="0"/>
              <c:showPercent val="0"/>
              <c:showBubbleSize val="0"/>
              <c:extLst>
                <c:ext xmlns:c15="http://schemas.microsoft.com/office/drawing/2012/chart" uri="{CE6537A1-D6FC-4f65-9D91-7224C49458BB}">
                  <c15:layout>
                    <c:manualLayout>
                      <c:w val="0.19569505872494228"/>
                      <c:h val="6.5420560747663545E-2"/>
                    </c:manualLayout>
                  </c15:layout>
                  <c15:showDataLabelsRange val="0"/>
                </c:ext>
                <c:ext xmlns:c16="http://schemas.microsoft.com/office/drawing/2014/chart" uri="{C3380CC4-5D6E-409C-BE32-E72D297353CC}">
                  <c16:uniqueId val="{00000006-5332-4914-8068-F8705C367391}"/>
                </c:ext>
              </c:extLst>
            </c:dLbl>
            <c:dLbl>
              <c:idx val="2"/>
              <c:layout>
                <c:manualLayout>
                  <c:x val="-0.20515824061035193"/>
                  <c:y val="-4.2056070005352442E-2"/>
                </c:manualLayout>
              </c:layout>
              <c:tx>
                <c:rich>
                  <a:bodyPr wrap="square" lIns="38100" tIns="19050" rIns="38100" bIns="19050" anchor="ctr">
                    <a:noAutofit/>
                  </a:bodyPr>
                  <a:lstStyle/>
                  <a:p>
                    <a:pPr>
                      <a:defRPr sz="750">
                        <a:solidFill>
                          <a:srgbClr val="FFFFFF"/>
                        </a:solidFill>
                        <a:latin typeface="Tahoma"/>
                        <a:ea typeface="Tahoma"/>
                        <a:cs typeface="Tahoma"/>
                      </a:defRPr>
                    </a:pPr>
                    <a:r>
                      <a:rPr lang="en-US"/>
                      <a:t>95.0%</a:t>
                    </a:r>
                  </a:p>
                </c:rich>
              </c:tx>
              <c:spPr>
                <a:solidFill>
                  <a:srgbClr val="DC143C"/>
                </a:solidFill>
                <a:ln w="9525">
                  <a:solidFill>
                    <a:srgbClr val="000000"/>
                  </a:solidFill>
                </a:ln>
                <a:effectLst/>
              </c:spPr>
              <c:dLblPos val="r"/>
              <c:showLegendKey val="0"/>
              <c:showVal val="1"/>
              <c:showCatName val="0"/>
              <c:showSerName val="0"/>
              <c:showPercent val="0"/>
              <c:showBubbleSize val="0"/>
              <c:extLst>
                <c:ext xmlns:c15="http://schemas.microsoft.com/office/drawing/2012/chart" uri="{CE6537A1-D6FC-4f65-9D91-7224C49458BB}">
                  <c15:layout>
                    <c:manualLayout>
                      <c:w val="0.37337290830315911"/>
                      <c:h val="6.5420560747663545E-2"/>
                    </c:manualLayout>
                  </c15:layout>
                  <c15:showDataLabelsRange val="0"/>
                </c:ext>
                <c:ext xmlns:c16="http://schemas.microsoft.com/office/drawing/2014/chart" uri="{C3380CC4-5D6E-409C-BE32-E72D297353CC}">
                  <c16:uniqueId val="{00000007-5332-4914-8068-F8705C367391}"/>
                </c:ext>
              </c:extLst>
            </c:dLbl>
            <c:spPr>
              <a:noFill/>
              <a:ln>
                <a:noFill/>
              </a:ln>
              <a:effectLst/>
            </c:spPr>
            <c:showLegendKey val="0"/>
            <c:showVal val="0"/>
            <c:showCatName val="0"/>
            <c:showSerName val="0"/>
            <c:showPercent val="0"/>
            <c:showBubbleSize val="0"/>
            <c:extLst>
              <c:ext xmlns:c15="http://schemas.microsoft.com/office/drawing/2012/chart" uri="{CE6537A1-D6FC-4f65-9D91-7224C49458BB}">
                <c15:showLeaderLines val="0"/>
              </c:ext>
            </c:extLst>
          </c:dLbls>
          <c:xVal>
            <c:numLit>
              <c:formatCode>General</c:formatCode>
              <c:ptCount val="3"/>
              <c:pt idx="0">
                <c:v>0.79208050677743036</c:v>
              </c:pt>
              <c:pt idx="1">
                <c:v>0.90008224229460632</c:v>
              </c:pt>
              <c:pt idx="2">
                <c:v>0.84216274907203659</c:v>
              </c:pt>
            </c:numLit>
          </c:xVal>
          <c:yVal>
            <c:numLit>
              <c:formatCode>General</c:formatCode>
              <c:ptCount val="3"/>
              <c:pt idx="0">
                <c:v>20</c:v>
              </c:pt>
              <c:pt idx="1">
                <c:v>20</c:v>
              </c:pt>
              <c:pt idx="2">
                <c:v>20</c:v>
              </c:pt>
            </c:numLit>
          </c:yVal>
          <c:smooth val="1"/>
          <c:extLst>
            <c:ext xmlns:c16="http://schemas.microsoft.com/office/drawing/2014/chart" uri="{C3380CC4-5D6E-409C-BE32-E72D297353CC}">
              <c16:uniqueId val="{00000008-5332-4914-8068-F8705C367391}"/>
            </c:ext>
          </c:extLst>
        </c:ser>
        <c:dLbls>
          <c:showLegendKey val="0"/>
          <c:showVal val="0"/>
          <c:showCatName val="0"/>
          <c:showSerName val="0"/>
          <c:showPercent val="0"/>
          <c:showBubbleSize val="0"/>
        </c:dLbls>
        <c:axId val="935031616"/>
        <c:axId val="935032400"/>
      </c:scatterChart>
      <c:valAx>
        <c:axId val="935031616"/>
        <c:scaling>
          <c:orientation val="minMax"/>
          <c:max val="0.92000000000000015"/>
          <c:min val="0.78000000000000014"/>
        </c:scaling>
        <c:delete val="0"/>
        <c:axPos val="b"/>
        <c:majorGridlines>
          <c:spPr>
            <a:ln>
              <a:solidFill>
                <a:srgbClr val="C0C0C0"/>
              </a:solidFill>
              <a:prstDash val="solid"/>
            </a:ln>
          </c:spPr>
        </c:majorGridlines>
        <c:numFmt formatCode="0.00" sourceLinked="0"/>
        <c:majorTickMark val="out"/>
        <c:minorTickMark val="none"/>
        <c:tickLblPos val="nextTo"/>
        <c:txPr>
          <a:bodyPr rot="-5400000" vert="horz"/>
          <a:lstStyle/>
          <a:p>
            <a:pPr>
              <a:defRPr sz="750" b="0" i="0" u="none" strike="noStrike">
                <a:solidFill>
                  <a:srgbClr val="000000"/>
                </a:solidFill>
                <a:latin typeface="Tahoma"/>
                <a:ea typeface="Tahoma"/>
                <a:cs typeface="Tahoma"/>
              </a:defRPr>
            </a:pPr>
            <a:endParaRPr lang="en-US"/>
          </a:p>
        </c:txPr>
        <c:crossAx val="935032400"/>
        <c:crossesAt val="0"/>
        <c:crossBetween val="midCat"/>
        <c:majorUnit val="0.02"/>
      </c:valAx>
      <c:valAx>
        <c:axId val="935032400"/>
        <c:scaling>
          <c:orientation val="minMax"/>
          <c:max val="20"/>
          <c:min val="0"/>
        </c:scaling>
        <c:delete val="0"/>
        <c:axPos val="l"/>
        <c:majorGridlines>
          <c:spPr>
            <a:ln>
              <a:solidFill>
                <a:srgbClr val="C0C0C0"/>
              </a:solidFill>
              <a:prstDash val="solid"/>
            </a:ln>
          </c:spPr>
        </c:majorGridlines>
        <c:numFmt formatCode="0" sourceLinked="0"/>
        <c:majorTickMark val="out"/>
        <c:minorTickMark val="none"/>
        <c:tickLblPos val="nextTo"/>
        <c:txPr>
          <a:bodyPr/>
          <a:lstStyle/>
          <a:p>
            <a:pPr>
              <a:defRPr sz="750" b="0" i="0" u="none" strike="noStrike">
                <a:solidFill>
                  <a:srgbClr val="000000"/>
                </a:solidFill>
                <a:latin typeface="Tahoma"/>
                <a:ea typeface="Tahoma"/>
                <a:cs typeface="Tahoma"/>
              </a:defRPr>
            </a:pPr>
            <a:endParaRPr lang="en-US"/>
          </a:p>
        </c:txPr>
        <c:crossAx val="935031616"/>
        <c:crossesAt val="0.78000000000000014"/>
        <c:crossBetween val="midCat"/>
        <c:majorUnit val="2"/>
      </c:valAx>
      <c:spPr>
        <a:solidFill>
          <a:srgbClr val="F5F5F5"/>
        </a:solidFill>
        <a:ln>
          <a:noFill/>
        </a:ln>
        <a:effectLst/>
        <a:extLst>
          <a:ext uri="{91240B29-F687-4F45-9708-019B960494DF}">
            <a14:hiddenLine xmlns:a14="http://schemas.microsoft.com/office/drawing/2010/main">
              <a:noFill/>
            </a14:hiddenLine>
          </a:ext>
        </a:extLst>
      </c:spPr>
    </c:plotArea>
    <c:legend>
      <c:legendPos val="r"/>
      <c:legendEntry>
        <c:idx val="1"/>
        <c:delete val="1"/>
      </c:legendEntry>
      <c:legendEntry>
        <c:idx val="2"/>
        <c:delete val="1"/>
      </c:legendEntry>
      <c:legendEntry>
        <c:idx val="3"/>
        <c:delete val="1"/>
      </c:legendEntry>
      <c:layout>
        <c:manualLayout>
          <c:xMode val="edge"/>
          <c:yMode val="edge"/>
          <c:x val="0.77413937867338367"/>
          <c:y val="0.51293755171826327"/>
          <c:w val="0.20808608588463184"/>
          <c:h val="9.3457943925233641E-2"/>
        </c:manualLayout>
      </c:layout>
      <c:overlay val="1"/>
      <c:spPr>
        <a:ln w="25400">
          <a:noFill/>
        </a:ln>
      </c:spPr>
      <c:txPr>
        <a:bodyPr/>
        <a:lstStyle/>
        <a:p>
          <a:pPr>
            <a:defRPr sz="563"/>
          </a:pPr>
          <a:endParaRPr lang="en-US"/>
        </a:p>
      </c:txPr>
    </c:legend>
    <c:plotVisOnly val="1"/>
    <c:dispBlanksAs val="gap"/>
    <c:showDLblsOverMax val="0"/>
  </c:chart>
  <c:spPr>
    <a:solidFill>
      <a:srgbClr val="FFFFFF"/>
    </a:solidFill>
    <a:ln w="9525"/>
  </c:sp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b="0" i="0" u="none" strike="noStrike">
                <a:solidFill>
                  <a:srgbClr val="000000"/>
                </a:solidFill>
                <a:latin typeface="Tahoma"/>
                <a:ea typeface="Tahoma"/>
                <a:cs typeface="Tahoma"/>
              </a:defRPr>
            </a:pPr>
            <a:r>
              <a:rPr lang="en-US"/>
              <a:t>CO2 Emissions from Cement Production</a:t>
            </a:r>
          </a:p>
        </c:rich>
      </c:tx>
      <c:overlay val="0"/>
    </c:title>
    <c:autoTitleDeleted val="0"/>
    <c:plotArea>
      <c:layout>
        <c:manualLayout>
          <c:xMode val="edge"/>
          <c:yMode val="edge"/>
          <c:x val="2.0151133501259445E-2"/>
          <c:y val="0.28971962616822428"/>
          <c:w val="0.77917716204869858"/>
          <c:h val="0.61889927409519663"/>
        </c:manualLayout>
      </c:layout>
      <c:scatterChart>
        <c:scatterStyle val="smoothMarker"/>
        <c:varyColors val="0"/>
        <c:ser>
          <c:idx val="0"/>
          <c:order val="0"/>
          <c:tx>
            <c:v>Cement2016</c:v>
          </c:tx>
          <c:spPr>
            <a:ln w="25400">
              <a:noFill/>
            </a:ln>
          </c:spPr>
          <c:marker>
            <c:symbol val="plus"/>
            <c:size val="5"/>
            <c:spPr>
              <a:noFill/>
              <a:ln>
                <a:solidFill>
                  <a:srgbClr val="DC143C"/>
                </a:solidFill>
                <a:prstDash val="solid"/>
              </a:ln>
            </c:spPr>
          </c:marker>
          <c:errBars>
            <c:errDir val="y"/>
            <c:errBarType val="plus"/>
            <c:errValType val="fixedVal"/>
            <c:noEndCap val="0"/>
            <c:val val="10000000"/>
            <c:spPr>
              <a:ln w="38100">
                <a:solidFill>
                  <a:srgbClr val="DC143C"/>
                </a:solidFill>
                <a:prstDash val="solid"/>
              </a:ln>
            </c:spPr>
          </c:errBars>
          <c:xVal>
            <c:numLit>
              <c:formatCode>General</c:formatCode>
              <c:ptCount val="1"/>
              <c:pt idx="0">
                <c:v>0</c:v>
              </c:pt>
            </c:numLit>
          </c:xVal>
          <c:yVal>
            <c:numLit>
              <c:formatCode>General</c:formatCode>
              <c:ptCount val="1"/>
              <c:pt idx="0">
                <c:v>0</c:v>
              </c:pt>
            </c:numLit>
          </c:yVal>
          <c:smooth val="0"/>
          <c:extLst>
            <c:ext xmlns:c16="http://schemas.microsoft.com/office/drawing/2014/chart" uri="{C3380CC4-5D6E-409C-BE32-E72D297353CC}">
              <c16:uniqueId val="{00000000-3B95-417D-ABA3-8E18A34E7D00}"/>
            </c:ext>
          </c:extLst>
        </c:ser>
        <c:ser>
          <c:idx val="1"/>
          <c:order val="1"/>
          <c:tx>
            <c:v>xDelimiter</c:v>
          </c:tx>
          <c:spPr>
            <a:ln w="19050">
              <a:noFill/>
            </a:ln>
          </c:spPr>
          <c:marker>
            <c:symbol val="diamond"/>
            <c:size val="5"/>
            <c:spPr>
              <a:solidFill>
                <a:srgbClr val="000000"/>
              </a:solidFill>
            </c:spPr>
          </c:marker>
          <c:dLbls>
            <c:dLbl>
              <c:idx val="0"/>
              <c:layout>
                <c:manualLayout>
                  <c:x val="-5.9865791335277044E-2"/>
                  <c:y val="-0.11214904211739887"/>
                </c:manualLayout>
              </c:layout>
              <c:tx>
                <c:rich>
                  <a:bodyPr wrap="square" lIns="38100" tIns="19050" rIns="38100" bIns="19050" anchor="ctr">
                    <a:spAutoFit/>
                  </a:bodyPr>
                  <a:lstStyle/>
                  <a:p>
                    <a:pPr>
                      <a:defRPr sz="750">
                        <a:solidFill>
                          <a:srgbClr val="000000"/>
                        </a:solidFill>
                        <a:latin typeface="Tahoma"/>
                        <a:ea typeface="Tahoma"/>
                        <a:cs typeface="Tahoma"/>
                      </a:defRPr>
                    </a:pPr>
                    <a:r>
                      <a:rPr lang="en-US"/>
                      <a:t>0.000</a:t>
                    </a:r>
                  </a:p>
                </c:rich>
              </c:tx>
              <c:spPr>
                <a:noFill/>
                <a:ln>
                  <a:noFill/>
                </a:ln>
                <a:effectLst/>
              </c:spPr>
              <c:dLblPos val="r"/>
              <c:showLegendKey val="0"/>
              <c:showVal val="1"/>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01-3B95-417D-ABA3-8E18A34E7D00}"/>
                </c:ext>
              </c:extLst>
            </c:dLbl>
            <c:dLbl>
              <c:idx val="1"/>
              <c:layout>
                <c:manualLayout>
                  <c:x val="-5.9865791335277044E-2"/>
                  <c:y val="-0.11214904211739887"/>
                </c:manualLayout>
              </c:layout>
              <c:tx>
                <c:rich>
                  <a:bodyPr wrap="square" lIns="38100" tIns="19050" rIns="38100" bIns="19050" anchor="ctr">
                    <a:spAutoFit/>
                  </a:bodyPr>
                  <a:lstStyle/>
                  <a:p>
                    <a:pPr>
                      <a:defRPr sz="750">
                        <a:solidFill>
                          <a:srgbClr val="000000"/>
                        </a:solidFill>
                        <a:latin typeface="Tahoma"/>
                        <a:ea typeface="Tahoma"/>
                        <a:cs typeface="Tahoma"/>
                      </a:defRPr>
                    </a:pPr>
                    <a:r>
                      <a:rPr lang="en-US"/>
                      <a:t>0.000</a:t>
                    </a:r>
                  </a:p>
                </c:rich>
              </c:tx>
              <c:spPr>
                <a:noFill/>
                <a:ln>
                  <a:noFill/>
                </a:ln>
                <a:effectLst/>
              </c:spPr>
              <c:dLblPos val="r"/>
              <c:showLegendKey val="0"/>
              <c:showVal val="1"/>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02-3B95-417D-ABA3-8E18A34E7D00}"/>
                </c:ext>
              </c:extLst>
            </c:dLbl>
            <c:spPr>
              <a:noFill/>
              <a:ln>
                <a:noFill/>
              </a:ln>
              <a:effectLst/>
            </c:spPr>
            <c:showLegendKey val="0"/>
            <c:showVal val="0"/>
            <c:showCatName val="0"/>
            <c:showSerName val="0"/>
            <c:showPercent val="0"/>
            <c:showBubbleSize val="0"/>
            <c:extLst>
              <c:ext xmlns:c15="http://schemas.microsoft.com/office/drawing/2012/chart" uri="{CE6537A1-D6FC-4f65-9D91-7224C49458BB}">
                <c15:showLeaderLines val="0"/>
              </c:ext>
            </c:extLst>
          </c:dLbls>
          <c:errBars>
            <c:errDir val="y"/>
            <c:errBarType val="minus"/>
            <c:errValType val="fixedVal"/>
            <c:noEndCap val="0"/>
            <c:val val="1"/>
            <c:spPr>
              <a:ln w="12700">
                <a:solidFill>
                  <a:srgbClr val="000000"/>
                </a:solidFill>
                <a:prstDash val="sysDash"/>
              </a:ln>
            </c:spPr>
          </c:errBars>
          <c:xVal>
            <c:numLit>
              <c:formatCode>General</c:formatCode>
              <c:ptCount val="2"/>
              <c:pt idx="0">
                <c:v>0</c:v>
              </c:pt>
              <c:pt idx="1">
                <c:v>0</c:v>
              </c:pt>
            </c:numLit>
          </c:xVal>
          <c:yVal>
            <c:numLit>
              <c:formatCode>General</c:formatCode>
              <c:ptCount val="2"/>
              <c:pt idx="0">
                <c:v>1</c:v>
              </c:pt>
              <c:pt idx="1">
                <c:v>1</c:v>
              </c:pt>
            </c:numLit>
          </c:yVal>
          <c:smooth val="1"/>
          <c:extLst>
            <c:ext xmlns:c16="http://schemas.microsoft.com/office/drawing/2014/chart" uri="{C3380CC4-5D6E-409C-BE32-E72D297353CC}">
              <c16:uniqueId val="{00000003-3B95-417D-ABA3-8E18A34E7D00}"/>
            </c:ext>
          </c:extLst>
        </c:ser>
        <c:ser>
          <c:idx val="2"/>
          <c:order val="2"/>
          <c:tx>
            <c:v>xPDelimiter1</c:v>
          </c:tx>
          <c:spPr>
            <a:ln w="19050">
              <a:noFill/>
            </a:ln>
          </c:spPr>
          <c:marker>
            <c:symbol val="none"/>
          </c:marker>
          <c:dLbls>
            <c:dLbl>
              <c:idx val="0"/>
              <c:layout>
                <c:manualLayout>
                  <c:x val="-0.19228439014392723"/>
                  <c:y val="-4.2056070005352442E-2"/>
                </c:manualLayout>
              </c:layout>
              <c:tx>
                <c:rich>
                  <a:bodyPr wrap="square" lIns="38100" tIns="19050" rIns="38100" bIns="19050" anchor="ctr">
                    <a:noAutofit/>
                  </a:bodyPr>
                  <a:lstStyle/>
                  <a:p>
                    <a:pPr>
                      <a:defRPr sz="750">
                        <a:solidFill>
                          <a:srgbClr val="000000"/>
                        </a:solidFill>
                        <a:latin typeface="Tahoma"/>
                        <a:ea typeface="Tahoma"/>
                        <a:cs typeface="Tahoma"/>
                      </a:defRPr>
                    </a:pPr>
                    <a:r>
                      <a:rPr lang="en-US"/>
                      <a:t>2.5%</a:t>
                    </a:r>
                  </a:p>
                </c:rich>
              </c:tx>
              <c:spPr>
                <a:noFill/>
                <a:ln w="9525">
                  <a:solidFill>
                    <a:srgbClr val="000000"/>
                  </a:solidFill>
                </a:ln>
                <a:effectLst/>
              </c:spPr>
              <c:dLblPos val="r"/>
              <c:showLegendKey val="0"/>
              <c:showVal val="1"/>
              <c:showCatName val="0"/>
              <c:showSerName val="0"/>
              <c:showPercent val="0"/>
              <c:showBubbleSize val="0"/>
              <c:extLst>
                <c:ext xmlns:c15="http://schemas.microsoft.com/office/drawing/2012/chart" uri="{CE6537A1-D6FC-4f65-9D91-7224C49458BB}">
                  <c15:layout>
                    <c:manualLayout>
                      <c:w val="0.34762514308157538"/>
                      <c:h val="6.5420560747663545E-2"/>
                    </c:manualLayout>
                  </c15:layout>
                  <c15:showDataLabelsRange val="0"/>
                </c:ext>
                <c:ext xmlns:c16="http://schemas.microsoft.com/office/drawing/2014/chart" uri="{C3380CC4-5D6E-409C-BE32-E72D297353CC}">
                  <c16:uniqueId val="{00000004-3B95-417D-ABA3-8E18A34E7D00}"/>
                </c:ext>
              </c:extLst>
            </c:dLbl>
            <c:dLbl>
              <c:idx val="1"/>
              <c:layout>
                <c:manualLayout>
                  <c:x val="-0.19228439014392723"/>
                  <c:y val="-4.2056070005352442E-2"/>
                </c:manualLayout>
              </c:layout>
              <c:tx>
                <c:rich>
                  <a:bodyPr wrap="square" lIns="38100" tIns="19050" rIns="38100" bIns="19050" anchor="ctr">
                    <a:noAutofit/>
                  </a:bodyPr>
                  <a:lstStyle/>
                  <a:p>
                    <a:pPr>
                      <a:defRPr sz="750">
                        <a:solidFill>
                          <a:srgbClr val="000000"/>
                        </a:solidFill>
                        <a:latin typeface="Tahoma"/>
                        <a:ea typeface="Tahoma"/>
                        <a:cs typeface="Tahoma"/>
                      </a:defRPr>
                    </a:pPr>
                    <a:r>
                      <a:rPr lang="en-US"/>
                      <a:t>2.5%</a:t>
                    </a:r>
                  </a:p>
                </c:rich>
              </c:tx>
              <c:spPr>
                <a:noFill/>
                <a:ln w="9525">
                  <a:solidFill>
                    <a:srgbClr val="000000"/>
                  </a:solidFill>
                </a:ln>
                <a:effectLst/>
              </c:spPr>
              <c:dLblPos val="r"/>
              <c:showLegendKey val="0"/>
              <c:showVal val="1"/>
              <c:showCatName val="0"/>
              <c:showSerName val="0"/>
              <c:showPercent val="0"/>
              <c:showBubbleSize val="0"/>
              <c:extLst>
                <c:ext xmlns:c15="http://schemas.microsoft.com/office/drawing/2012/chart" uri="{CE6537A1-D6FC-4f65-9D91-7224C49458BB}">
                  <c15:layout>
                    <c:manualLayout>
                      <c:w val="0.34762514308157538"/>
                      <c:h val="6.5420560747663545E-2"/>
                    </c:manualLayout>
                  </c15:layout>
                  <c15:showDataLabelsRange val="0"/>
                </c:ext>
                <c:ext xmlns:c16="http://schemas.microsoft.com/office/drawing/2014/chart" uri="{C3380CC4-5D6E-409C-BE32-E72D297353CC}">
                  <c16:uniqueId val="{00000005-3B95-417D-ABA3-8E18A34E7D00}"/>
                </c:ext>
              </c:extLst>
            </c:dLbl>
            <c:dLbl>
              <c:idx val="2"/>
              <c:layout>
                <c:manualLayout>
                  <c:x val="-1.8471872376154493E-2"/>
                  <c:y val="-4.2056070005352442E-2"/>
                </c:manualLayout>
              </c:layout>
              <c:tx>
                <c:rich>
                  <a:bodyPr wrap="square" lIns="38100" tIns="19050" rIns="38100" bIns="19050" anchor="ctr">
                    <a:noAutofit/>
                  </a:bodyPr>
                  <a:lstStyle/>
                  <a:p>
                    <a:pPr>
                      <a:defRPr sz="750">
                        <a:solidFill>
                          <a:srgbClr val="FFFFFF"/>
                        </a:solidFill>
                        <a:latin typeface="Tahoma"/>
                        <a:ea typeface="Tahoma"/>
                        <a:cs typeface="Tahoma"/>
                      </a:defRPr>
                    </a:pPr>
                    <a:r>
                      <a:rPr lang="en-US"/>
                      <a:t>95.0%</a:t>
                    </a:r>
                  </a:p>
                </c:rich>
              </c:tx>
              <c:spPr>
                <a:solidFill>
                  <a:srgbClr val="DC143C"/>
                </a:solidFill>
                <a:ln w="9525">
                  <a:solidFill>
                    <a:srgbClr val="000000"/>
                  </a:solidFill>
                </a:ln>
                <a:effectLst/>
              </c:spPr>
              <c:dLblPos val="r"/>
              <c:showLegendKey val="0"/>
              <c:showVal val="1"/>
              <c:showCatName val="0"/>
              <c:showSerName val="0"/>
              <c:showPercent val="0"/>
              <c:showBubbleSize val="0"/>
              <c:extLst>
                <c:ext xmlns:c15="http://schemas.microsoft.com/office/drawing/2012/chart" uri="{CE6537A1-D6FC-4f65-9D91-7224C49458BB}">
                  <c15:layout>
                    <c:manualLayout>
                      <c:w val="0"/>
                      <c:h val="6.5420560747663545E-2"/>
                    </c:manualLayout>
                  </c15:layout>
                  <c15:showDataLabelsRange val="0"/>
                </c:ext>
                <c:ext xmlns:c16="http://schemas.microsoft.com/office/drawing/2014/chart" uri="{C3380CC4-5D6E-409C-BE32-E72D297353CC}">
                  <c16:uniqueId val="{00000006-3B95-417D-ABA3-8E18A34E7D00}"/>
                </c:ext>
              </c:extLst>
            </c:dLbl>
            <c:spPr>
              <a:noFill/>
              <a:ln>
                <a:noFill/>
              </a:ln>
              <a:effectLst/>
            </c:spPr>
            <c:showLegendKey val="0"/>
            <c:showVal val="0"/>
            <c:showCatName val="0"/>
            <c:showSerName val="0"/>
            <c:showPercent val="0"/>
            <c:showBubbleSize val="0"/>
            <c:extLst>
              <c:ext xmlns:c15="http://schemas.microsoft.com/office/drawing/2012/chart" uri="{CE6537A1-D6FC-4f65-9D91-7224C49458BB}">
                <c15:showLeaderLines val="0"/>
              </c:ext>
            </c:extLst>
          </c:dLbls>
          <c:xVal>
            <c:numLit>
              <c:formatCode>General</c:formatCode>
              <c:ptCount val="3"/>
              <c:pt idx="0">
                <c:v>-0.30000000000000004</c:v>
              </c:pt>
              <c:pt idx="1">
                <c:v>0.30000000000000004</c:v>
              </c:pt>
              <c:pt idx="2">
                <c:v>0</c:v>
              </c:pt>
            </c:numLit>
          </c:xVal>
          <c:yVal>
            <c:numLit>
              <c:formatCode>General</c:formatCode>
              <c:ptCount val="3"/>
              <c:pt idx="0">
                <c:v>1</c:v>
              </c:pt>
              <c:pt idx="1">
                <c:v>1</c:v>
              </c:pt>
              <c:pt idx="2">
                <c:v>1</c:v>
              </c:pt>
            </c:numLit>
          </c:yVal>
          <c:smooth val="1"/>
          <c:extLst>
            <c:ext xmlns:c16="http://schemas.microsoft.com/office/drawing/2014/chart" uri="{C3380CC4-5D6E-409C-BE32-E72D297353CC}">
              <c16:uniqueId val="{00000007-3B95-417D-ABA3-8E18A34E7D00}"/>
            </c:ext>
          </c:extLst>
        </c:ser>
        <c:dLbls>
          <c:showLegendKey val="0"/>
          <c:showVal val="0"/>
          <c:showCatName val="0"/>
          <c:showSerName val="0"/>
          <c:showPercent val="0"/>
          <c:showBubbleSize val="0"/>
        </c:dLbls>
        <c:axId val="754791648"/>
        <c:axId val="754783808"/>
      </c:scatterChart>
      <c:valAx>
        <c:axId val="754791648"/>
        <c:scaling>
          <c:orientation val="minMax"/>
          <c:max val="0.60000000000000009"/>
          <c:min val="-0.60000000000000009"/>
        </c:scaling>
        <c:delete val="0"/>
        <c:axPos val="b"/>
        <c:majorGridlines>
          <c:spPr>
            <a:ln>
              <a:solidFill>
                <a:srgbClr val="C0C0C0"/>
              </a:solidFill>
              <a:prstDash val="solid"/>
            </a:ln>
          </c:spPr>
        </c:majorGridlines>
        <c:numFmt formatCode="0.0" sourceLinked="0"/>
        <c:majorTickMark val="out"/>
        <c:minorTickMark val="none"/>
        <c:tickLblPos val="nextTo"/>
        <c:txPr>
          <a:bodyPr rot="-5400000" vert="horz"/>
          <a:lstStyle/>
          <a:p>
            <a:pPr>
              <a:defRPr sz="750" b="0" i="0" u="none" strike="noStrike">
                <a:solidFill>
                  <a:srgbClr val="000000"/>
                </a:solidFill>
                <a:latin typeface="Tahoma"/>
                <a:ea typeface="Tahoma"/>
                <a:cs typeface="Tahoma"/>
              </a:defRPr>
            </a:pPr>
            <a:endParaRPr lang="en-US"/>
          </a:p>
        </c:txPr>
        <c:crossAx val="754783808"/>
        <c:crossesAt val="0"/>
        <c:crossBetween val="midCat"/>
        <c:majorUnit val="0.20000000000000004"/>
      </c:valAx>
      <c:valAx>
        <c:axId val="754783808"/>
        <c:scaling>
          <c:orientation val="minMax"/>
          <c:max val="1"/>
          <c:min val="0"/>
        </c:scaling>
        <c:delete val="0"/>
        <c:axPos val="l"/>
        <c:majorGridlines>
          <c:spPr>
            <a:ln>
              <a:solidFill>
                <a:srgbClr val="C0C0C0"/>
              </a:solidFill>
              <a:prstDash val="solid"/>
            </a:ln>
          </c:spPr>
        </c:majorGridlines>
        <c:numFmt formatCode="0.0" sourceLinked="0"/>
        <c:majorTickMark val="out"/>
        <c:minorTickMark val="none"/>
        <c:tickLblPos val="nextTo"/>
        <c:txPr>
          <a:bodyPr/>
          <a:lstStyle/>
          <a:p>
            <a:pPr>
              <a:defRPr sz="750" b="0" i="0" u="none" strike="noStrike">
                <a:solidFill>
                  <a:srgbClr val="000000"/>
                </a:solidFill>
                <a:latin typeface="Tahoma"/>
                <a:ea typeface="Tahoma"/>
                <a:cs typeface="Tahoma"/>
              </a:defRPr>
            </a:pPr>
            <a:endParaRPr lang="en-US"/>
          </a:p>
        </c:txPr>
        <c:crossAx val="754791648"/>
        <c:crossesAt val="-0.60000000000000009"/>
        <c:crossBetween val="midCat"/>
        <c:majorUnit val="0.2"/>
      </c:valAx>
      <c:spPr>
        <a:solidFill>
          <a:srgbClr val="F5F5F5"/>
        </a:solidFill>
        <a:ln>
          <a:noFill/>
        </a:ln>
        <a:effectLst/>
        <a:extLst>
          <a:ext uri="{91240B29-F687-4F45-9708-019B960494DF}">
            <a14:hiddenLine xmlns:a14="http://schemas.microsoft.com/office/drawing/2010/main">
              <a:noFill/>
            </a14:hiddenLine>
          </a:ext>
        </a:extLst>
      </c:spPr>
    </c:plotArea>
    <c:legend>
      <c:legendPos val="r"/>
      <c:legendEntry>
        <c:idx val="1"/>
        <c:delete val="1"/>
      </c:legendEntry>
      <c:legendEntry>
        <c:idx val="2"/>
        <c:delete val="1"/>
      </c:legendEntry>
      <c:layout>
        <c:manualLayout>
          <c:xMode val="edge"/>
          <c:yMode val="edge"/>
          <c:x val="0.78925272879932828"/>
          <c:y val="0.51542972552813471"/>
          <c:w val="0.17380352644836272"/>
          <c:h val="9.3457943925233641E-2"/>
        </c:manualLayout>
      </c:layout>
      <c:overlay val="1"/>
      <c:spPr>
        <a:ln w="25400">
          <a:noFill/>
        </a:ln>
      </c:spPr>
      <c:txPr>
        <a:bodyPr/>
        <a:lstStyle/>
        <a:p>
          <a:pPr>
            <a:defRPr sz="563"/>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rgbClr val="FFFFFF"/>
    </a:solidFill>
    <a:ln w="9525"/>
  </c:sp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b="0" i="0" u="none" strike="noStrike">
                <a:solidFill>
                  <a:srgbClr val="000000"/>
                </a:solidFill>
                <a:latin typeface="Tahoma"/>
                <a:ea typeface="Tahoma"/>
                <a:cs typeface="Tahoma"/>
              </a:defRPr>
            </a:pPr>
            <a:r>
              <a:rPr lang="en-US"/>
              <a:t>SF6 Emissions from Electrical Transmission and Distribution</a:t>
            </a:r>
          </a:p>
        </c:rich>
      </c:tx>
      <c:overlay val="0"/>
    </c:title>
    <c:autoTitleDeleted val="0"/>
    <c:plotArea>
      <c:layout>
        <c:manualLayout>
          <c:xMode val="edge"/>
          <c:yMode val="edge"/>
          <c:x val="2.0151133501259445E-2"/>
          <c:y val="0.28971962616822428"/>
          <c:w val="0.64819479429051219"/>
          <c:h val="0.59709241754169406"/>
        </c:manualLayout>
      </c:layout>
      <c:scatterChart>
        <c:scatterStyle val="smoothMarker"/>
        <c:varyColors val="0"/>
        <c:ser>
          <c:idx val="0"/>
          <c:order val="0"/>
          <c:tx>
            <c:v>ElectricalTransmission2016</c:v>
          </c:tx>
          <c:spPr>
            <a:ln w="38100" cap="rnd" cmpd="sng" algn="ctr">
              <a:solidFill>
                <a:srgbClr val="DC143C">
                  <a:alpha val="88000"/>
                </a:srgbClr>
              </a:solidFill>
              <a:prstDash val="solid"/>
              <a:round/>
              <a:headEnd type="none" w="med" len="med"/>
              <a:tailEnd type="none" w="med" len="med"/>
            </a:ln>
          </c:spPr>
          <c:marker>
            <c:symbol val="none"/>
          </c:marker>
          <c:xVal>
            <c:numLit>
              <c:formatCode>General</c:formatCode>
              <c:ptCount val="759"/>
              <c:pt idx="0">
                <c:v>6.5002436522327827E-3</c:v>
              </c:pt>
              <c:pt idx="1">
                <c:v>6.5002436522327827E-3</c:v>
              </c:pt>
              <c:pt idx="2">
                <c:v>6.5002436522327827E-3</c:v>
              </c:pt>
              <c:pt idx="3">
                <c:v>6.5447548600910685E-3</c:v>
              </c:pt>
              <c:pt idx="4">
                <c:v>6.5447548600910685E-3</c:v>
              </c:pt>
              <c:pt idx="5">
                <c:v>6.5892660679493535E-3</c:v>
              </c:pt>
              <c:pt idx="6">
                <c:v>6.5892660679493535E-3</c:v>
              </c:pt>
              <c:pt idx="7">
                <c:v>6.6337772758076393E-3</c:v>
              </c:pt>
              <c:pt idx="8">
                <c:v>6.6337772758076393E-3</c:v>
              </c:pt>
              <c:pt idx="9">
                <c:v>6.6782884836659251E-3</c:v>
              </c:pt>
              <c:pt idx="10">
                <c:v>6.6782884836659251E-3</c:v>
              </c:pt>
              <c:pt idx="11">
                <c:v>6.7227996915242109E-3</c:v>
              </c:pt>
              <c:pt idx="12">
                <c:v>6.7227996915242109E-3</c:v>
              </c:pt>
              <c:pt idx="13">
                <c:v>6.7673108993824959E-3</c:v>
              </c:pt>
              <c:pt idx="14">
                <c:v>6.7673108993824959E-3</c:v>
              </c:pt>
              <c:pt idx="15">
                <c:v>6.7784387013470676E-3</c:v>
              </c:pt>
              <c:pt idx="16">
                <c:v>6.7784387013470676E-3</c:v>
              </c:pt>
              <c:pt idx="19">
                <c:v>6.7784387013470676E-3</c:v>
              </c:pt>
              <c:pt idx="20">
                <c:v>6.7784387013470676E-3</c:v>
              </c:pt>
              <c:pt idx="21">
                <c:v>6.7784387013470676E-3</c:v>
              </c:pt>
              <c:pt idx="22">
                <c:v>6.8229499092053534E-3</c:v>
              </c:pt>
              <c:pt idx="23">
                <c:v>6.8229499092053534E-3</c:v>
              </c:pt>
              <c:pt idx="24">
                <c:v>6.8674611170636383E-3</c:v>
              </c:pt>
              <c:pt idx="25">
                <c:v>6.8674611170636383E-3</c:v>
              </c:pt>
              <c:pt idx="26">
                <c:v>6.9119723249219242E-3</c:v>
              </c:pt>
              <c:pt idx="27">
                <c:v>6.9119723249219242E-3</c:v>
              </c:pt>
              <c:pt idx="28">
                <c:v>6.95648353278021E-3</c:v>
              </c:pt>
              <c:pt idx="29">
                <c:v>6.95648353278021E-3</c:v>
              </c:pt>
              <c:pt idx="30">
                <c:v>7.0009947406384958E-3</c:v>
              </c:pt>
              <c:pt idx="31">
                <c:v>7.0009947406384958E-3</c:v>
              </c:pt>
              <c:pt idx="32">
                <c:v>7.0455059484967808E-3</c:v>
              </c:pt>
              <c:pt idx="33">
                <c:v>7.0455059484967808E-3</c:v>
              </c:pt>
              <c:pt idx="34">
                <c:v>7.0566337504613524E-3</c:v>
              </c:pt>
              <c:pt idx="35">
                <c:v>7.0566337504613524E-3</c:v>
              </c:pt>
              <c:pt idx="38">
                <c:v>7.0566337504613524E-3</c:v>
              </c:pt>
              <c:pt idx="39">
                <c:v>7.0566337504613524E-3</c:v>
              </c:pt>
              <c:pt idx="40">
                <c:v>7.0566337504613524E-3</c:v>
              </c:pt>
              <c:pt idx="41">
                <c:v>7.1011449583196383E-3</c:v>
              </c:pt>
              <c:pt idx="42">
                <c:v>7.1011449583196383E-3</c:v>
              </c:pt>
              <c:pt idx="43">
                <c:v>7.1456561661779232E-3</c:v>
              </c:pt>
              <c:pt idx="44">
                <c:v>7.1456561661779232E-3</c:v>
              </c:pt>
              <c:pt idx="45">
                <c:v>7.190167374036209E-3</c:v>
              </c:pt>
              <c:pt idx="46">
                <c:v>7.190167374036209E-3</c:v>
              </c:pt>
              <c:pt idx="47">
                <c:v>7.2346785818944949E-3</c:v>
              </c:pt>
              <c:pt idx="48">
                <c:v>7.2346785818944949E-3</c:v>
              </c:pt>
              <c:pt idx="49">
                <c:v>7.2791897897527807E-3</c:v>
              </c:pt>
              <c:pt idx="50">
                <c:v>7.2791897897527807E-3</c:v>
              </c:pt>
              <c:pt idx="51">
                <c:v>7.3237009976110656E-3</c:v>
              </c:pt>
              <c:pt idx="52">
                <c:v>7.3237009976110656E-3</c:v>
              </c:pt>
              <c:pt idx="53">
                <c:v>7.3348287995756373E-3</c:v>
              </c:pt>
              <c:pt idx="54">
                <c:v>7.3348287995756373E-3</c:v>
              </c:pt>
              <c:pt idx="57">
                <c:v>7.3348287995756373E-3</c:v>
              </c:pt>
              <c:pt idx="58">
                <c:v>7.3348287995756373E-3</c:v>
              </c:pt>
              <c:pt idx="59">
                <c:v>7.3348287995756373E-3</c:v>
              </c:pt>
              <c:pt idx="60">
                <c:v>7.3793400074339231E-3</c:v>
              </c:pt>
              <c:pt idx="61">
                <c:v>7.3793400074339231E-3</c:v>
              </c:pt>
              <c:pt idx="62">
                <c:v>7.4238512152922081E-3</c:v>
              </c:pt>
              <c:pt idx="63">
                <c:v>7.4238512152922081E-3</c:v>
              </c:pt>
              <c:pt idx="64">
                <c:v>7.4683624231504939E-3</c:v>
              </c:pt>
              <c:pt idx="65">
                <c:v>7.4683624231504939E-3</c:v>
              </c:pt>
              <c:pt idx="66">
                <c:v>7.5128736310087797E-3</c:v>
              </c:pt>
              <c:pt idx="67">
                <c:v>7.5128736310087797E-3</c:v>
              </c:pt>
              <c:pt idx="68">
                <c:v>7.5573848388670655E-3</c:v>
              </c:pt>
              <c:pt idx="69">
                <c:v>7.5573848388670655E-3</c:v>
              </c:pt>
              <c:pt idx="70">
                <c:v>7.6018960467253505E-3</c:v>
              </c:pt>
              <c:pt idx="71">
                <c:v>7.6018960467253505E-3</c:v>
              </c:pt>
              <c:pt idx="72">
                <c:v>7.6130238486899222E-3</c:v>
              </c:pt>
              <c:pt idx="73">
                <c:v>7.6130238486899222E-3</c:v>
              </c:pt>
              <c:pt idx="76">
                <c:v>7.6130238486899222E-3</c:v>
              </c:pt>
              <c:pt idx="77">
                <c:v>7.6130238486899222E-3</c:v>
              </c:pt>
              <c:pt idx="78">
                <c:v>7.6130238486899222E-3</c:v>
              </c:pt>
              <c:pt idx="79">
                <c:v>7.657535056548208E-3</c:v>
              </c:pt>
              <c:pt idx="80">
                <c:v>7.657535056548208E-3</c:v>
              </c:pt>
              <c:pt idx="81">
                <c:v>7.7020462644064929E-3</c:v>
              </c:pt>
              <c:pt idx="82">
                <c:v>7.7020462644064929E-3</c:v>
              </c:pt>
              <c:pt idx="83">
                <c:v>7.7465574722647788E-3</c:v>
              </c:pt>
              <c:pt idx="84">
                <c:v>7.7465574722647788E-3</c:v>
              </c:pt>
              <c:pt idx="85">
                <c:v>7.7910686801230646E-3</c:v>
              </c:pt>
              <c:pt idx="86">
                <c:v>7.7910686801230646E-3</c:v>
              </c:pt>
              <c:pt idx="87">
                <c:v>7.8355798879813504E-3</c:v>
              </c:pt>
              <c:pt idx="88">
                <c:v>7.8355798879813504E-3</c:v>
              </c:pt>
              <c:pt idx="89">
                <c:v>7.8800910958396354E-3</c:v>
              </c:pt>
              <c:pt idx="90">
                <c:v>7.8800910958396354E-3</c:v>
              </c:pt>
              <c:pt idx="91">
                <c:v>7.8912188978042079E-3</c:v>
              </c:pt>
              <c:pt idx="92">
                <c:v>7.8912188978042079E-3</c:v>
              </c:pt>
              <c:pt idx="95">
                <c:v>7.8912188978042079E-3</c:v>
              </c:pt>
              <c:pt idx="96">
                <c:v>7.8912188978042079E-3</c:v>
              </c:pt>
              <c:pt idx="97">
                <c:v>7.8912188978042079E-3</c:v>
              </c:pt>
              <c:pt idx="98">
                <c:v>7.9357301056624929E-3</c:v>
              </c:pt>
              <c:pt idx="99">
                <c:v>7.9357301056624929E-3</c:v>
              </c:pt>
              <c:pt idx="100">
                <c:v>7.9802413135207795E-3</c:v>
              </c:pt>
              <c:pt idx="101">
                <c:v>7.9802413135207795E-3</c:v>
              </c:pt>
              <c:pt idx="102">
                <c:v>8.0247525213790645E-3</c:v>
              </c:pt>
              <c:pt idx="103">
                <c:v>8.0247525213790645E-3</c:v>
              </c:pt>
              <c:pt idx="104">
                <c:v>8.0692637292373495E-3</c:v>
              </c:pt>
              <c:pt idx="105">
                <c:v>8.0692637292373495E-3</c:v>
              </c:pt>
              <c:pt idx="106">
                <c:v>8.1137749370956361E-3</c:v>
              </c:pt>
              <c:pt idx="107">
                <c:v>8.1137749370956361E-3</c:v>
              </c:pt>
              <c:pt idx="108">
                <c:v>8.1582861449539211E-3</c:v>
              </c:pt>
              <c:pt idx="109">
                <c:v>8.1582861449539211E-3</c:v>
              </c:pt>
              <c:pt idx="110">
                <c:v>8.1694139469184919E-3</c:v>
              </c:pt>
              <c:pt idx="111">
                <c:v>8.1694139469184919E-3</c:v>
              </c:pt>
              <c:pt idx="114">
                <c:v>8.1694139469184919E-3</c:v>
              </c:pt>
              <c:pt idx="115">
                <c:v>8.1694139469184919E-3</c:v>
              </c:pt>
              <c:pt idx="116">
                <c:v>8.1694139469184919E-3</c:v>
              </c:pt>
              <c:pt idx="117">
                <c:v>8.2139251547767769E-3</c:v>
              </c:pt>
              <c:pt idx="118">
                <c:v>8.2139251547767769E-3</c:v>
              </c:pt>
              <c:pt idx="119">
                <c:v>8.2584363626350635E-3</c:v>
              </c:pt>
              <c:pt idx="120">
                <c:v>8.2584363626350635E-3</c:v>
              </c:pt>
              <c:pt idx="121">
                <c:v>8.3029475704933485E-3</c:v>
              </c:pt>
              <c:pt idx="122">
                <c:v>8.3029475704933485E-3</c:v>
              </c:pt>
              <c:pt idx="123">
                <c:v>8.3474587783516335E-3</c:v>
              </c:pt>
              <c:pt idx="124">
                <c:v>8.3474587783516335E-3</c:v>
              </c:pt>
              <c:pt idx="125">
                <c:v>8.3919699862099201E-3</c:v>
              </c:pt>
              <c:pt idx="126">
                <c:v>8.3919699862099201E-3</c:v>
              </c:pt>
              <c:pt idx="127">
                <c:v>8.4364811940682051E-3</c:v>
              </c:pt>
              <c:pt idx="128">
                <c:v>8.4364811940682051E-3</c:v>
              </c:pt>
              <c:pt idx="129">
                <c:v>8.4476089960327776E-3</c:v>
              </c:pt>
              <c:pt idx="130">
                <c:v>8.4476089960327776E-3</c:v>
              </c:pt>
              <c:pt idx="133">
                <c:v>8.4476089960327776E-3</c:v>
              </c:pt>
              <c:pt idx="134">
                <c:v>8.4476089960327776E-3</c:v>
              </c:pt>
              <c:pt idx="135">
                <c:v>8.4476089960327776E-3</c:v>
              </c:pt>
              <c:pt idx="136">
                <c:v>8.4921202038910626E-3</c:v>
              </c:pt>
              <c:pt idx="137">
                <c:v>8.4921202038910626E-3</c:v>
              </c:pt>
              <c:pt idx="138">
                <c:v>8.5366314117493493E-3</c:v>
              </c:pt>
              <c:pt idx="139">
                <c:v>8.5366314117493493E-3</c:v>
              </c:pt>
              <c:pt idx="140">
                <c:v>8.5811426196076342E-3</c:v>
              </c:pt>
              <c:pt idx="141">
                <c:v>8.5811426196076342E-3</c:v>
              </c:pt>
              <c:pt idx="142">
                <c:v>8.6256538274659192E-3</c:v>
              </c:pt>
              <c:pt idx="143">
                <c:v>8.6256538274659192E-3</c:v>
              </c:pt>
              <c:pt idx="144">
                <c:v>8.6701650353242059E-3</c:v>
              </c:pt>
              <c:pt idx="145">
                <c:v>8.6701650353242059E-3</c:v>
              </c:pt>
              <c:pt idx="146">
                <c:v>8.7146762431824908E-3</c:v>
              </c:pt>
              <c:pt idx="147">
                <c:v>8.7146762431824908E-3</c:v>
              </c:pt>
              <c:pt idx="148">
                <c:v>8.7258040451470616E-3</c:v>
              </c:pt>
              <c:pt idx="149">
                <c:v>8.7258040451470616E-3</c:v>
              </c:pt>
              <c:pt idx="152">
                <c:v>8.7258040451470616E-3</c:v>
              </c:pt>
              <c:pt idx="153">
                <c:v>8.7258040451470616E-3</c:v>
              </c:pt>
              <c:pt idx="154">
                <c:v>8.7258040451470616E-3</c:v>
              </c:pt>
              <c:pt idx="155">
                <c:v>8.7703152530053466E-3</c:v>
              </c:pt>
              <c:pt idx="156">
                <c:v>8.7703152530053466E-3</c:v>
              </c:pt>
              <c:pt idx="157">
                <c:v>8.8148264608636333E-3</c:v>
              </c:pt>
              <c:pt idx="158">
                <c:v>8.8148264608636333E-3</c:v>
              </c:pt>
              <c:pt idx="159">
                <c:v>8.8593376687219182E-3</c:v>
              </c:pt>
              <c:pt idx="160">
                <c:v>8.8593376687219182E-3</c:v>
              </c:pt>
              <c:pt idx="161">
                <c:v>8.9038488765802032E-3</c:v>
              </c:pt>
              <c:pt idx="162">
                <c:v>8.9038488765802032E-3</c:v>
              </c:pt>
              <c:pt idx="163">
                <c:v>8.9483600844384899E-3</c:v>
              </c:pt>
              <c:pt idx="164">
                <c:v>8.9483600844384899E-3</c:v>
              </c:pt>
              <c:pt idx="165">
                <c:v>8.9928712922967748E-3</c:v>
              </c:pt>
              <c:pt idx="166">
                <c:v>8.9928712922967748E-3</c:v>
              </c:pt>
              <c:pt idx="167">
                <c:v>9.0039990942613474E-3</c:v>
              </c:pt>
              <c:pt idx="168">
                <c:v>9.0039990942613474E-3</c:v>
              </c:pt>
              <c:pt idx="171">
                <c:v>9.0039990942613474E-3</c:v>
              </c:pt>
              <c:pt idx="172">
                <c:v>9.0039990942613474E-3</c:v>
              </c:pt>
              <c:pt idx="173">
                <c:v>9.0039990942613474E-3</c:v>
              </c:pt>
              <c:pt idx="174">
                <c:v>9.0485103021196323E-3</c:v>
              </c:pt>
              <c:pt idx="175">
                <c:v>9.0485103021196323E-3</c:v>
              </c:pt>
              <c:pt idx="176">
                <c:v>9.093021509977919E-3</c:v>
              </c:pt>
              <c:pt idx="177">
                <c:v>9.093021509977919E-3</c:v>
              </c:pt>
              <c:pt idx="178">
                <c:v>9.137532717836204E-3</c:v>
              </c:pt>
              <c:pt idx="179">
                <c:v>9.137532717836204E-3</c:v>
              </c:pt>
              <c:pt idx="180">
                <c:v>9.1820439256944889E-3</c:v>
              </c:pt>
              <c:pt idx="181">
                <c:v>9.1820439256944889E-3</c:v>
              </c:pt>
              <c:pt idx="182">
                <c:v>9.2265551335527756E-3</c:v>
              </c:pt>
              <c:pt idx="183">
                <c:v>9.2265551335527756E-3</c:v>
              </c:pt>
              <c:pt idx="184">
                <c:v>9.2710663414110606E-3</c:v>
              </c:pt>
              <c:pt idx="185">
                <c:v>9.2710663414110606E-3</c:v>
              </c:pt>
              <c:pt idx="186">
                <c:v>9.2821941433756314E-3</c:v>
              </c:pt>
              <c:pt idx="187">
                <c:v>9.2821941433756314E-3</c:v>
              </c:pt>
              <c:pt idx="190">
                <c:v>9.2821941433756314E-3</c:v>
              </c:pt>
              <c:pt idx="191">
                <c:v>9.2821941433756314E-3</c:v>
              </c:pt>
              <c:pt idx="192">
                <c:v>9.2821941433756314E-3</c:v>
              </c:pt>
              <c:pt idx="193">
                <c:v>9.3267053512339163E-3</c:v>
              </c:pt>
              <c:pt idx="194">
                <c:v>9.3267053512339163E-3</c:v>
              </c:pt>
              <c:pt idx="195">
                <c:v>9.371216559092203E-3</c:v>
              </c:pt>
              <c:pt idx="196">
                <c:v>9.371216559092203E-3</c:v>
              </c:pt>
              <c:pt idx="197">
                <c:v>9.415727766950488E-3</c:v>
              </c:pt>
              <c:pt idx="198">
                <c:v>9.415727766950488E-3</c:v>
              </c:pt>
              <c:pt idx="199">
                <c:v>9.4602389748087729E-3</c:v>
              </c:pt>
              <c:pt idx="200">
                <c:v>9.4602389748087729E-3</c:v>
              </c:pt>
              <c:pt idx="201">
                <c:v>9.5047501826670596E-3</c:v>
              </c:pt>
              <c:pt idx="202">
                <c:v>9.5047501826670596E-3</c:v>
              </c:pt>
              <c:pt idx="203">
                <c:v>9.5492613905253446E-3</c:v>
              </c:pt>
              <c:pt idx="204">
                <c:v>9.5492613905253446E-3</c:v>
              </c:pt>
              <c:pt idx="205">
                <c:v>9.5603891924899171E-3</c:v>
              </c:pt>
              <c:pt idx="206">
                <c:v>9.5603891924899171E-3</c:v>
              </c:pt>
              <c:pt idx="209">
                <c:v>9.5603891924899171E-3</c:v>
              </c:pt>
              <c:pt idx="210">
                <c:v>9.5603891924899171E-3</c:v>
              </c:pt>
              <c:pt idx="211">
                <c:v>9.5603891924899171E-3</c:v>
              </c:pt>
              <c:pt idx="212">
                <c:v>9.6049004003482021E-3</c:v>
              </c:pt>
              <c:pt idx="213">
                <c:v>9.6049004003482021E-3</c:v>
              </c:pt>
              <c:pt idx="214">
                <c:v>9.6494116082064887E-3</c:v>
              </c:pt>
              <c:pt idx="215">
                <c:v>9.6494116082064887E-3</c:v>
              </c:pt>
              <c:pt idx="216">
                <c:v>9.6939228160647737E-3</c:v>
              </c:pt>
              <c:pt idx="217">
                <c:v>9.6939228160647737E-3</c:v>
              </c:pt>
              <c:pt idx="218">
                <c:v>9.7384340239230587E-3</c:v>
              </c:pt>
              <c:pt idx="219">
                <c:v>9.7384340239230587E-3</c:v>
              </c:pt>
              <c:pt idx="220">
                <c:v>9.7829452317813453E-3</c:v>
              </c:pt>
              <c:pt idx="221">
                <c:v>9.7829452317813453E-3</c:v>
              </c:pt>
              <c:pt idx="222">
                <c:v>9.8274564396396303E-3</c:v>
              </c:pt>
              <c:pt idx="223">
                <c:v>9.8274564396396303E-3</c:v>
              </c:pt>
              <c:pt idx="224">
                <c:v>9.8385842416042011E-3</c:v>
              </c:pt>
              <c:pt idx="225">
                <c:v>9.8385842416042011E-3</c:v>
              </c:pt>
              <c:pt idx="228">
                <c:v>9.8385842416042011E-3</c:v>
              </c:pt>
              <c:pt idx="229">
                <c:v>9.8385842416042011E-3</c:v>
              </c:pt>
              <c:pt idx="230">
                <c:v>9.8385842416042011E-3</c:v>
              </c:pt>
              <c:pt idx="231">
                <c:v>9.8830954494624861E-3</c:v>
              </c:pt>
              <c:pt idx="232">
                <c:v>9.8830954494624861E-3</c:v>
              </c:pt>
              <c:pt idx="233">
                <c:v>9.9276066573207727E-3</c:v>
              </c:pt>
              <c:pt idx="234">
                <c:v>9.9276066573207727E-3</c:v>
              </c:pt>
              <c:pt idx="235">
                <c:v>9.9721178651790577E-3</c:v>
              </c:pt>
              <c:pt idx="236">
                <c:v>9.9721178651790577E-3</c:v>
              </c:pt>
              <c:pt idx="237">
                <c:v>1.0016629073037343E-2</c:v>
              </c:pt>
              <c:pt idx="238">
                <c:v>1.0016629073037343E-2</c:v>
              </c:pt>
              <c:pt idx="239">
                <c:v>1.0061140280895629E-2</c:v>
              </c:pt>
              <c:pt idx="240">
                <c:v>1.0061140280895629E-2</c:v>
              </c:pt>
              <c:pt idx="241">
                <c:v>1.0105651488753914E-2</c:v>
              </c:pt>
              <c:pt idx="242">
                <c:v>1.0105651488753914E-2</c:v>
              </c:pt>
              <c:pt idx="243">
                <c:v>1.0116779290718487E-2</c:v>
              </c:pt>
              <c:pt idx="244">
                <c:v>1.0116779290718487E-2</c:v>
              </c:pt>
              <c:pt idx="247">
                <c:v>1.0116779290718487E-2</c:v>
              </c:pt>
              <c:pt idx="248">
                <c:v>1.0116779290718487E-2</c:v>
              </c:pt>
              <c:pt idx="249">
                <c:v>1.0116779290718487E-2</c:v>
              </c:pt>
              <c:pt idx="250">
                <c:v>1.0161290498576772E-2</c:v>
              </c:pt>
              <c:pt idx="251">
                <c:v>1.0161290498576772E-2</c:v>
              </c:pt>
              <c:pt idx="252">
                <c:v>1.0205801706435058E-2</c:v>
              </c:pt>
              <c:pt idx="253">
                <c:v>1.0205801706435058E-2</c:v>
              </c:pt>
              <c:pt idx="254">
                <c:v>1.0250312914293343E-2</c:v>
              </c:pt>
              <c:pt idx="255">
                <c:v>1.0250312914293343E-2</c:v>
              </c:pt>
              <c:pt idx="256">
                <c:v>1.0294824122151628E-2</c:v>
              </c:pt>
              <c:pt idx="257">
                <c:v>1.0294824122151628E-2</c:v>
              </c:pt>
              <c:pt idx="258">
                <c:v>1.0339335330009915E-2</c:v>
              </c:pt>
              <c:pt idx="259">
                <c:v>1.0339335330009915E-2</c:v>
              </c:pt>
              <c:pt idx="260">
                <c:v>1.03838465378682E-2</c:v>
              </c:pt>
              <c:pt idx="261">
                <c:v>1.03838465378682E-2</c:v>
              </c:pt>
              <c:pt idx="262">
                <c:v>1.0394974339832771E-2</c:v>
              </c:pt>
              <c:pt idx="263">
                <c:v>1.0394974339832771E-2</c:v>
              </c:pt>
              <c:pt idx="266">
                <c:v>1.0394974339832771E-2</c:v>
              </c:pt>
              <c:pt idx="267">
                <c:v>1.0394974339832771E-2</c:v>
              </c:pt>
              <c:pt idx="268">
                <c:v>1.0394974339832771E-2</c:v>
              </c:pt>
              <c:pt idx="269">
                <c:v>1.0439485547691056E-2</c:v>
              </c:pt>
              <c:pt idx="270">
                <c:v>1.0439485547691056E-2</c:v>
              </c:pt>
              <c:pt idx="271">
                <c:v>1.0483996755549342E-2</c:v>
              </c:pt>
              <c:pt idx="272">
                <c:v>1.0483996755549342E-2</c:v>
              </c:pt>
              <c:pt idx="273">
                <c:v>1.0528507963407627E-2</c:v>
              </c:pt>
              <c:pt idx="274">
                <c:v>1.0528507963407627E-2</c:v>
              </c:pt>
              <c:pt idx="275">
                <c:v>1.0573019171265912E-2</c:v>
              </c:pt>
              <c:pt idx="276">
                <c:v>1.0573019171265912E-2</c:v>
              </c:pt>
              <c:pt idx="277">
                <c:v>1.0617530379124199E-2</c:v>
              </c:pt>
              <c:pt idx="278">
                <c:v>1.0617530379124199E-2</c:v>
              </c:pt>
              <c:pt idx="279">
                <c:v>1.0662041586982484E-2</c:v>
              </c:pt>
              <c:pt idx="280">
                <c:v>1.0662041586982484E-2</c:v>
              </c:pt>
              <c:pt idx="281">
                <c:v>1.0673169388947057E-2</c:v>
              </c:pt>
              <c:pt idx="282">
                <c:v>1.0673169388947057E-2</c:v>
              </c:pt>
              <c:pt idx="285">
                <c:v>1.0673169388947057E-2</c:v>
              </c:pt>
              <c:pt idx="286">
                <c:v>1.0673169388947057E-2</c:v>
              </c:pt>
              <c:pt idx="287">
                <c:v>1.0673169388947057E-2</c:v>
              </c:pt>
              <c:pt idx="288">
                <c:v>1.0717680596805342E-2</c:v>
              </c:pt>
              <c:pt idx="289">
                <c:v>1.0717680596805342E-2</c:v>
              </c:pt>
              <c:pt idx="290">
                <c:v>1.0762191804663628E-2</c:v>
              </c:pt>
              <c:pt idx="291">
                <c:v>1.0762191804663628E-2</c:v>
              </c:pt>
              <c:pt idx="292">
                <c:v>1.0806703012521913E-2</c:v>
              </c:pt>
              <c:pt idx="293">
                <c:v>1.0806703012521913E-2</c:v>
              </c:pt>
              <c:pt idx="294">
                <c:v>1.0851214220380198E-2</c:v>
              </c:pt>
              <c:pt idx="295">
                <c:v>1.0851214220380198E-2</c:v>
              </c:pt>
              <c:pt idx="296">
                <c:v>1.0895725428238485E-2</c:v>
              </c:pt>
              <c:pt idx="297">
                <c:v>1.0895725428238485E-2</c:v>
              </c:pt>
              <c:pt idx="298">
                <c:v>1.094023663609677E-2</c:v>
              </c:pt>
              <c:pt idx="299">
                <c:v>1.094023663609677E-2</c:v>
              </c:pt>
              <c:pt idx="300">
                <c:v>1.0951364438061342E-2</c:v>
              </c:pt>
              <c:pt idx="301">
                <c:v>1.0951364438061342E-2</c:v>
              </c:pt>
              <c:pt idx="304">
                <c:v>1.0951364438061342E-2</c:v>
              </c:pt>
              <c:pt idx="305">
                <c:v>1.0951364438061342E-2</c:v>
              </c:pt>
              <c:pt idx="306">
                <c:v>1.0951364438061342E-2</c:v>
              </c:pt>
              <c:pt idx="307">
                <c:v>1.0995875645919627E-2</c:v>
              </c:pt>
              <c:pt idx="308">
                <c:v>1.0995875645919627E-2</c:v>
              </c:pt>
              <c:pt idx="309">
                <c:v>1.1040386853777914E-2</c:v>
              </c:pt>
              <c:pt idx="310">
                <c:v>1.1040386853777914E-2</c:v>
              </c:pt>
              <c:pt idx="311">
                <c:v>1.1084898061636199E-2</c:v>
              </c:pt>
              <c:pt idx="312">
                <c:v>1.1084898061636199E-2</c:v>
              </c:pt>
              <c:pt idx="313">
                <c:v>1.1129409269494484E-2</c:v>
              </c:pt>
              <c:pt idx="314">
                <c:v>1.1129409269494484E-2</c:v>
              </c:pt>
              <c:pt idx="315">
                <c:v>1.1173920477352771E-2</c:v>
              </c:pt>
              <c:pt idx="316">
                <c:v>1.1173920477352771E-2</c:v>
              </c:pt>
              <c:pt idx="317">
                <c:v>1.1218431685211055E-2</c:v>
              </c:pt>
              <c:pt idx="318">
                <c:v>1.1218431685211055E-2</c:v>
              </c:pt>
              <c:pt idx="319">
                <c:v>1.1229559487175626E-2</c:v>
              </c:pt>
              <c:pt idx="320">
                <c:v>1.1229559487175626E-2</c:v>
              </c:pt>
              <c:pt idx="323">
                <c:v>1.1229559487175626E-2</c:v>
              </c:pt>
              <c:pt idx="324">
                <c:v>1.1229559487175626E-2</c:v>
              </c:pt>
              <c:pt idx="325">
                <c:v>1.1229559487175626E-2</c:v>
              </c:pt>
              <c:pt idx="326">
                <c:v>1.1274070695033911E-2</c:v>
              </c:pt>
              <c:pt idx="327">
                <c:v>1.1274070695033911E-2</c:v>
              </c:pt>
              <c:pt idx="328">
                <c:v>1.1318581902892198E-2</c:v>
              </c:pt>
              <c:pt idx="329">
                <c:v>1.1318581902892198E-2</c:v>
              </c:pt>
              <c:pt idx="330">
                <c:v>1.1363093110750483E-2</c:v>
              </c:pt>
              <c:pt idx="331">
                <c:v>1.1363093110750483E-2</c:v>
              </c:pt>
              <c:pt idx="332">
                <c:v>1.1407604318608768E-2</c:v>
              </c:pt>
              <c:pt idx="333">
                <c:v>1.1407604318608768E-2</c:v>
              </c:pt>
              <c:pt idx="334">
                <c:v>1.1452115526467055E-2</c:v>
              </c:pt>
              <c:pt idx="335">
                <c:v>1.1452115526467055E-2</c:v>
              </c:pt>
              <c:pt idx="336">
                <c:v>1.1496626734325339E-2</c:v>
              </c:pt>
              <c:pt idx="337">
                <c:v>1.1496626734325339E-2</c:v>
              </c:pt>
              <c:pt idx="338">
                <c:v>1.1507754536289912E-2</c:v>
              </c:pt>
              <c:pt idx="339">
                <c:v>1.1507754536289912E-2</c:v>
              </c:pt>
              <c:pt idx="342">
                <c:v>1.1507754536289912E-2</c:v>
              </c:pt>
              <c:pt idx="343">
                <c:v>1.1507754536289912E-2</c:v>
              </c:pt>
              <c:pt idx="344">
                <c:v>1.1507754536289912E-2</c:v>
              </c:pt>
              <c:pt idx="345">
                <c:v>1.1552265744148197E-2</c:v>
              </c:pt>
              <c:pt idx="346">
                <c:v>1.1552265744148197E-2</c:v>
              </c:pt>
              <c:pt idx="347">
                <c:v>1.1596776952006484E-2</c:v>
              </c:pt>
              <c:pt idx="348">
                <c:v>1.1596776952006484E-2</c:v>
              </c:pt>
              <c:pt idx="349">
                <c:v>1.1641288159864769E-2</c:v>
              </c:pt>
              <c:pt idx="350">
                <c:v>1.1641288159864769E-2</c:v>
              </c:pt>
              <c:pt idx="351">
                <c:v>1.1685799367723054E-2</c:v>
              </c:pt>
              <c:pt idx="352">
                <c:v>1.1685799367723054E-2</c:v>
              </c:pt>
              <c:pt idx="353">
                <c:v>1.173031057558134E-2</c:v>
              </c:pt>
              <c:pt idx="354">
                <c:v>1.173031057558134E-2</c:v>
              </c:pt>
              <c:pt idx="355">
                <c:v>1.1774821783439625E-2</c:v>
              </c:pt>
              <c:pt idx="356">
                <c:v>1.1774821783439625E-2</c:v>
              </c:pt>
              <c:pt idx="357">
                <c:v>1.1785949585404196E-2</c:v>
              </c:pt>
              <c:pt idx="358">
                <c:v>1.1785949585404196E-2</c:v>
              </c:pt>
              <c:pt idx="361">
                <c:v>1.1785949585404196E-2</c:v>
              </c:pt>
              <c:pt idx="362">
                <c:v>1.1785949585404196E-2</c:v>
              </c:pt>
              <c:pt idx="363">
                <c:v>1.1785949585404196E-2</c:v>
              </c:pt>
              <c:pt idx="364">
                <c:v>1.1830460793262481E-2</c:v>
              </c:pt>
              <c:pt idx="365">
                <c:v>1.1830460793262481E-2</c:v>
              </c:pt>
              <c:pt idx="366">
                <c:v>1.1874972001120768E-2</c:v>
              </c:pt>
              <c:pt idx="367">
                <c:v>1.1874972001120768E-2</c:v>
              </c:pt>
              <c:pt idx="368">
                <c:v>1.1919483208979053E-2</c:v>
              </c:pt>
              <c:pt idx="369">
                <c:v>1.1919483208979053E-2</c:v>
              </c:pt>
              <c:pt idx="370">
                <c:v>1.1963994416837338E-2</c:v>
              </c:pt>
              <c:pt idx="371">
                <c:v>1.1963994416837338E-2</c:v>
              </c:pt>
              <c:pt idx="372">
                <c:v>1.2008505624695624E-2</c:v>
              </c:pt>
              <c:pt idx="373">
                <c:v>1.2008505624695624E-2</c:v>
              </c:pt>
              <c:pt idx="374">
                <c:v>1.2053016832553909E-2</c:v>
              </c:pt>
              <c:pt idx="375">
                <c:v>1.2053016832553909E-2</c:v>
              </c:pt>
              <c:pt idx="376">
                <c:v>1.2064144634518482E-2</c:v>
              </c:pt>
              <c:pt idx="377">
                <c:v>1.2064144634518482E-2</c:v>
              </c:pt>
              <c:pt idx="380">
                <c:v>1.2064144634518482E-2</c:v>
              </c:pt>
              <c:pt idx="381">
                <c:v>1.2064144634518482E-2</c:v>
              </c:pt>
              <c:pt idx="382">
                <c:v>1.2064144634518482E-2</c:v>
              </c:pt>
              <c:pt idx="383">
                <c:v>1.2108655842376767E-2</c:v>
              </c:pt>
              <c:pt idx="384">
                <c:v>1.2108655842376767E-2</c:v>
              </c:pt>
              <c:pt idx="385">
                <c:v>1.2153167050235053E-2</c:v>
              </c:pt>
              <c:pt idx="386">
                <c:v>1.2153167050235053E-2</c:v>
              </c:pt>
              <c:pt idx="387">
                <c:v>1.2197678258093338E-2</c:v>
              </c:pt>
              <c:pt idx="388">
                <c:v>1.2197678258093338E-2</c:v>
              </c:pt>
              <c:pt idx="389">
                <c:v>1.2242189465951623E-2</c:v>
              </c:pt>
              <c:pt idx="390">
                <c:v>1.2242189465951623E-2</c:v>
              </c:pt>
              <c:pt idx="391">
                <c:v>1.228670067380991E-2</c:v>
              </c:pt>
              <c:pt idx="392">
                <c:v>1.228670067380991E-2</c:v>
              </c:pt>
              <c:pt idx="393">
                <c:v>1.2331211881668195E-2</c:v>
              </c:pt>
              <c:pt idx="394">
                <c:v>1.2331211881668195E-2</c:v>
              </c:pt>
              <c:pt idx="395">
                <c:v>1.2342339683632766E-2</c:v>
              </c:pt>
              <c:pt idx="396">
                <c:v>1.2342339683632766E-2</c:v>
              </c:pt>
              <c:pt idx="399">
                <c:v>1.2342339683632766E-2</c:v>
              </c:pt>
              <c:pt idx="400">
                <c:v>1.2342339683632766E-2</c:v>
              </c:pt>
              <c:pt idx="401">
                <c:v>1.2342339683632766E-2</c:v>
              </c:pt>
              <c:pt idx="402">
                <c:v>1.2386850891491051E-2</c:v>
              </c:pt>
              <c:pt idx="403">
                <c:v>1.2386850891491051E-2</c:v>
              </c:pt>
              <c:pt idx="404">
                <c:v>1.2431362099349337E-2</c:v>
              </c:pt>
              <c:pt idx="405">
                <c:v>1.2431362099349337E-2</c:v>
              </c:pt>
              <c:pt idx="406">
                <c:v>1.2475873307207622E-2</c:v>
              </c:pt>
              <c:pt idx="407">
                <c:v>1.2475873307207622E-2</c:v>
              </c:pt>
              <c:pt idx="408">
                <c:v>1.2520384515065907E-2</c:v>
              </c:pt>
              <c:pt idx="409">
                <c:v>1.2520384515065907E-2</c:v>
              </c:pt>
              <c:pt idx="410">
                <c:v>1.2564895722924194E-2</c:v>
              </c:pt>
              <c:pt idx="411">
                <c:v>1.2564895722924194E-2</c:v>
              </c:pt>
              <c:pt idx="412">
                <c:v>1.2609406930782479E-2</c:v>
              </c:pt>
              <c:pt idx="413">
                <c:v>1.2609406930782479E-2</c:v>
              </c:pt>
              <c:pt idx="414">
                <c:v>1.2620534732747051E-2</c:v>
              </c:pt>
              <c:pt idx="415">
                <c:v>1.2620534732747051E-2</c:v>
              </c:pt>
              <c:pt idx="418">
                <c:v>1.2620534732747051E-2</c:v>
              </c:pt>
              <c:pt idx="419">
                <c:v>1.2620534732747051E-2</c:v>
              </c:pt>
              <c:pt idx="420">
                <c:v>1.2620534732747051E-2</c:v>
              </c:pt>
              <c:pt idx="421">
                <c:v>1.2665045940605336E-2</c:v>
              </c:pt>
              <c:pt idx="422">
                <c:v>1.2665045940605336E-2</c:v>
              </c:pt>
              <c:pt idx="423">
                <c:v>1.2709557148463623E-2</c:v>
              </c:pt>
              <c:pt idx="424">
                <c:v>1.2709557148463623E-2</c:v>
              </c:pt>
              <c:pt idx="425">
                <c:v>1.2754068356321908E-2</c:v>
              </c:pt>
              <c:pt idx="426">
                <c:v>1.2754068356321908E-2</c:v>
              </c:pt>
              <c:pt idx="427">
                <c:v>1.2798579564180193E-2</c:v>
              </c:pt>
              <c:pt idx="428">
                <c:v>1.2798579564180193E-2</c:v>
              </c:pt>
              <c:pt idx="429">
                <c:v>1.284309077203848E-2</c:v>
              </c:pt>
              <c:pt idx="430">
                <c:v>1.284309077203848E-2</c:v>
              </c:pt>
              <c:pt idx="431">
                <c:v>1.2887601979896765E-2</c:v>
              </c:pt>
              <c:pt idx="432">
                <c:v>1.2887601979896765E-2</c:v>
              </c:pt>
              <c:pt idx="433">
                <c:v>1.2898729781861335E-2</c:v>
              </c:pt>
              <c:pt idx="434">
                <c:v>1.2898729781861335E-2</c:v>
              </c:pt>
              <c:pt idx="437">
                <c:v>1.2898729781861335E-2</c:v>
              </c:pt>
              <c:pt idx="438">
                <c:v>1.2898729781861335E-2</c:v>
              </c:pt>
              <c:pt idx="439">
                <c:v>1.2898729781861335E-2</c:v>
              </c:pt>
              <c:pt idx="440">
                <c:v>1.294324098971962E-2</c:v>
              </c:pt>
              <c:pt idx="441">
                <c:v>1.294324098971962E-2</c:v>
              </c:pt>
              <c:pt idx="442">
                <c:v>1.2987752197577907E-2</c:v>
              </c:pt>
              <c:pt idx="443">
                <c:v>1.2987752197577907E-2</c:v>
              </c:pt>
              <c:pt idx="444">
                <c:v>1.3032263405436192E-2</c:v>
              </c:pt>
              <c:pt idx="445">
                <c:v>1.3032263405436192E-2</c:v>
              </c:pt>
              <c:pt idx="446">
                <c:v>1.3076774613294477E-2</c:v>
              </c:pt>
              <c:pt idx="447">
                <c:v>1.3076774613294477E-2</c:v>
              </c:pt>
              <c:pt idx="448">
                <c:v>1.3121285821152764E-2</c:v>
              </c:pt>
              <c:pt idx="449">
                <c:v>1.3121285821152764E-2</c:v>
              </c:pt>
              <c:pt idx="450">
                <c:v>1.3165797029011049E-2</c:v>
              </c:pt>
              <c:pt idx="451">
                <c:v>1.3165797029011049E-2</c:v>
              </c:pt>
              <c:pt idx="452">
                <c:v>1.3176924830975621E-2</c:v>
              </c:pt>
              <c:pt idx="453">
                <c:v>1.3176924830975621E-2</c:v>
              </c:pt>
              <c:pt idx="456">
                <c:v>1.3176924830975621E-2</c:v>
              </c:pt>
              <c:pt idx="457">
                <c:v>1.3176924830975621E-2</c:v>
              </c:pt>
              <c:pt idx="458">
                <c:v>1.3176924830975621E-2</c:v>
              </c:pt>
              <c:pt idx="459">
                <c:v>1.3221436038833906E-2</c:v>
              </c:pt>
              <c:pt idx="460">
                <c:v>1.3221436038833906E-2</c:v>
              </c:pt>
              <c:pt idx="461">
                <c:v>1.3265947246692193E-2</c:v>
              </c:pt>
              <c:pt idx="462">
                <c:v>1.3265947246692193E-2</c:v>
              </c:pt>
              <c:pt idx="463">
                <c:v>1.3310458454550478E-2</c:v>
              </c:pt>
              <c:pt idx="464">
                <c:v>1.3310458454550478E-2</c:v>
              </c:pt>
              <c:pt idx="465">
                <c:v>1.3354969662408763E-2</c:v>
              </c:pt>
              <c:pt idx="466">
                <c:v>1.3354969662408763E-2</c:v>
              </c:pt>
              <c:pt idx="467">
                <c:v>1.3399480870267049E-2</c:v>
              </c:pt>
              <c:pt idx="468">
                <c:v>1.3399480870267049E-2</c:v>
              </c:pt>
              <c:pt idx="469">
                <c:v>1.3443992078125334E-2</c:v>
              </c:pt>
              <c:pt idx="470">
                <c:v>1.3443992078125334E-2</c:v>
              </c:pt>
              <c:pt idx="471">
                <c:v>1.3455119880089905E-2</c:v>
              </c:pt>
              <c:pt idx="472">
                <c:v>1.3455119880089905E-2</c:v>
              </c:pt>
              <c:pt idx="475">
                <c:v>1.3455119880089905E-2</c:v>
              </c:pt>
              <c:pt idx="476">
                <c:v>1.3455119880089905E-2</c:v>
              </c:pt>
              <c:pt idx="477">
                <c:v>1.3455119880089905E-2</c:v>
              </c:pt>
              <c:pt idx="478">
                <c:v>1.349963108794819E-2</c:v>
              </c:pt>
              <c:pt idx="479">
                <c:v>1.349963108794819E-2</c:v>
              </c:pt>
              <c:pt idx="480">
                <c:v>1.3544142295806477E-2</c:v>
              </c:pt>
              <c:pt idx="481">
                <c:v>1.3544142295806477E-2</c:v>
              </c:pt>
              <c:pt idx="482">
                <c:v>1.3588653503664762E-2</c:v>
              </c:pt>
              <c:pt idx="483">
                <c:v>1.3588653503664762E-2</c:v>
              </c:pt>
              <c:pt idx="484">
                <c:v>1.3633164711523047E-2</c:v>
              </c:pt>
              <c:pt idx="485">
                <c:v>1.3633164711523047E-2</c:v>
              </c:pt>
              <c:pt idx="486">
                <c:v>1.3677675919381333E-2</c:v>
              </c:pt>
              <c:pt idx="487">
                <c:v>1.3677675919381333E-2</c:v>
              </c:pt>
              <c:pt idx="488">
                <c:v>1.3722187127239618E-2</c:v>
              </c:pt>
              <c:pt idx="489">
                <c:v>1.3722187127239618E-2</c:v>
              </c:pt>
              <c:pt idx="490">
                <c:v>1.3733314929204191E-2</c:v>
              </c:pt>
              <c:pt idx="491">
                <c:v>1.3733314929204191E-2</c:v>
              </c:pt>
              <c:pt idx="494">
                <c:v>1.3733314929204191E-2</c:v>
              </c:pt>
              <c:pt idx="495">
                <c:v>1.3733314929204191E-2</c:v>
              </c:pt>
              <c:pt idx="496">
                <c:v>1.3733314929204191E-2</c:v>
              </c:pt>
              <c:pt idx="497">
                <c:v>1.3777826137062476E-2</c:v>
              </c:pt>
              <c:pt idx="498">
                <c:v>1.3777826137062476E-2</c:v>
              </c:pt>
              <c:pt idx="499">
                <c:v>1.3822337344920763E-2</c:v>
              </c:pt>
              <c:pt idx="500">
                <c:v>1.3822337344920763E-2</c:v>
              </c:pt>
              <c:pt idx="501">
                <c:v>1.3866848552779048E-2</c:v>
              </c:pt>
              <c:pt idx="502">
                <c:v>1.3866848552779048E-2</c:v>
              </c:pt>
              <c:pt idx="503">
                <c:v>1.3911359760637333E-2</c:v>
              </c:pt>
              <c:pt idx="504">
                <c:v>1.3911359760637333E-2</c:v>
              </c:pt>
              <c:pt idx="505">
                <c:v>1.3955870968495619E-2</c:v>
              </c:pt>
              <c:pt idx="506">
                <c:v>1.3955870968495619E-2</c:v>
              </c:pt>
              <c:pt idx="507">
                <c:v>1.4000382176353904E-2</c:v>
              </c:pt>
              <c:pt idx="508">
                <c:v>1.4000382176353904E-2</c:v>
              </c:pt>
              <c:pt idx="509">
                <c:v>1.4011509978318475E-2</c:v>
              </c:pt>
              <c:pt idx="510">
                <c:v>1.4011509978318475E-2</c:v>
              </c:pt>
              <c:pt idx="513">
                <c:v>1.4011509978318475E-2</c:v>
              </c:pt>
              <c:pt idx="514">
                <c:v>1.4011509978318475E-2</c:v>
              </c:pt>
              <c:pt idx="515">
                <c:v>1.4011509978318475E-2</c:v>
              </c:pt>
              <c:pt idx="516">
                <c:v>1.405602118617676E-2</c:v>
              </c:pt>
              <c:pt idx="517">
                <c:v>1.405602118617676E-2</c:v>
              </c:pt>
              <c:pt idx="518">
                <c:v>1.4100532394035047E-2</c:v>
              </c:pt>
              <c:pt idx="519">
                <c:v>1.4100532394035047E-2</c:v>
              </c:pt>
              <c:pt idx="520">
                <c:v>1.4145043601893332E-2</c:v>
              </c:pt>
              <c:pt idx="521">
                <c:v>1.4145043601893332E-2</c:v>
              </c:pt>
              <c:pt idx="522">
                <c:v>1.4189554809751617E-2</c:v>
              </c:pt>
              <c:pt idx="523">
                <c:v>1.4189554809751617E-2</c:v>
              </c:pt>
              <c:pt idx="524">
                <c:v>1.4234066017609903E-2</c:v>
              </c:pt>
              <c:pt idx="525">
                <c:v>1.4234066017609903E-2</c:v>
              </c:pt>
              <c:pt idx="526">
                <c:v>1.4278577225468188E-2</c:v>
              </c:pt>
              <c:pt idx="527">
                <c:v>1.4278577225468188E-2</c:v>
              </c:pt>
              <c:pt idx="528">
                <c:v>1.4289705027432761E-2</c:v>
              </c:pt>
              <c:pt idx="529">
                <c:v>1.4289705027432761E-2</c:v>
              </c:pt>
              <c:pt idx="532">
                <c:v>1.4289705027432761E-2</c:v>
              </c:pt>
              <c:pt idx="533">
                <c:v>1.4289705027432761E-2</c:v>
              </c:pt>
              <c:pt idx="534">
                <c:v>1.4289705027432761E-2</c:v>
              </c:pt>
              <c:pt idx="535">
                <c:v>1.4334216235291046E-2</c:v>
              </c:pt>
              <c:pt idx="536">
                <c:v>1.4334216235291046E-2</c:v>
              </c:pt>
              <c:pt idx="537">
                <c:v>1.4378727443149332E-2</c:v>
              </c:pt>
              <c:pt idx="538">
                <c:v>1.4378727443149332E-2</c:v>
              </c:pt>
              <c:pt idx="539">
                <c:v>1.4423238651007617E-2</c:v>
              </c:pt>
              <c:pt idx="540">
                <c:v>1.4423238651007617E-2</c:v>
              </c:pt>
              <c:pt idx="541">
                <c:v>1.4467749858865902E-2</c:v>
              </c:pt>
              <c:pt idx="542">
                <c:v>1.4467749858865902E-2</c:v>
              </c:pt>
              <c:pt idx="543">
                <c:v>1.4512261066724189E-2</c:v>
              </c:pt>
              <c:pt idx="544">
                <c:v>1.4512261066724189E-2</c:v>
              </c:pt>
              <c:pt idx="545">
                <c:v>1.4556772274582474E-2</c:v>
              </c:pt>
              <c:pt idx="546">
                <c:v>1.4556772274582474E-2</c:v>
              </c:pt>
              <c:pt idx="547">
                <c:v>1.4567900076547045E-2</c:v>
              </c:pt>
              <c:pt idx="548">
                <c:v>1.4567900076547045E-2</c:v>
              </c:pt>
              <c:pt idx="551">
                <c:v>1.4567900076547045E-2</c:v>
              </c:pt>
              <c:pt idx="552">
                <c:v>1.4567900076547045E-2</c:v>
              </c:pt>
              <c:pt idx="553">
                <c:v>1.4567900076547045E-2</c:v>
              </c:pt>
              <c:pt idx="554">
                <c:v>1.461241128440533E-2</c:v>
              </c:pt>
              <c:pt idx="555">
                <c:v>1.461241128440533E-2</c:v>
              </c:pt>
              <c:pt idx="556">
                <c:v>1.4656922492263616E-2</c:v>
              </c:pt>
              <c:pt idx="557">
                <c:v>1.4656922492263616E-2</c:v>
              </c:pt>
              <c:pt idx="558">
                <c:v>1.4701433700121901E-2</c:v>
              </c:pt>
              <c:pt idx="559">
                <c:v>1.4701433700121901E-2</c:v>
              </c:pt>
              <c:pt idx="560">
                <c:v>1.4745944907980186E-2</c:v>
              </c:pt>
              <c:pt idx="561">
                <c:v>1.4745944907980186E-2</c:v>
              </c:pt>
              <c:pt idx="562">
                <c:v>1.4790456115838473E-2</c:v>
              </c:pt>
              <c:pt idx="563">
                <c:v>1.4790456115838473E-2</c:v>
              </c:pt>
              <c:pt idx="564">
                <c:v>1.4834967323696758E-2</c:v>
              </c:pt>
              <c:pt idx="565">
                <c:v>1.4834967323696758E-2</c:v>
              </c:pt>
              <c:pt idx="566">
                <c:v>1.484609512566133E-2</c:v>
              </c:pt>
              <c:pt idx="567">
                <c:v>1.484609512566133E-2</c:v>
              </c:pt>
              <c:pt idx="570">
                <c:v>1.484609512566133E-2</c:v>
              </c:pt>
              <c:pt idx="571">
                <c:v>1.484609512566133E-2</c:v>
              </c:pt>
              <c:pt idx="572">
                <c:v>1.484609512566133E-2</c:v>
              </c:pt>
              <c:pt idx="573">
                <c:v>1.4890606333519615E-2</c:v>
              </c:pt>
              <c:pt idx="574">
                <c:v>1.4890606333519615E-2</c:v>
              </c:pt>
              <c:pt idx="575">
                <c:v>1.4935117541377902E-2</c:v>
              </c:pt>
              <c:pt idx="576">
                <c:v>1.4935117541377902E-2</c:v>
              </c:pt>
              <c:pt idx="577">
                <c:v>1.4979628749236187E-2</c:v>
              </c:pt>
              <c:pt idx="578">
                <c:v>1.4979628749236187E-2</c:v>
              </c:pt>
              <c:pt idx="579">
                <c:v>1.5024139957094472E-2</c:v>
              </c:pt>
              <c:pt idx="580">
                <c:v>1.5024139957094472E-2</c:v>
              </c:pt>
              <c:pt idx="581">
                <c:v>1.5068651164952759E-2</c:v>
              </c:pt>
              <c:pt idx="582">
                <c:v>1.5068651164952759E-2</c:v>
              </c:pt>
              <c:pt idx="583">
                <c:v>1.5113162372811044E-2</c:v>
              </c:pt>
              <c:pt idx="584">
                <c:v>1.5113162372811044E-2</c:v>
              </c:pt>
              <c:pt idx="585">
                <c:v>1.5124290174775614E-2</c:v>
              </c:pt>
              <c:pt idx="586">
                <c:v>1.5124290174775614E-2</c:v>
              </c:pt>
              <c:pt idx="589">
                <c:v>1.5124290174775614E-2</c:v>
              </c:pt>
              <c:pt idx="590">
                <c:v>1.5124290174775614E-2</c:v>
              </c:pt>
              <c:pt idx="591">
                <c:v>1.5124290174775614E-2</c:v>
              </c:pt>
              <c:pt idx="592">
                <c:v>1.5168801382633899E-2</c:v>
              </c:pt>
              <c:pt idx="593">
                <c:v>1.5168801382633899E-2</c:v>
              </c:pt>
              <c:pt idx="594">
                <c:v>1.5213312590492186E-2</c:v>
              </c:pt>
              <c:pt idx="595">
                <c:v>1.5213312590492186E-2</c:v>
              </c:pt>
              <c:pt idx="596">
                <c:v>1.5257823798350471E-2</c:v>
              </c:pt>
              <c:pt idx="597">
                <c:v>1.5257823798350471E-2</c:v>
              </c:pt>
              <c:pt idx="598">
                <c:v>1.5302335006208756E-2</c:v>
              </c:pt>
              <c:pt idx="599">
                <c:v>1.5302335006208756E-2</c:v>
              </c:pt>
              <c:pt idx="600">
                <c:v>1.5346846214067043E-2</c:v>
              </c:pt>
              <c:pt idx="601">
                <c:v>1.5346846214067043E-2</c:v>
              </c:pt>
              <c:pt idx="602">
                <c:v>1.5391357421925328E-2</c:v>
              </c:pt>
              <c:pt idx="603">
                <c:v>1.5391357421925328E-2</c:v>
              </c:pt>
              <c:pt idx="604">
                <c:v>1.54024852238899E-2</c:v>
              </c:pt>
              <c:pt idx="605">
                <c:v>1.54024852238899E-2</c:v>
              </c:pt>
              <c:pt idx="608">
                <c:v>1.54024852238899E-2</c:v>
              </c:pt>
              <c:pt idx="609">
                <c:v>1.54024852238899E-2</c:v>
              </c:pt>
              <c:pt idx="610">
                <c:v>1.54024852238899E-2</c:v>
              </c:pt>
              <c:pt idx="611">
                <c:v>1.5446996431748185E-2</c:v>
              </c:pt>
              <c:pt idx="612">
                <c:v>1.5446996431748185E-2</c:v>
              </c:pt>
              <c:pt idx="613">
                <c:v>1.5491507639606472E-2</c:v>
              </c:pt>
              <c:pt idx="614">
                <c:v>1.5491507639606472E-2</c:v>
              </c:pt>
              <c:pt idx="615">
                <c:v>1.5536018847464757E-2</c:v>
              </c:pt>
              <c:pt idx="616">
                <c:v>1.5536018847464757E-2</c:v>
              </c:pt>
              <c:pt idx="617">
                <c:v>1.5580530055323042E-2</c:v>
              </c:pt>
              <c:pt idx="618">
                <c:v>1.5580530055323042E-2</c:v>
              </c:pt>
              <c:pt idx="619">
                <c:v>1.5625041263181327E-2</c:v>
              </c:pt>
              <c:pt idx="620">
                <c:v>1.5625041263181327E-2</c:v>
              </c:pt>
              <c:pt idx="621">
                <c:v>1.5669552471039613E-2</c:v>
              </c:pt>
              <c:pt idx="622">
                <c:v>1.5669552471039613E-2</c:v>
              </c:pt>
              <c:pt idx="623">
                <c:v>1.5680680273004184E-2</c:v>
              </c:pt>
              <c:pt idx="624">
                <c:v>1.5680680273004184E-2</c:v>
              </c:pt>
              <c:pt idx="627">
                <c:v>1.5680680273004184E-2</c:v>
              </c:pt>
              <c:pt idx="628">
                <c:v>1.5680680273004184E-2</c:v>
              </c:pt>
              <c:pt idx="629">
                <c:v>1.5680680273004184E-2</c:v>
              </c:pt>
              <c:pt idx="630">
                <c:v>1.5725191480862471E-2</c:v>
              </c:pt>
              <c:pt idx="631">
                <c:v>1.5725191480862471E-2</c:v>
              </c:pt>
              <c:pt idx="632">
                <c:v>1.5769702688720754E-2</c:v>
              </c:pt>
              <c:pt idx="633">
                <c:v>1.5769702688720754E-2</c:v>
              </c:pt>
              <c:pt idx="634">
                <c:v>1.5814213896579041E-2</c:v>
              </c:pt>
              <c:pt idx="635">
                <c:v>1.5814213896579041E-2</c:v>
              </c:pt>
              <c:pt idx="636">
                <c:v>1.5858725104437327E-2</c:v>
              </c:pt>
              <c:pt idx="637">
                <c:v>1.5858725104437327E-2</c:v>
              </c:pt>
              <c:pt idx="638">
                <c:v>1.5903236312295611E-2</c:v>
              </c:pt>
              <c:pt idx="639">
                <c:v>1.5903236312295611E-2</c:v>
              </c:pt>
              <c:pt idx="640">
                <c:v>1.5947747520153897E-2</c:v>
              </c:pt>
              <c:pt idx="641">
                <c:v>1.5947747520153897E-2</c:v>
              </c:pt>
              <c:pt idx="642">
                <c:v>1.5958875322118472E-2</c:v>
              </c:pt>
              <c:pt idx="643">
                <c:v>1.5958875322118472E-2</c:v>
              </c:pt>
              <c:pt idx="646">
                <c:v>1.5958875322118472E-2</c:v>
              </c:pt>
              <c:pt idx="647">
                <c:v>1.5958875322118472E-2</c:v>
              </c:pt>
              <c:pt idx="648">
                <c:v>1.5958875322118472E-2</c:v>
              </c:pt>
              <c:pt idx="649">
                <c:v>1.6003386529976758E-2</c:v>
              </c:pt>
              <c:pt idx="650">
                <c:v>1.6003386529976758E-2</c:v>
              </c:pt>
              <c:pt idx="651">
                <c:v>1.6047897737835042E-2</c:v>
              </c:pt>
              <c:pt idx="652">
                <c:v>1.6047897737835042E-2</c:v>
              </c:pt>
              <c:pt idx="653">
                <c:v>1.6092408945693328E-2</c:v>
              </c:pt>
              <c:pt idx="654">
                <c:v>1.6092408945693328E-2</c:v>
              </c:pt>
              <c:pt idx="655">
                <c:v>1.6136920153551615E-2</c:v>
              </c:pt>
              <c:pt idx="656">
                <c:v>1.6136920153551615E-2</c:v>
              </c:pt>
              <c:pt idx="657">
                <c:v>1.6181431361409898E-2</c:v>
              </c:pt>
              <c:pt idx="658">
                <c:v>1.6181431361409898E-2</c:v>
              </c:pt>
              <c:pt idx="659">
                <c:v>1.6225942569268185E-2</c:v>
              </c:pt>
              <c:pt idx="660">
                <c:v>1.6225942569268185E-2</c:v>
              </c:pt>
              <c:pt idx="661">
                <c:v>1.6237070371232756E-2</c:v>
              </c:pt>
              <c:pt idx="662">
                <c:v>1.6237070371232756E-2</c:v>
              </c:pt>
              <c:pt idx="665">
                <c:v>1.6237070371232756E-2</c:v>
              </c:pt>
              <c:pt idx="666">
                <c:v>1.6237070371232756E-2</c:v>
              </c:pt>
              <c:pt idx="667">
                <c:v>1.6237070371232756E-2</c:v>
              </c:pt>
              <c:pt idx="668">
                <c:v>1.6281581579091042E-2</c:v>
              </c:pt>
              <c:pt idx="669">
                <c:v>1.6281581579091042E-2</c:v>
              </c:pt>
              <c:pt idx="670">
                <c:v>1.6326092786949326E-2</c:v>
              </c:pt>
              <c:pt idx="671">
                <c:v>1.6326092786949326E-2</c:v>
              </c:pt>
              <c:pt idx="672">
                <c:v>1.6370603994807612E-2</c:v>
              </c:pt>
              <c:pt idx="673">
                <c:v>1.6370603994807612E-2</c:v>
              </c:pt>
              <c:pt idx="674">
                <c:v>1.6415115202665899E-2</c:v>
              </c:pt>
              <c:pt idx="675">
                <c:v>1.6415115202665899E-2</c:v>
              </c:pt>
              <c:pt idx="676">
                <c:v>1.6459626410524182E-2</c:v>
              </c:pt>
              <c:pt idx="677">
                <c:v>1.6459626410524182E-2</c:v>
              </c:pt>
              <c:pt idx="678">
                <c:v>1.6504137618382469E-2</c:v>
              </c:pt>
              <c:pt idx="679">
                <c:v>1.6504137618382469E-2</c:v>
              </c:pt>
              <c:pt idx="680">
                <c:v>1.651526542034704E-2</c:v>
              </c:pt>
              <c:pt idx="681">
                <c:v>1.651526542034704E-2</c:v>
              </c:pt>
              <c:pt idx="684">
                <c:v>1.651526542034704E-2</c:v>
              </c:pt>
              <c:pt idx="685">
                <c:v>1.651526542034704E-2</c:v>
              </c:pt>
              <c:pt idx="686">
                <c:v>1.651526542034704E-2</c:v>
              </c:pt>
              <c:pt idx="687">
                <c:v>1.6559776628205326E-2</c:v>
              </c:pt>
              <c:pt idx="688">
                <c:v>1.6559776628205326E-2</c:v>
              </c:pt>
              <c:pt idx="689">
                <c:v>1.660428783606361E-2</c:v>
              </c:pt>
              <c:pt idx="690">
                <c:v>1.660428783606361E-2</c:v>
              </c:pt>
              <c:pt idx="691">
                <c:v>1.6648799043921896E-2</c:v>
              </c:pt>
              <c:pt idx="692">
                <c:v>1.6648799043921896E-2</c:v>
              </c:pt>
              <c:pt idx="693">
                <c:v>1.6693310251780183E-2</c:v>
              </c:pt>
              <c:pt idx="694">
                <c:v>1.6693310251780183E-2</c:v>
              </c:pt>
              <c:pt idx="695">
                <c:v>1.6737821459638466E-2</c:v>
              </c:pt>
              <c:pt idx="696">
                <c:v>1.6737821459638466E-2</c:v>
              </c:pt>
              <c:pt idx="697">
                <c:v>1.6782332667496753E-2</c:v>
              </c:pt>
              <c:pt idx="698">
                <c:v>1.6782332667496753E-2</c:v>
              </c:pt>
              <c:pt idx="699">
                <c:v>1.6793460469461324E-2</c:v>
              </c:pt>
              <c:pt idx="700">
                <c:v>1.6793460469461324E-2</c:v>
              </c:pt>
              <c:pt idx="703">
                <c:v>1.6793460469461324E-2</c:v>
              </c:pt>
              <c:pt idx="704">
                <c:v>1.6793460469461324E-2</c:v>
              </c:pt>
              <c:pt idx="705">
                <c:v>1.6793460469461324E-2</c:v>
              </c:pt>
              <c:pt idx="706">
                <c:v>1.683797167731961E-2</c:v>
              </c:pt>
              <c:pt idx="707">
                <c:v>1.683797167731961E-2</c:v>
              </c:pt>
              <c:pt idx="708">
                <c:v>1.6882482885177894E-2</c:v>
              </c:pt>
              <c:pt idx="709">
                <c:v>1.6882482885177894E-2</c:v>
              </c:pt>
              <c:pt idx="710">
                <c:v>1.692699409303618E-2</c:v>
              </c:pt>
              <c:pt idx="711">
                <c:v>1.692699409303618E-2</c:v>
              </c:pt>
              <c:pt idx="712">
                <c:v>1.6971505300894467E-2</c:v>
              </c:pt>
              <c:pt idx="713">
                <c:v>1.6971505300894467E-2</c:v>
              </c:pt>
              <c:pt idx="714">
                <c:v>1.701601650875275E-2</c:v>
              </c:pt>
              <c:pt idx="715">
                <c:v>1.701601650875275E-2</c:v>
              </c:pt>
              <c:pt idx="716">
                <c:v>1.7060527716611037E-2</c:v>
              </c:pt>
              <c:pt idx="717">
                <c:v>1.7060527716611037E-2</c:v>
              </c:pt>
              <c:pt idx="718">
                <c:v>1.7071655518575611E-2</c:v>
              </c:pt>
              <c:pt idx="719">
                <c:v>1.7071655518575611E-2</c:v>
              </c:pt>
              <c:pt idx="722">
                <c:v>1.7071655518575611E-2</c:v>
              </c:pt>
              <c:pt idx="723">
                <c:v>1.7071655518575611E-2</c:v>
              </c:pt>
              <c:pt idx="724">
                <c:v>1.7071655518575611E-2</c:v>
              </c:pt>
              <c:pt idx="725">
                <c:v>1.7116166726433898E-2</c:v>
              </c:pt>
              <c:pt idx="726">
                <c:v>1.7116166726433898E-2</c:v>
              </c:pt>
              <c:pt idx="727">
                <c:v>1.7160677934292181E-2</c:v>
              </c:pt>
              <c:pt idx="728">
                <c:v>1.7160677934292181E-2</c:v>
              </c:pt>
              <c:pt idx="729">
                <c:v>1.7205189142150468E-2</c:v>
              </c:pt>
              <c:pt idx="730">
                <c:v>1.7205189142150468E-2</c:v>
              </c:pt>
              <c:pt idx="731">
                <c:v>1.7249700350008754E-2</c:v>
              </c:pt>
              <c:pt idx="732">
                <c:v>1.7249700350008754E-2</c:v>
              </c:pt>
              <c:pt idx="733">
                <c:v>1.7294211557867038E-2</c:v>
              </c:pt>
              <c:pt idx="734">
                <c:v>1.7294211557867038E-2</c:v>
              </c:pt>
              <c:pt idx="735">
                <c:v>1.7338722765725324E-2</c:v>
              </c:pt>
              <c:pt idx="736">
                <c:v>1.7338722765725324E-2</c:v>
              </c:pt>
              <c:pt idx="737">
                <c:v>1.7349850567689895E-2</c:v>
              </c:pt>
              <c:pt idx="738">
                <c:v>1.7349850567689895E-2</c:v>
              </c:pt>
              <c:pt idx="741">
                <c:v>1.7349850567689895E-2</c:v>
              </c:pt>
              <c:pt idx="742">
                <c:v>1.7349850567689895E-2</c:v>
              </c:pt>
              <c:pt idx="743">
                <c:v>1.7349850567689895E-2</c:v>
              </c:pt>
              <c:pt idx="744">
                <c:v>1.7394361775548182E-2</c:v>
              </c:pt>
              <c:pt idx="745">
                <c:v>1.7394361775548182E-2</c:v>
              </c:pt>
              <c:pt idx="746">
                <c:v>1.7438872983406465E-2</c:v>
              </c:pt>
              <c:pt idx="747">
                <c:v>1.7438872983406465E-2</c:v>
              </c:pt>
              <c:pt idx="748">
                <c:v>1.7483384191264752E-2</c:v>
              </c:pt>
              <c:pt idx="749">
                <c:v>1.7483384191264752E-2</c:v>
              </c:pt>
              <c:pt idx="750">
                <c:v>1.7527895399123038E-2</c:v>
              </c:pt>
              <c:pt idx="751">
                <c:v>1.7527895399123038E-2</c:v>
              </c:pt>
              <c:pt idx="752">
                <c:v>1.7572406606981322E-2</c:v>
              </c:pt>
              <c:pt idx="753">
                <c:v>1.7572406606981322E-2</c:v>
              </c:pt>
              <c:pt idx="754">
                <c:v>1.7616917814839608E-2</c:v>
              </c:pt>
              <c:pt idx="755">
                <c:v>1.7616917814839608E-2</c:v>
              </c:pt>
              <c:pt idx="756">
                <c:v>1.7628045616804179E-2</c:v>
              </c:pt>
              <c:pt idx="757">
                <c:v>1.7628045616804179E-2</c:v>
              </c:pt>
            </c:numLit>
          </c:xVal>
          <c:yVal>
            <c:numLit>
              <c:formatCode>General</c:formatCode>
              <c:ptCount val="759"/>
              <c:pt idx="0">
                <c:v>0</c:v>
              </c:pt>
              <c:pt idx="1">
                <c:v>0</c:v>
              </c:pt>
              <c:pt idx="2">
                <c:v>0.71892005496416411</c:v>
              </c:pt>
              <c:pt idx="3">
                <c:v>0.71892005496416411</c:v>
              </c:pt>
              <c:pt idx="4">
                <c:v>0</c:v>
              </c:pt>
              <c:pt idx="5">
                <c:v>0</c:v>
              </c:pt>
              <c:pt idx="6">
                <c:v>0.71892005496416411</c:v>
              </c:pt>
              <c:pt idx="7">
                <c:v>0.71892005496416411</c:v>
              </c:pt>
              <c:pt idx="8">
                <c:v>0</c:v>
              </c:pt>
              <c:pt idx="9">
                <c:v>0</c:v>
              </c:pt>
              <c:pt idx="10">
                <c:v>0.71892005496416411</c:v>
              </c:pt>
              <c:pt idx="11">
                <c:v>0.71892005496416411</c:v>
              </c:pt>
              <c:pt idx="12">
                <c:v>0</c:v>
              </c:pt>
              <c:pt idx="13">
                <c:v>0</c:v>
              </c:pt>
              <c:pt idx="14">
                <c:v>0.71892005496416411</c:v>
              </c:pt>
              <c:pt idx="15">
                <c:v>0.71892005496416411</c:v>
              </c:pt>
              <c:pt idx="16">
                <c:v>0</c:v>
              </c:pt>
              <c:pt idx="19">
                <c:v>0</c:v>
              </c:pt>
              <c:pt idx="20">
                <c:v>0</c:v>
              </c:pt>
              <c:pt idx="21">
                <c:v>3.2351402473387387</c:v>
              </c:pt>
              <c:pt idx="22">
                <c:v>3.2351402473387387</c:v>
              </c:pt>
              <c:pt idx="23">
                <c:v>0</c:v>
              </c:pt>
              <c:pt idx="24">
                <c:v>0</c:v>
              </c:pt>
              <c:pt idx="25">
                <c:v>3.2351402473387387</c:v>
              </c:pt>
              <c:pt idx="26">
                <c:v>3.2351402473387387</c:v>
              </c:pt>
              <c:pt idx="27">
                <c:v>0</c:v>
              </c:pt>
              <c:pt idx="28">
                <c:v>0</c:v>
              </c:pt>
              <c:pt idx="29">
                <c:v>3.2351402473387387</c:v>
              </c:pt>
              <c:pt idx="30">
                <c:v>3.2351402473387387</c:v>
              </c:pt>
              <c:pt idx="31">
                <c:v>0</c:v>
              </c:pt>
              <c:pt idx="32">
                <c:v>0</c:v>
              </c:pt>
              <c:pt idx="33">
                <c:v>3.2351402473387387</c:v>
              </c:pt>
              <c:pt idx="34">
                <c:v>3.2351402473387387</c:v>
              </c:pt>
              <c:pt idx="35">
                <c:v>0</c:v>
              </c:pt>
              <c:pt idx="38">
                <c:v>0</c:v>
              </c:pt>
              <c:pt idx="39">
                <c:v>0</c:v>
              </c:pt>
              <c:pt idx="40">
                <c:v>5.7513604397133129</c:v>
              </c:pt>
              <c:pt idx="41">
                <c:v>5.7513604397133129</c:v>
              </c:pt>
              <c:pt idx="42">
                <c:v>0</c:v>
              </c:pt>
              <c:pt idx="43">
                <c:v>0</c:v>
              </c:pt>
              <c:pt idx="44">
                <c:v>5.7513604397133129</c:v>
              </c:pt>
              <c:pt idx="45">
                <c:v>5.7513604397133129</c:v>
              </c:pt>
              <c:pt idx="46">
                <c:v>0</c:v>
              </c:pt>
              <c:pt idx="47">
                <c:v>0</c:v>
              </c:pt>
              <c:pt idx="48">
                <c:v>5.7513604397133129</c:v>
              </c:pt>
              <c:pt idx="49">
                <c:v>5.7513604397133129</c:v>
              </c:pt>
              <c:pt idx="50">
                <c:v>0</c:v>
              </c:pt>
              <c:pt idx="51">
                <c:v>0</c:v>
              </c:pt>
              <c:pt idx="52">
                <c:v>5.7513604397133129</c:v>
              </c:pt>
              <c:pt idx="53">
                <c:v>5.7513604397133129</c:v>
              </c:pt>
              <c:pt idx="54">
                <c:v>0</c:v>
              </c:pt>
              <c:pt idx="57">
                <c:v>0</c:v>
              </c:pt>
              <c:pt idx="58">
                <c:v>0</c:v>
              </c:pt>
              <c:pt idx="59">
                <c:v>14.378401099283282</c:v>
              </c:pt>
              <c:pt idx="60">
                <c:v>14.378401099283282</c:v>
              </c:pt>
              <c:pt idx="61">
                <c:v>0</c:v>
              </c:pt>
              <c:pt idx="62">
                <c:v>0</c:v>
              </c:pt>
              <c:pt idx="63">
                <c:v>14.378401099283282</c:v>
              </c:pt>
              <c:pt idx="64">
                <c:v>14.378401099283282</c:v>
              </c:pt>
              <c:pt idx="65">
                <c:v>0</c:v>
              </c:pt>
              <c:pt idx="66">
                <c:v>0</c:v>
              </c:pt>
              <c:pt idx="67">
                <c:v>14.378401099283282</c:v>
              </c:pt>
              <c:pt idx="68">
                <c:v>14.378401099283282</c:v>
              </c:pt>
              <c:pt idx="69">
                <c:v>0</c:v>
              </c:pt>
              <c:pt idx="70">
                <c:v>0</c:v>
              </c:pt>
              <c:pt idx="71">
                <c:v>14.378401099283282</c:v>
              </c:pt>
              <c:pt idx="72">
                <c:v>14.378401099283282</c:v>
              </c:pt>
              <c:pt idx="73">
                <c:v>0</c:v>
              </c:pt>
              <c:pt idx="76">
                <c:v>0</c:v>
              </c:pt>
              <c:pt idx="77">
                <c:v>0</c:v>
              </c:pt>
              <c:pt idx="78">
                <c:v>26.959502061156069</c:v>
              </c:pt>
              <c:pt idx="79">
                <c:v>26.959502061156069</c:v>
              </c:pt>
              <c:pt idx="80">
                <c:v>0</c:v>
              </c:pt>
              <c:pt idx="81">
                <c:v>0</c:v>
              </c:pt>
              <c:pt idx="82">
                <c:v>26.959502061156069</c:v>
              </c:pt>
              <c:pt idx="83">
                <c:v>26.959502061156069</c:v>
              </c:pt>
              <c:pt idx="84">
                <c:v>0</c:v>
              </c:pt>
              <c:pt idx="85">
                <c:v>0</c:v>
              </c:pt>
              <c:pt idx="86">
                <c:v>26.959502061156069</c:v>
              </c:pt>
              <c:pt idx="87">
                <c:v>26.959502061156069</c:v>
              </c:pt>
              <c:pt idx="88">
                <c:v>0</c:v>
              </c:pt>
              <c:pt idx="89">
                <c:v>0</c:v>
              </c:pt>
              <c:pt idx="90">
                <c:v>26.959502061156069</c:v>
              </c:pt>
              <c:pt idx="91">
                <c:v>26.959502061156069</c:v>
              </c:pt>
              <c:pt idx="92">
                <c:v>0</c:v>
              </c:pt>
              <c:pt idx="95">
                <c:v>0</c:v>
              </c:pt>
              <c:pt idx="96">
                <c:v>0</c:v>
              </c:pt>
              <c:pt idx="97">
                <c:v>35.586542720726229</c:v>
              </c:pt>
              <c:pt idx="98">
                <c:v>35.586542720726229</c:v>
              </c:pt>
              <c:pt idx="99">
                <c:v>0</c:v>
              </c:pt>
              <c:pt idx="100">
                <c:v>0</c:v>
              </c:pt>
              <c:pt idx="101">
                <c:v>35.586542720726229</c:v>
              </c:pt>
              <c:pt idx="102">
                <c:v>35.586542720726229</c:v>
              </c:pt>
              <c:pt idx="103">
                <c:v>0</c:v>
              </c:pt>
              <c:pt idx="104">
                <c:v>0</c:v>
              </c:pt>
              <c:pt idx="105">
                <c:v>35.586542720726229</c:v>
              </c:pt>
              <c:pt idx="106">
                <c:v>35.586542720726229</c:v>
              </c:pt>
              <c:pt idx="107">
                <c:v>0</c:v>
              </c:pt>
              <c:pt idx="108">
                <c:v>0</c:v>
              </c:pt>
              <c:pt idx="109">
                <c:v>35.586542720726229</c:v>
              </c:pt>
              <c:pt idx="110">
                <c:v>35.586542720726229</c:v>
              </c:pt>
              <c:pt idx="111">
                <c:v>0</c:v>
              </c:pt>
              <c:pt idx="114">
                <c:v>0</c:v>
              </c:pt>
              <c:pt idx="115">
                <c:v>0</c:v>
              </c:pt>
              <c:pt idx="116">
                <c:v>62.905504809364153</c:v>
              </c:pt>
              <c:pt idx="117">
                <c:v>62.905504809364153</c:v>
              </c:pt>
              <c:pt idx="118">
                <c:v>0</c:v>
              </c:pt>
              <c:pt idx="119">
                <c:v>0</c:v>
              </c:pt>
              <c:pt idx="120">
                <c:v>62.905504809364153</c:v>
              </c:pt>
              <c:pt idx="121">
                <c:v>62.905504809364153</c:v>
              </c:pt>
              <c:pt idx="122">
                <c:v>0</c:v>
              </c:pt>
              <c:pt idx="123">
                <c:v>0</c:v>
              </c:pt>
              <c:pt idx="124">
                <c:v>62.905504809364153</c:v>
              </c:pt>
              <c:pt idx="125">
                <c:v>62.905504809364153</c:v>
              </c:pt>
              <c:pt idx="126">
                <c:v>0</c:v>
              </c:pt>
              <c:pt idx="127">
                <c:v>0</c:v>
              </c:pt>
              <c:pt idx="128">
                <c:v>62.905504809364153</c:v>
              </c:pt>
              <c:pt idx="129">
                <c:v>62.905504809364153</c:v>
              </c:pt>
              <c:pt idx="130">
                <c:v>0</c:v>
              </c:pt>
              <c:pt idx="133">
                <c:v>0</c:v>
              </c:pt>
              <c:pt idx="134">
                <c:v>0</c:v>
              </c:pt>
              <c:pt idx="135">
                <c:v>96.335287365198297</c:v>
              </c:pt>
              <c:pt idx="136">
                <c:v>96.335287365198297</c:v>
              </c:pt>
              <c:pt idx="137">
                <c:v>0</c:v>
              </c:pt>
              <c:pt idx="138">
                <c:v>0</c:v>
              </c:pt>
              <c:pt idx="139">
                <c:v>96.335287365198297</c:v>
              </c:pt>
              <c:pt idx="140">
                <c:v>96.335287365198297</c:v>
              </c:pt>
              <c:pt idx="141">
                <c:v>0</c:v>
              </c:pt>
              <c:pt idx="142">
                <c:v>0</c:v>
              </c:pt>
              <c:pt idx="143">
                <c:v>96.335287365198297</c:v>
              </c:pt>
              <c:pt idx="144">
                <c:v>96.335287365198297</c:v>
              </c:pt>
              <c:pt idx="145">
                <c:v>0</c:v>
              </c:pt>
              <c:pt idx="146">
                <c:v>0</c:v>
              </c:pt>
              <c:pt idx="147">
                <c:v>96.335287365198297</c:v>
              </c:pt>
              <c:pt idx="148">
                <c:v>96.335287365198297</c:v>
              </c:pt>
              <c:pt idx="149">
                <c:v>0</c:v>
              </c:pt>
              <c:pt idx="152">
                <c:v>0</c:v>
              </c:pt>
              <c:pt idx="153">
                <c:v>0</c:v>
              </c:pt>
              <c:pt idx="154">
                <c:v>125.09208956376415</c:v>
              </c:pt>
              <c:pt idx="155">
                <c:v>125.09208956376415</c:v>
              </c:pt>
              <c:pt idx="156">
                <c:v>0</c:v>
              </c:pt>
              <c:pt idx="157">
                <c:v>0</c:v>
              </c:pt>
              <c:pt idx="158">
                <c:v>125.09208956376415</c:v>
              </c:pt>
              <c:pt idx="159">
                <c:v>125.09208956376415</c:v>
              </c:pt>
              <c:pt idx="160">
                <c:v>0</c:v>
              </c:pt>
              <c:pt idx="161">
                <c:v>0</c:v>
              </c:pt>
              <c:pt idx="162">
                <c:v>125.09208956376415</c:v>
              </c:pt>
              <c:pt idx="163">
                <c:v>125.09208956376415</c:v>
              </c:pt>
              <c:pt idx="164">
                <c:v>0</c:v>
              </c:pt>
              <c:pt idx="165">
                <c:v>0</c:v>
              </c:pt>
              <c:pt idx="166">
                <c:v>125.09208956376415</c:v>
              </c:pt>
              <c:pt idx="167">
                <c:v>125.09208956376415</c:v>
              </c:pt>
              <c:pt idx="168">
                <c:v>0</c:v>
              </c:pt>
              <c:pt idx="171">
                <c:v>0</c:v>
              </c:pt>
              <c:pt idx="172">
                <c:v>0</c:v>
              </c:pt>
              <c:pt idx="173">
                <c:v>172.18135316391786</c:v>
              </c:pt>
              <c:pt idx="174">
                <c:v>172.18135316391786</c:v>
              </c:pt>
              <c:pt idx="175">
                <c:v>0</c:v>
              </c:pt>
              <c:pt idx="176">
                <c:v>0</c:v>
              </c:pt>
              <c:pt idx="177">
                <c:v>172.18135316391786</c:v>
              </c:pt>
              <c:pt idx="178">
                <c:v>172.18135316391786</c:v>
              </c:pt>
              <c:pt idx="179">
                <c:v>0</c:v>
              </c:pt>
              <c:pt idx="180">
                <c:v>0</c:v>
              </c:pt>
              <c:pt idx="181">
                <c:v>172.18135316391786</c:v>
              </c:pt>
              <c:pt idx="182">
                <c:v>172.18135316391786</c:v>
              </c:pt>
              <c:pt idx="183">
                <c:v>0</c:v>
              </c:pt>
              <c:pt idx="184">
                <c:v>0</c:v>
              </c:pt>
              <c:pt idx="185">
                <c:v>172.18135316391786</c:v>
              </c:pt>
              <c:pt idx="186">
                <c:v>172.18135316391786</c:v>
              </c:pt>
              <c:pt idx="187">
                <c:v>0</c:v>
              </c:pt>
              <c:pt idx="190">
                <c:v>0</c:v>
              </c:pt>
              <c:pt idx="191">
                <c:v>0</c:v>
              </c:pt>
              <c:pt idx="192">
                <c:v>219.27061676406936</c:v>
              </c:pt>
              <c:pt idx="193">
                <c:v>219.27061676406936</c:v>
              </c:pt>
              <c:pt idx="194">
                <c:v>0</c:v>
              </c:pt>
              <c:pt idx="195">
                <c:v>0</c:v>
              </c:pt>
              <c:pt idx="196">
                <c:v>219.27061676406936</c:v>
              </c:pt>
              <c:pt idx="197">
                <c:v>219.27061676406936</c:v>
              </c:pt>
              <c:pt idx="198">
                <c:v>0</c:v>
              </c:pt>
              <c:pt idx="199">
                <c:v>0</c:v>
              </c:pt>
              <c:pt idx="200">
                <c:v>219.27061676406936</c:v>
              </c:pt>
              <c:pt idx="201">
                <c:v>219.27061676406936</c:v>
              </c:pt>
              <c:pt idx="202">
                <c:v>0</c:v>
              </c:pt>
              <c:pt idx="203">
                <c:v>0</c:v>
              </c:pt>
              <c:pt idx="204">
                <c:v>219.27061676406936</c:v>
              </c:pt>
              <c:pt idx="205">
                <c:v>219.27061676406936</c:v>
              </c:pt>
              <c:pt idx="206">
                <c:v>0</c:v>
              </c:pt>
              <c:pt idx="209">
                <c:v>0</c:v>
              </c:pt>
              <c:pt idx="210">
                <c:v>0</c:v>
              </c:pt>
              <c:pt idx="211">
                <c:v>248.38687899011944</c:v>
              </c:pt>
              <c:pt idx="212">
                <c:v>248.38687899011944</c:v>
              </c:pt>
              <c:pt idx="213">
                <c:v>0</c:v>
              </c:pt>
              <c:pt idx="214">
                <c:v>0</c:v>
              </c:pt>
              <c:pt idx="215">
                <c:v>248.38687899011944</c:v>
              </c:pt>
              <c:pt idx="216">
                <c:v>248.38687899011944</c:v>
              </c:pt>
              <c:pt idx="217">
                <c:v>0</c:v>
              </c:pt>
              <c:pt idx="218">
                <c:v>0</c:v>
              </c:pt>
              <c:pt idx="219">
                <c:v>248.38687899011944</c:v>
              </c:pt>
              <c:pt idx="220">
                <c:v>248.38687899011944</c:v>
              </c:pt>
              <c:pt idx="221">
                <c:v>0</c:v>
              </c:pt>
              <c:pt idx="222">
                <c:v>0</c:v>
              </c:pt>
              <c:pt idx="223">
                <c:v>248.38687899011944</c:v>
              </c:pt>
              <c:pt idx="224">
                <c:v>248.38687899011944</c:v>
              </c:pt>
              <c:pt idx="225">
                <c:v>0</c:v>
              </c:pt>
              <c:pt idx="228">
                <c:v>0</c:v>
              </c:pt>
              <c:pt idx="229">
                <c:v>0</c:v>
              </c:pt>
              <c:pt idx="230">
                <c:v>271.75178077645319</c:v>
              </c:pt>
              <c:pt idx="231">
                <c:v>271.75178077645319</c:v>
              </c:pt>
              <c:pt idx="232">
                <c:v>0</c:v>
              </c:pt>
              <c:pt idx="233">
                <c:v>0</c:v>
              </c:pt>
              <c:pt idx="234">
                <c:v>271.75178077645319</c:v>
              </c:pt>
              <c:pt idx="235">
                <c:v>271.75178077645319</c:v>
              </c:pt>
              <c:pt idx="236">
                <c:v>0</c:v>
              </c:pt>
              <c:pt idx="237">
                <c:v>0</c:v>
              </c:pt>
              <c:pt idx="238">
                <c:v>271.75178077645319</c:v>
              </c:pt>
              <c:pt idx="239">
                <c:v>271.75178077645319</c:v>
              </c:pt>
              <c:pt idx="240">
                <c:v>0</c:v>
              </c:pt>
              <c:pt idx="241">
                <c:v>0</c:v>
              </c:pt>
              <c:pt idx="242">
                <c:v>271.75178077645319</c:v>
              </c:pt>
              <c:pt idx="243">
                <c:v>271.75178077645319</c:v>
              </c:pt>
              <c:pt idx="244">
                <c:v>0</c:v>
              </c:pt>
              <c:pt idx="247">
                <c:v>0</c:v>
              </c:pt>
              <c:pt idx="248">
                <c:v>0</c:v>
              </c:pt>
              <c:pt idx="249">
                <c:v>268.5166405291161</c:v>
              </c:pt>
              <c:pt idx="250">
                <c:v>268.5166405291161</c:v>
              </c:pt>
              <c:pt idx="251">
                <c:v>0</c:v>
              </c:pt>
              <c:pt idx="252">
                <c:v>0</c:v>
              </c:pt>
              <c:pt idx="253">
                <c:v>268.5166405291161</c:v>
              </c:pt>
              <c:pt idx="254">
                <c:v>268.5166405291161</c:v>
              </c:pt>
              <c:pt idx="255">
                <c:v>0</c:v>
              </c:pt>
              <c:pt idx="256">
                <c:v>0</c:v>
              </c:pt>
              <c:pt idx="257">
                <c:v>268.5166405291161</c:v>
              </c:pt>
              <c:pt idx="258">
                <c:v>268.5166405291161</c:v>
              </c:pt>
              <c:pt idx="259">
                <c:v>0</c:v>
              </c:pt>
              <c:pt idx="260">
                <c:v>0</c:v>
              </c:pt>
              <c:pt idx="261">
                <c:v>268.5166405291161</c:v>
              </c:pt>
              <c:pt idx="262">
                <c:v>268.5166405291161</c:v>
              </c:pt>
              <c:pt idx="263">
                <c:v>0</c:v>
              </c:pt>
              <c:pt idx="266">
                <c:v>0</c:v>
              </c:pt>
              <c:pt idx="267">
                <c:v>0</c:v>
              </c:pt>
              <c:pt idx="268">
                <c:v>296.19506264523477</c:v>
              </c:pt>
              <c:pt idx="269">
                <c:v>296.19506264523477</c:v>
              </c:pt>
              <c:pt idx="270">
                <c:v>0</c:v>
              </c:pt>
              <c:pt idx="271">
                <c:v>0</c:v>
              </c:pt>
              <c:pt idx="272">
                <c:v>296.19506264523477</c:v>
              </c:pt>
              <c:pt idx="273">
                <c:v>296.19506264523477</c:v>
              </c:pt>
              <c:pt idx="274">
                <c:v>0</c:v>
              </c:pt>
              <c:pt idx="275">
                <c:v>0</c:v>
              </c:pt>
              <c:pt idx="276">
                <c:v>296.19506264523477</c:v>
              </c:pt>
              <c:pt idx="277">
                <c:v>296.19506264523477</c:v>
              </c:pt>
              <c:pt idx="278">
                <c:v>0</c:v>
              </c:pt>
              <c:pt idx="279">
                <c:v>0</c:v>
              </c:pt>
              <c:pt idx="280">
                <c:v>296.19506264523477</c:v>
              </c:pt>
              <c:pt idx="281">
                <c:v>296.19506264523477</c:v>
              </c:pt>
              <c:pt idx="282">
                <c:v>0</c:v>
              </c:pt>
              <c:pt idx="285">
                <c:v>0</c:v>
              </c:pt>
              <c:pt idx="286">
                <c:v>0</c:v>
              </c:pt>
              <c:pt idx="287">
                <c:v>288.28694204062867</c:v>
              </c:pt>
              <c:pt idx="288">
                <c:v>288.28694204062867</c:v>
              </c:pt>
              <c:pt idx="289">
                <c:v>0</c:v>
              </c:pt>
              <c:pt idx="290">
                <c:v>0</c:v>
              </c:pt>
              <c:pt idx="291">
                <c:v>288.28694204062867</c:v>
              </c:pt>
              <c:pt idx="292">
                <c:v>288.28694204062867</c:v>
              </c:pt>
              <c:pt idx="293">
                <c:v>0</c:v>
              </c:pt>
              <c:pt idx="294">
                <c:v>0</c:v>
              </c:pt>
              <c:pt idx="295">
                <c:v>288.28694204062867</c:v>
              </c:pt>
              <c:pt idx="296">
                <c:v>288.28694204062867</c:v>
              </c:pt>
              <c:pt idx="297">
                <c:v>0</c:v>
              </c:pt>
              <c:pt idx="298">
                <c:v>0</c:v>
              </c:pt>
              <c:pt idx="299">
                <c:v>288.28694204062867</c:v>
              </c:pt>
              <c:pt idx="300">
                <c:v>288.28694204062867</c:v>
              </c:pt>
              <c:pt idx="301">
                <c:v>0</c:v>
              </c:pt>
              <c:pt idx="304">
                <c:v>0</c:v>
              </c:pt>
              <c:pt idx="305">
                <c:v>0</c:v>
              </c:pt>
              <c:pt idx="306">
                <c:v>261.68690000695688</c:v>
              </c:pt>
              <c:pt idx="307">
                <c:v>261.68690000695688</c:v>
              </c:pt>
              <c:pt idx="308">
                <c:v>0</c:v>
              </c:pt>
              <c:pt idx="309">
                <c:v>0</c:v>
              </c:pt>
              <c:pt idx="310">
                <c:v>261.68690000695688</c:v>
              </c:pt>
              <c:pt idx="311">
                <c:v>261.68690000695688</c:v>
              </c:pt>
              <c:pt idx="312">
                <c:v>0</c:v>
              </c:pt>
              <c:pt idx="313">
                <c:v>0</c:v>
              </c:pt>
              <c:pt idx="314">
                <c:v>261.68690000695688</c:v>
              </c:pt>
              <c:pt idx="315">
                <c:v>261.68690000695688</c:v>
              </c:pt>
              <c:pt idx="316">
                <c:v>0</c:v>
              </c:pt>
              <c:pt idx="317">
                <c:v>0</c:v>
              </c:pt>
              <c:pt idx="318">
                <c:v>261.68690000695688</c:v>
              </c:pt>
              <c:pt idx="319">
                <c:v>261.68690000695688</c:v>
              </c:pt>
              <c:pt idx="320">
                <c:v>0</c:v>
              </c:pt>
              <c:pt idx="323">
                <c:v>0</c:v>
              </c:pt>
              <c:pt idx="324">
                <c:v>0</c:v>
              </c:pt>
              <c:pt idx="325">
                <c:v>245.870658797743</c:v>
              </c:pt>
              <c:pt idx="326">
                <c:v>245.870658797743</c:v>
              </c:pt>
              <c:pt idx="327">
                <c:v>0</c:v>
              </c:pt>
              <c:pt idx="328">
                <c:v>0</c:v>
              </c:pt>
              <c:pt idx="329">
                <c:v>245.870658797743</c:v>
              </c:pt>
              <c:pt idx="330">
                <c:v>245.870658797743</c:v>
              </c:pt>
              <c:pt idx="331">
                <c:v>0</c:v>
              </c:pt>
              <c:pt idx="332">
                <c:v>0</c:v>
              </c:pt>
              <c:pt idx="333">
                <c:v>245.870658797743</c:v>
              </c:pt>
              <c:pt idx="334">
                <c:v>245.870658797743</c:v>
              </c:pt>
              <c:pt idx="335">
                <c:v>0</c:v>
              </c:pt>
              <c:pt idx="336">
                <c:v>0</c:v>
              </c:pt>
              <c:pt idx="337">
                <c:v>245.870658797743</c:v>
              </c:pt>
              <c:pt idx="338">
                <c:v>245.870658797743</c:v>
              </c:pt>
              <c:pt idx="339">
                <c:v>0</c:v>
              </c:pt>
              <c:pt idx="342">
                <c:v>0</c:v>
              </c:pt>
              <c:pt idx="343">
                <c:v>0</c:v>
              </c:pt>
              <c:pt idx="344">
                <c:v>213.15979629687538</c:v>
              </c:pt>
              <c:pt idx="345">
                <c:v>213.15979629687538</c:v>
              </c:pt>
              <c:pt idx="346">
                <c:v>0</c:v>
              </c:pt>
              <c:pt idx="347">
                <c:v>0</c:v>
              </c:pt>
              <c:pt idx="348">
                <c:v>213.15979629687538</c:v>
              </c:pt>
              <c:pt idx="349">
                <c:v>213.15979629687538</c:v>
              </c:pt>
              <c:pt idx="350">
                <c:v>0</c:v>
              </c:pt>
              <c:pt idx="351">
                <c:v>0</c:v>
              </c:pt>
              <c:pt idx="352">
                <c:v>213.15979629687538</c:v>
              </c:pt>
              <c:pt idx="353">
                <c:v>213.15979629687538</c:v>
              </c:pt>
              <c:pt idx="354">
                <c:v>0</c:v>
              </c:pt>
              <c:pt idx="355">
                <c:v>0</c:v>
              </c:pt>
              <c:pt idx="356">
                <c:v>213.15979629687538</c:v>
              </c:pt>
              <c:pt idx="357">
                <c:v>213.15979629687538</c:v>
              </c:pt>
              <c:pt idx="358">
                <c:v>0</c:v>
              </c:pt>
              <c:pt idx="361">
                <c:v>0</c:v>
              </c:pt>
              <c:pt idx="362">
                <c:v>0</c:v>
              </c:pt>
              <c:pt idx="363">
                <c:v>171.82189313643491</c:v>
              </c:pt>
              <c:pt idx="364">
                <c:v>171.82189313643491</c:v>
              </c:pt>
              <c:pt idx="365">
                <c:v>0</c:v>
              </c:pt>
              <c:pt idx="366">
                <c:v>0</c:v>
              </c:pt>
              <c:pt idx="367">
                <c:v>171.82189313643491</c:v>
              </c:pt>
              <c:pt idx="368">
                <c:v>171.82189313643491</c:v>
              </c:pt>
              <c:pt idx="369">
                <c:v>0</c:v>
              </c:pt>
              <c:pt idx="370">
                <c:v>0</c:v>
              </c:pt>
              <c:pt idx="371">
                <c:v>171.82189313643491</c:v>
              </c:pt>
              <c:pt idx="372">
                <c:v>171.82189313643491</c:v>
              </c:pt>
              <c:pt idx="373">
                <c:v>0</c:v>
              </c:pt>
              <c:pt idx="374">
                <c:v>0</c:v>
              </c:pt>
              <c:pt idx="375">
                <c:v>171.82189313643491</c:v>
              </c:pt>
              <c:pt idx="376">
                <c:v>171.82189313643491</c:v>
              </c:pt>
              <c:pt idx="377">
                <c:v>0</c:v>
              </c:pt>
              <c:pt idx="380">
                <c:v>0</c:v>
              </c:pt>
              <c:pt idx="381">
                <c:v>0</c:v>
              </c:pt>
              <c:pt idx="382">
                <c:v>139.82995069053013</c:v>
              </c:pt>
              <c:pt idx="383">
                <c:v>139.82995069053013</c:v>
              </c:pt>
              <c:pt idx="384">
                <c:v>0</c:v>
              </c:pt>
              <c:pt idx="385">
                <c:v>0</c:v>
              </c:pt>
              <c:pt idx="386">
                <c:v>139.82995069053013</c:v>
              </c:pt>
              <c:pt idx="387">
                <c:v>139.82995069053013</c:v>
              </c:pt>
              <c:pt idx="388">
                <c:v>0</c:v>
              </c:pt>
              <c:pt idx="389">
                <c:v>0</c:v>
              </c:pt>
              <c:pt idx="390">
                <c:v>139.82995069053013</c:v>
              </c:pt>
              <c:pt idx="391">
                <c:v>139.82995069053013</c:v>
              </c:pt>
              <c:pt idx="392">
                <c:v>0</c:v>
              </c:pt>
              <c:pt idx="393">
                <c:v>0</c:v>
              </c:pt>
              <c:pt idx="394">
                <c:v>139.82995069053013</c:v>
              </c:pt>
              <c:pt idx="395">
                <c:v>139.82995069053013</c:v>
              </c:pt>
              <c:pt idx="396">
                <c:v>0</c:v>
              </c:pt>
              <c:pt idx="399">
                <c:v>0</c:v>
              </c:pt>
              <c:pt idx="400">
                <c:v>0</c:v>
              </c:pt>
              <c:pt idx="401">
                <c:v>110.71368846448109</c:v>
              </c:pt>
              <c:pt idx="402">
                <c:v>110.71368846448109</c:v>
              </c:pt>
              <c:pt idx="403">
                <c:v>0</c:v>
              </c:pt>
              <c:pt idx="404">
                <c:v>0</c:v>
              </c:pt>
              <c:pt idx="405">
                <c:v>110.71368846448109</c:v>
              </c:pt>
              <c:pt idx="406">
                <c:v>110.71368846448109</c:v>
              </c:pt>
              <c:pt idx="407">
                <c:v>0</c:v>
              </c:pt>
              <c:pt idx="408">
                <c:v>0</c:v>
              </c:pt>
              <c:pt idx="409">
                <c:v>110.71368846448109</c:v>
              </c:pt>
              <c:pt idx="410">
                <c:v>110.71368846448109</c:v>
              </c:pt>
              <c:pt idx="411">
                <c:v>0</c:v>
              </c:pt>
              <c:pt idx="412">
                <c:v>0</c:v>
              </c:pt>
              <c:pt idx="413">
                <c:v>110.71368846448109</c:v>
              </c:pt>
              <c:pt idx="414">
                <c:v>110.71368846448109</c:v>
              </c:pt>
              <c:pt idx="415">
                <c:v>0</c:v>
              </c:pt>
              <c:pt idx="418">
                <c:v>0</c:v>
              </c:pt>
              <c:pt idx="419">
                <c:v>0</c:v>
              </c:pt>
              <c:pt idx="420">
                <c:v>88.786626788074344</c:v>
              </c:pt>
              <c:pt idx="421">
                <c:v>88.786626788074344</c:v>
              </c:pt>
              <c:pt idx="422">
                <c:v>0</c:v>
              </c:pt>
              <c:pt idx="423">
                <c:v>0</c:v>
              </c:pt>
              <c:pt idx="424">
                <c:v>88.786626788074344</c:v>
              </c:pt>
              <c:pt idx="425">
                <c:v>88.786626788074344</c:v>
              </c:pt>
              <c:pt idx="426">
                <c:v>0</c:v>
              </c:pt>
              <c:pt idx="427">
                <c:v>0</c:v>
              </c:pt>
              <c:pt idx="428">
                <c:v>88.786626788074344</c:v>
              </c:pt>
              <c:pt idx="429">
                <c:v>88.786626788074344</c:v>
              </c:pt>
              <c:pt idx="430">
                <c:v>0</c:v>
              </c:pt>
              <c:pt idx="431">
                <c:v>0</c:v>
              </c:pt>
              <c:pt idx="432">
                <c:v>88.786626788074344</c:v>
              </c:pt>
              <c:pt idx="433">
                <c:v>88.786626788074344</c:v>
              </c:pt>
              <c:pt idx="434">
                <c:v>0</c:v>
              </c:pt>
              <c:pt idx="437">
                <c:v>0</c:v>
              </c:pt>
              <c:pt idx="438">
                <c:v>0</c:v>
              </c:pt>
              <c:pt idx="439">
                <c:v>66.140645056703192</c:v>
              </c:pt>
              <c:pt idx="440">
                <c:v>66.140645056703192</c:v>
              </c:pt>
              <c:pt idx="441">
                <c:v>0</c:v>
              </c:pt>
              <c:pt idx="442">
                <c:v>0</c:v>
              </c:pt>
              <c:pt idx="443">
                <c:v>66.140645056703192</c:v>
              </c:pt>
              <c:pt idx="444">
                <c:v>66.140645056703192</c:v>
              </c:pt>
              <c:pt idx="445">
                <c:v>0</c:v>
              </c:pt>
              <c:pt idx="446">
                <c:v>0</c:v>
              </c:pt>
              <c:pt idx="447">
                <c:v>66.140645056703192</c:v>
              </c:pt>
              <c:pt idx="448">
                <c:v>66.140645056703192</c:v>
              </c:pt>
              <c:pt idx="449">
                <c:v>0</c:v>
              </c:pt>
              <c:pt idx="450">
                <c:v>0</c:v>
              </c:pt>
              <c:pt idx="451">
                <c:v>66.140645056703192</c:v>
              </c:pt>
              <c:pt idx="452">
                <c:v>66.140645056703192</c:v>
              </c:pt>
              <c:pt idx="453">
                <c:v>0</c:v>
              </c:pt>
              <c:pt idx="456">
                <c:v>0</c:v>
              </c:pt>
              <c:pt idx="457">
                <c:v>0</c:v>
              </c:pt>
              <c:pt idx="458">
                <c:v>54.637924177276609</c:v>
              </c:pt>
              <c:pt idx="459">
                <c:v>54.637924177276609</c:v>
              </c:pt>
              <c:pt idx="460">
                <c:v>0</c:v>
              </c:pt>
              <c:pt idx="461">
                <c:v>0</c:v>
              </c:pt>
              <c:pt idx="462">
                <c:v>54.637924177276609</c:v>
              </c:pt>
              <c:pt idx="463">
                <c:v>54.637924177276609</c:v>
              </c:pt>
              <c:pt idx="464">
                <c:v>0</c:v>
              </c:pt>
              <c:pt idx="465">
                <c:v>0</c:v>
              </c:pt>
              <c:pt idx="466">
                <c:v>54.637924177276609</c:v>
              </c:pt>
              <c:pt idx="467">
                <c:v>54.637924177276609</c:v>
              </c:pt>
              <c:pt idx="468">
                <c:v>0</c:v>
              </c:pt>
              <c:pt idx="469">
                <c:v>0</c:v>
              </c:pt>
              <c:pt idx="470">
                <c:v>54.637924177276609</c:v>
              </c:pt>
              <c:pt idx="471">
                <c:v>54.637924177276609</c:v>
              </c:pt>
              <c:pt idx="472">
                <c:v>0</c:v>
              </c:pt>
              <c:pt idx="475">
                <c:v>0</c:v>
              </c:pt>
              <c:pt idx="476">
                <c:v>0</c:v>
              </c:pt>
              <c:pt idx="477">
                <c:v>34.508162638279558</c:v>
              </c:pt>
              <c:pt idx="478">
                <c:v>34.508162638279558</c:v>
              </c:pt>
              <c:pt idx="479">
                <c:v>0</c:v>
              </c:pt>
              <c:pt idx="480">
                <c:v>0</c:v>
              </c:pt>
              <c:pt idx="481">
                <c:v>34.508162638279558</c:v>
              </c:pt>
              <c:pt idx="482">
                <c:v>34.508162638279558</c:v>
              </c:pt>
              <c:pt idx="483">
                <c:v>0</c:v>
              </c:pt>
              <c:pt idx="484">
                <c:v>0</c:v>
              </c:pt>
              <c:pt idx="485">
                <c:v>34.508162638279558</c:v>
              </c:pt>
              <c:pt idx="486">
                <c:v>34.508162638279558</c:v>
              </c:pt>
              <c:pt idx="487">
                <c:v>0</c:v>
              </c:pt>
              <c:pt idx="488">
                <c:v>0</c:v>
              </c:pt>
              <c:pt idx="489">
                <c:v>34.508162638279558</c:v>
              </c:pt>
              <c:pt idx="490">
                <c:v>34.508162638279558</c:v>
              </c:pt>
              <c:pt idx="491">
                <c:v>0</c:v>
              </c:pt>
              <c:pt idx="494">
                <c:v>0</c:v>
              </c:pt>
              <c:pt idx="495">
                <c:v>0</c:v>
              </c:pt>
              <c:pt idx="496">
                <c:v>20.848681593960922</c:v>
              </c:pt>
              <c:pt idx="497">
                <c:v>20.848681593960922</c:v>
              </c:pt>
              <c:pt idx="498">
                <c:v>0</c:v>
              </c:pt>
              <c:pt idx="499">
                <c:v>0</c:v>
              </c:pt>
              <c:pt idx="500">
                <c:v>20.848681593960922</c:v>
              </c:pt>
              <c:pt idx="501">
                <c:v>20.848681593960922</c:v>
              </c:pt>
              <c:pt idx="502">
                <c:v>0</c:v>
              </c:pt>
              <c:pt idx="503">
                <c:v>0</c:v>
              </c:pt>
              <c:pt idx="504">
                <c:v>20.848681593960922</c:v>
              </c:pt>
              <c:pt idx="505">
                <c:v>20.848681593960922</c:v>
              </c:pt>
              <c:pt idx="506">
                <c:v>0</c:v>
              </c:pt>
              <c:pt idx="507">
                <c:v>0</c:v>
              </c:pt>
              <c:pt idx="508">
                <c:v>20.848681593960922</c:v>
              </c:pt>
              <c:pt idx="509">
                <c:v>20.848681593960922</c:v>
              </c:pt>
              <c:pt idx="510">
                <c:v>0</c:v>
              </c:pt>
              <c:pt idx="513">
                <c:v>0</c:v>
              </c:pt>
              <c:pt idx="514">
                <c:v>0</c:v>
              </c:pt>
              <c:pt idx="515">
                <c:v>15.816241209211414</c:v>
              </c:pt>
              <c:pt idx="516">
                <c:v>15.816241209211414</c:v>
              </c:pt>
              <c:pt idx="517">
                <c:v>0</c:v>
              </c:pt>
              <c:pt idx="518">
                <c:v>0</c:v>
              </c:pt>
              <c:pt idx="519">
                <c:v>15.816241209211414</c:v>
              </c:pt>
              <c:pt idx="520">
                <c:v>15.816241209211414</c:v>
              </c:pt>
              <c:pt idx="521">
                <c:v>0</c:v>
              </c:pt>
              <c:pt idx="522">
                <c:v>0</c:v>
              </c:pt>
              <c:pt idx="523">
                <c:v>15.816241209211414</c:v>
              </c:pt>
              <c:pt idx="524">
                <c:v>15.816241209211414</c:v>
              </c:pt>
              <c:pt idx="525">
                <c:v>0</c:v>
              </c:pt>
              <c:pt idx="526">
                <c:v>0</c:v>
              </c:pt>
              <c:pt idx="527">
                <c:v>15.816241209211414</c:v>
              </c:pt>
              <c:pt idx="528">
                <c:v>15.816241209211414</c:v>
              </c:pt>
              <c:pt idx="529">
                <c:v>0</c:v>
              </c:pt>
              <c:pt idx="532">
                <c:v>0</c:v>
              </c:pt>
              <c:pt idx="533">
                <c:v>0</c:v>
              </c:pt>
              <c:pt idx="534">
                <c:v>12.221640934391077</c:v>
              </c:pt>
              <c:pt idx="535">
                <c:v>12.221640934391077</c:v>
              </c:pt>
              <c:pt idx="536">
                <c:v>0</c:v>
              </c:pt>
              <c:pt idx="537">
                <c:v>0</c:v>
              </c:pt>
              <c:pt idx="538">
                <c:v>12.221640934391077</c:v>
              </c:pt>
              <c:pt idx="539">
                <c:v>12.221640934391077</c:v>
              </c:pt>
              <c:pt idx="540">
                <c:v>0</c:v>
              </c:pt>
              <c:pt idx="541">
                <c:v>0</c:v>
              </c:pt>
              <c:pt idx="542">
                <c:v>12.221640934391077</c:v>
              </c:pt>
              <c:pt idx="543">
                <c:v>12.221640934391077</c:v>
              </c:pt>
              <c:pt idx="544">
                <c:v>0</c:v>
              </c:pt>
              <c:pt idx="545">
                <c:v>0</c:v>
              </c:pt>
              <c:pt idx="546">
                <c:v>12.221640934391077</c:v>
              </c:pt>
              <c:pt idx="547">
                <c:v>12.221640934391077</c:v>
              </c:pt>
              <c:pt idx="548">
                <c:v>0</c:v>
              </c:pt>
              <c:pt idx="551">
                <c:v>0</c:v>
              </c:pt>
              <c:pt idx="552">
                <c:v>0</c:v>
              </c:pt>
              <c:pt idx="553">
                <c:v>6.1108204671951016</c:v>
              </c:pt>
              <c:pt idx="554">
                <c:v>6.1108204671951016</c:v>
              </c:pt>
              <c:pt idx="555">
                <c:v>0</c:v>
              </c:pt>
              <c:pt idx="556">
                <c:v>0</c:v>
              </c:pt>
              <c:pt idx="557">
                <c:v>6.1108204671951016</c:v>
              </c:pt>
              <c:pt idx="558">
                <c:v>6.1108204671951016</c:v>
              </c:pt>
              <c:pt idx="559">
                <c:v>0</c:v>
              </c:pt>
              <c:pt idx="560">
                <c:v>0</c:v>
              </c:pt>
              <c:pt idx="561">
                <c:v>6.1108204671951016</c:v>
              </c:pt>
              <c:pt idx="562">
                <c:v>6.1108204671951016</c:v>
              </c:pt>
              <c:pt idx="563">
                <c:v>0</c:v>
              </c:pt>
              <c:pt idx="564">
                <c:v>0</c:v>
              </c:pt>
              <c:pt idx="565">
                <c:v>6.1108204671951016</c:v>
              </c:pt>
              <c:pt idx="566">
                <c:v>6.1108204671951016</c:v>
              </c:pt>
              <c:pt idx="567">
                <c:v>0</c:v>
              </c:pt>
              <c:pt idx="570">
                <c:v>0</c:v>
              </c:pt>
              <c:pt idx="571">
                <c:v>0</c:v>
              </c:pt>
              <c:pt idx="572">
                <c:v>6.8297405221596259</c:v>
              </c:pt>
              <c:pt idx="573">
                <c:v>6.8297405221596259</c:v>
              </c:pt>
              <c:pt idx="574">
                <c:v>0</c:v>
              </c:pt>
              <c:pt idx="575">
                <c:v>0</c:v>
              </c:pt>
              <c:pt idx="576">
                <c:v>6.8297405221596259</c:v>
              </c:pt>
              <c:pt idx="577">
                <c:v>6.8297405221596259</c:v>
              </c:pt>
              <c:pt idx="578">
                <c:v>0</c:v>
              </c:pt>
              <c:pt idx="579">
                <c:v>0</c:v>
              </c:pt>
              <c:pt idx="580">
                <c:v>6.8297405221596259</c:v>
              </c:pt>
              <c:pt idx="581">
                <c:v>6.8297405221596259</c:v>
              </c:pt>
              <c:pt idx="582">
                <c:v>0</c:v>
              </c:pt>
              <c:pt idx="583">
                <c:v>0</c:v>
              </c:pt>
              <c:pt idx="584">
                <c:v>6.8297405221596259</c:v>
              </c:pt>
              <c:pt idx="585">
                <c:v>6.8297405221596259</c:v>
              </c:pt>
              <c:pt idx="586">
                <c:v>0</c:v>
              </c:pt>
              <c:pt idx="589">
                <c:v>0</c:v>
              </c:pt>
              <c:pt idx="590">
                <c:v>0</c:v>
              </c:pt>
              <c:pt idx="591">
                <c:v>5.0324403847493766</c:v>
              </c:pt>
              <c:pt idx="592">
                <c:v>5.0324403847493766</c:v>
              </c:pt>
              <c:pt idx="593">
                <c:v>0</c:v>
              </c:pt>
              <c:pt idx="594">
                <c:v>0</c:v>
              </c:pt>
              <c:pt idx="595">
                <c:v>5.0324403847493766</c:v>
              </c:pt>
              <c:pt idx="596">
                <c:v>5.0324403847493766</c:v>
              </c:pt>
              <c:pt idx="597">
                <c:v>0</c:v>
              </c:pt>
              <c:pt idx="598">
                <c:v>0</c:v>
              </c:pt>
              <c:pt idx="599">
                <c:v>5.0324403847493766</c:v>
              </c:pt>
              <c:pt idx="600">
                <c:v>5.0324403847493766</c:v>
              </c:pt>
              <c:pt idx="601">
                <c:v>0</c:v>
              </c:pt>
              <c:pt idx="602">
                <c:v>0</c:v>
              </c:pt>
              <c:pt idx="603">
                <c:v>5.0324403847493766</c:v>
              </c:pt>
              <c:pt idx="604">
                <c:v>5.0324403847493766</c:v>
              </c:pt>
              <c:pt idx="605">
                <c:v>0</c:v>
              </c:pt>
              <c:pt idx="608">
                <c:v>0</c:v>
              </c:pt>
              <c:pt idx="609">
                <c:v>0</c:v>
              </c:pt>
              <c:pt idx="610">
                <c:v>1.4378401099281743</c:v>
              </c:pt>
              <c:pt idx="611">
                <c:v>1.4378401099281743</c:v>
              </c:pt>
              <c:pt idx="612">
                <c:v>0</c:v>
              </c:pt>
              <c:pt idx="613">
                <c:v>0</c:v>
              </c:pt>
              <c:pt idx="614">
                <c:v>1.4378401099281743</c:v>
              </c:pt>
              <c:pt idx="615">
                <c:v>1.4378401099281743</c:v>
              </c:pt>
              <c:pt idx="616">
                <c:v>0</c:v>
              </c:pt>
              <c:pt idx="617">
                <c:v>0</c:v>
              </c:pt>
              <c:pt idx="618">
                <c:v>1.4378401099281743</c:v>
              </c:pt>
              <c:pt idx="619">
                <c:v>1.4378401099281743</c:v>
              </c:pt>
              <c:pt idx="620">
                <c:v>0</c:v>
              </c:pt>
              <c:pt idx="621">
                <c:v>0</c:v>
              </c:pt>
              <c:pt idx="622">
                <c:v>1.4378401099281743</c:v>
              </c:pt>
              <c:pt idx="623">
                <c:v>1.4378401099281743</c:v>
              </c:pt>
              <c:pt idx="624">
                <c:v>0</c:v>
              </c:pt>
              <c:pt idx="627">
                <c:v>0</c:v>
              </c:pt>
              <c:pt idx="628">
                <c:v>0</c:v>
              </c:pt>
              <c:pt idx="629">
                <c:v>1.7973001374105946</c:v>
              </c:pt>
              <c:pt idx="630">
                <c:v>1.7973001374105946</c:v>
              </c:pt>
              <c:pt idx="631">
                <c:v>0</c:v>
              </c:pt>
              <c:pt idx="632">
                <c:v>0</c:v>
              </c:pt>
              <c:pt idx="633">
                <c:v>1.7973001374105946</c:v>
              </c:pt>
              <c:pt idx="634">
                <c:v>1.7973001374105946</c:v>
              </c:pt>
              <c:pt idx="635">
                <c:v>0</c:v>
              </c:pt>
              <c:pt idx="636">
                <c:v>0</c:v>
              </c:pt>
              <c:pt idx="637">
                <c:v>1.7973001374105946</c:v>
              </c:pt>
              <c:pt idx="638">
                <c:v>1.7973001374105946</c:v>
              </c:pt>
              <c:pt idx="639">
                <c:v>0</c:v>
              </c:pt>
              <c:pt idx="640">
                <c:v>0</c:v>
              </c:pt>
              <c:pt idx="641">
                <c:v>1.7973001374105946</c:v>
              </c:pt>
              <c:pt idx="642">
                <c:v>1.7973001374105946</c:v>
              </c:pt>
              <c:pt idx="643">
                <c:v>0</c:v>
              </c:pt>
              <c:pt idx="646">
                <c:v>0</c:v>
              </c:pt>
              <c:pt idx="647">
                <c:v>0</c:v>
              </c:pt>
              <c:pt idx="648">
                <c:v>0</c:v>
              </c:pt>
              <c:pt idx="649">
                <c:v>0</c:v>
              </c:pt>
              <c:pt idx="650">
                <c:v>0</c:v>
              </c:pt>
              <c:pt idx="651">
                <c:v>0</c:v>
              </c:pt>
              <c:pt idx="652">
                <c:v>0</c:v>
              </c:pt>
              <c:pt idx="653">
                <c:v>0</c:v>
              </c:pt>
              <c:pt idx="654">
                <c:v>0</c:v>
              </c:pt>
              <c:pt idx="655">
                <c:v>0</c:v>
              </c:pt>
              <c:pt idx="656">
                <c:v>0</c:v>
              </c:pt>
              <c:pt idx="657">
                <c:v>0</c:v>
              </c:pt>
              <c:pt idx="658">
                <c:v>0</c:v>
              </c:pt>
              <c:pt idx="659">
                <c:v>0</c:v>
              </c:pt>
              <c:pt idx="660">
                <c:v>0</c:v>
              </c:pt>
              <c:pt idx="661">
                <c:v>0</c:v>
              </c:pt>
              <c:pt idx="662">
                <c:v>0</c:v>
              </c:pt>
              <c:pt idx="665">
                <c:v>0</c:v>
              </c:pt>
              <c:pt idx="666">
                <c:v>0</c:v>
              </c:pt>
              <c:pt idx="667">
                <c:v>0.35946002748204359</c:v>
              </c:pt>
              <c:pt idx="668">
                <c:v>0.35946002748204359</c:v>
              </c:pt>
              <c:pt idx="669">
                <c:v>0</c:v>
              </c:pt>
              <c:pt idx="670">
                <c:v>0</c:v>
              </c:pt>
              <c:pt idx="671">
                <c:v>0.35946002748204359</c:v>
              </c:pt>
              <c:pt idx="672">
                <c:v>0.35946002748204359</c:v>
              </c:pt>
              <c:pt idx="673">
                <c:v>0</c:v>
              </c:pt>
              <c:pt idx="674">
                <c:v>0</c:v>
              </c:pt>
              <c:pt idx="675">
                <c:v>0.35946002748204359</c:v>
              </c:pt>
              <c:pt idx="676">
                <c:v>0.35946002748204359</c:v>
              </c:pt>
              <c:pt idx="677">
                <c:v>0</c:v>
              </c:pt>
              <c:pt idx="678">
                <c:v>0</c:v>
              </c:pt>
              <c:pt idx="679">
                <c:v>0.35946002748204359</c:v>
              </c:pt>
              <c:pt idx="680">
                <c:v>0.35946002748204359</c:v>
              </c:pt>
              <c:pt idx="681">
                <c:v>0</c:v>
              </c:pt>
              <c:pt idx="684">
                <c:v>0</c:v>
              </c:pt>
              <c:pt idx="685">
                <c:v>0</c:v>
              </c:pt>
              <c:pt idx="686">
                <c:v>0.71892005496408717</c:v>
              </c:pt>
              <c:pt idx="687">
                <c:v>0.71892005496408717</c:v>
              </c:pt>
              <c:pt idx="688">
                <c:v>0</c:v>
              </c:pt>
              <c:pt idx="689">
                <c:v>0</c:v>
              </c:pt>
              <c:pt idx="690">
                <c:v>0.71892005496408717</c:v>
              </c:pt>
              <c:pt idx="691">
                <c:v>0.71892005496408717</c:v>
              </c:pt>
              <c:pt idx="692">
                <c:v>0</c:v>
              </c:pt>
              <c:pt idx="693">
                <c:v>0</c:v>
              </c:pt>
              <c:pt idx="694">
                <c:v>0.71892005496408717</c:v>
              </c:pt>
              <c:pt idx="695">
                <c:v>0.71892005496408717</c:v>
              </c:pt>
              <c:pt idx="696">
                <c:v>0</c:v>
              </c:pt>
              <c:pt idx="697">
                <c:v>0</c:v>
              </c:pt>
              <c:pt idx="698">
                <c:v>0.71892005496408717</c:v>
              </c:pt>
              <c:pt idx="699">
                <c:v>0.71892005496408717</c:v>
              </c:pt>
              <c:pt idx="700">
                <c:v>0</c:v>
              </c:pt>
              <c:pt idx="703">
                <c:v>0</c:v>
              </c:pt>
              <c:pt idx="704">
                <c:v>0</c:v>
              </c:pt>
              <c:pt idx="705">
                <c:v>0.35946002748203909</c:v>
              </c:pt>
              <c:pt idx="706">
                <c:v>0.35946002748203909</c:v>
              </c:pt>
              <c:pt idx="707">
                <c:v>0</c:v>
              </c:pt>
              <c:pt idx="708">
                <c:v>0</c:v>
              </c:pt>
              <c:pt idx="709">
                <c:v>0.35946002748203909</c:v>
              </c:pt>
              <c:pt idx="710">
                <c:v>0.35946002748203909</c:v>
              </c:pt>
              <c:pt idx="711">
                <c:v>0</c:v>
              </c:pt>
              <c:pt idx="712">
                <c:v>0</c:v>
              </c:pt>
              <c:pt idx="713">
                <c:v>0.35946002748203909</c:v>
              </c:pt>
              <c:pt idx="714">
                <c:v>0.35946002748203909</c:v>
              </c:pt>
              <c:pt idx="715">
                <c:v>0</c:v>
              </c:pt>
              <c:pt idx="716">
                <c:v>0</c:v>
              </c:pt>
              <c:pt idx="717">
                <c:v>0.35946002748203909</c:v>
              </c:pt>
              <c:pt idx="718">
                <c:v>0.35946002748203909</c:v>
              </c:pt>
              <c:pt idx="719">
                <c:v>0</c:v>
              </c:pt>
              <c:pt idx="722">
                <c:v>0</c:v>
              </c:pt>
              <c:pt idx="723">
                <c:v>0</c:v>
              </c:pt>
              <c:pt idx="724">
                <c:v>0</c:v>
              </c:pt>
              <c:pt idx="725">
                <c:v>0</c:v>
              </c:pt>
              <c:pt idx="726">
                <c:v>0</c:v>
              </c:pt>
              <c:pt idx="727">
                <c:v>0</c:v>
              </c:pt>
              <c:pt idx="728">
                <c:v>0</c:v>
              </c:pt>
              <c:pt idx="729">
                <c:v>0</c:v>
              </c:pt>
              <c:pt idx="730">
                <c:v>0</c:v>
              </c:pt>
              <c:pt idx="731">
                <c:v>0</c:v>
              </c:pt>
              <c:pt idx="732">
                <c:v>0</c:v>
              </c:pt>
              <c:pt idx="733">
                <c:v>0</c:v>
              </c:pt>
              <c:pt idx="734">
                <c:v>0</c:v>
              </c:pt>
              <c:pt idx="735">
                <c:v>0</c:v>
              </c:pt>
              <c:pt idx="736">
                <c:v>0</c:v>
              </c:pt>
              <c:pt idx="737">
                <c:v>0</c:v>
              </c:pt>
              <c:pt idx="738">
                <c:v>0</c:v>
              </c:pt>
              <c:pt idx="741">
                <c:v>0</c:v>
              </c:pt>
              <c:pt idx="742">
                <c:v>0</c:v>
              </c:pt>
              <c:pt idx="743">
                <c:v>0.35946002748204359</c:v>
              </c:pt>
              <c:pt idx="744">
                <c:v>0.35946002748204359</c:v>
              </c:pt>
              <c:pt idx="745">
                <c:v>0</c:v>
              </c:pt>
              <c:pt idx="746">
                <c:v>0</c:v>
              </c:pt>
              <c:pt idx="747">
                <c:v>0.35946002748204359</c:v>
              </c:pt>
              <c:pt idx="748">
                <c:v>0.35946002748204359</c:v>
              </c:pt>
              <c:pt idx="749">
                <c:v>0</c:v>
              </c:pt>
              <c:pt idx="750">
                <c:v>0</c:v>
              </c:pt>
              <c:pt idx="751">
                <c:v>0.35946002748204359</c:v>
              </c:pt>
              <c:pt idx="752">
                <c:v>0.35946002748204359</c:v>
              </c:pt>
              <c:pt idx="753">
                <c:v>0</c:v>
              </c:pt>
              <c:pt idx="754">
                <c:v>0</c:v>
              </c:pt>
              <c:pt idx="755">
                <c:v>0.35946002748204359</c:v>
              </c:pt>
              <c:pt idx="756">
                <c:v>0.35946002748204359</c:v>
              </c:pt>
              <c:pt idx="757">
                <c:v>0</c:v>
              </c:pt>
            </c:numLit>
          </c:yVal>
          <c:smooth val="0"/>
          <c:extLst>
            <c:ext xmlns:c16="http://schemas.microsoft.com/office/drawing/2014/chart" uri="{C3380CC4-5D6E-409C-BE32-E72D297353CC}">
              <c16:uniqueId val="{00000000-033F-4A35-A720-F36A44FE9679}"/>
            </c:ext>
          </c:extLst>
        </c:ser>
        <c:ser>
          <c:idx val="1"/>
          <c:order val="1"/>
          <c:tx>
            <c:v>Outline</c:v>
          </c:tx>
          <c:spPr>
            <a:ln w="38100" cap="rnd" cmpd="sng" algn="ctr">
              <a:solidFill>
                <a:srgbClr val="000000">
                  <a:alpha val="20000"/>
                </a:srgbClr>
              </a:solidFill>
              <a:prstDash val="solid"/>
              <a:round/>
              <a:headEnd type="none" w="med" len="med"/>
              <a:tailEnd type="none" w="med" len="med"/>
            </a:ln>
          </c:spPr>
          <c:marker>
            <c:symbol val="none"/>
          </c:marker>
          <c:xVal>
            <c:numLit>
              <c:formatCode>General</c:formatCode>
              <c:ptCount val="125"/>
              <c:pt idx="0">
                <c:v>6.5002436522327827E-3</c:v>
              </c:pt>
              <c:pt idx="1">
                <c:v>6.5002436522327827E-3</c:v>
              </c:pt>
              <c:pt idx="2">
                <c:v>6.5002436522327827E-3</c:v>
              </c:pt>
              <c:pt idx="3">
                <c:v>6.7784387013470676E-3</c:v>
              </c:pt>
              <c:pt idx="4">
                <c:v>6.7784387013470676E-3</c:v>
              </c:pt>
              <c:pt idx="5">
                <c:v>6.7784387013470676E-3</c:v>
              </c:pt>
              <c:pt idx="6">
                <c:v>7.0566337504613524E-3</c:v>
              </c:pt>
              <c:pt idx="7">
                <c:v>7.0566337504613524E-3</c:v>
              </c:pt>
              <c:pt idx="8">
                <c:v>7.0566337504613524E-3</c:v>
              </c:pt>
              <c:pt idx="9">
                <c:v>7.3348287995756373E-3</c:v>
              </c:pt>
              <c:pt idx="10">
                <c:v>7.3348287995756373E-3</c:v>
              </c:pt>
              <c:pt idx="11">
                <c:v>7.3348287995756373E-3</c:v>
              </c:pt>
              <c:pt idx="12">
                <c:v>7.6130238486899222E-3</c:v>
              </c:pt>
              <c:pt idx="13">
                <c:v>7.6130238486899222E-3</c:v>
              </c:pt>
              <c:pt idx="14">
                <c:v>7.6130238486899222E-3</c:v>
              </c:pt>
              <c:pt idx="15">
                <c:v>7.8912188978042079E-3</c:v>
              </c:pt>
              <c:pt idx="16">
                <c:v>7.8912188978042079E-3</c:v>
              </c:pt>
              <c:pt idx="17">
                <c:v>7.8912188978042079E-3</c:v>
              </c:pt>
              <c:pt idx="18">
                <c:v>8.1694139469184919E-3</c:v>
              </c:pt>
              <c:pt idx="19">
                <c:v>8.1694139469184919E-3</c:v>
              </c:pt>
              <c:pt idx="20">
                <c:v>8.1694139469184919E-3</c:v>
              </c:pt>
              <c:pt idx="21">
                <c:v>8.4476089960327776E-3</c:v>
              </c:pt>
              <c:pt idx="22">
                <c:v>8.4476089960327776E-3</c:v>
              </c:pt>
              <c:pt idx="23">
                <c:v>8.4476089960327776E-3</c:v>
              </c:pt>
              <c:pt idx="24">
                <c:v>8.7258040451470616E-3</c:v>
              </c:pt>
              <c:pt idx="25">
                <c:v>8.7258040451470616E-3</c:v>
              </c:pt>
              <c:pt idx="26">
                <c:v>8.7258040451470616E-3</c:v>
              </c:pt>
              <c:pt idx="27">
                <c:v>9.0039990942613474E-3</c:v>
              </c:pt>
              <c:pt idx="28">
                <c:v>9.0039990942613474E-3</c:v>
              </c:pt>
              <c:pt idx="29">
                <c:v>9.0039990942613474E-3</c:v>
              </c:pt>
              <c:pt idx="30">
                <c:v>9.2821941433756314E-3</c:v>
              </c:pt>
              <c:pt idx="31">
                <c:v>9.2821941433756314E-3</c:v>
              </c:pt>
              <c:pt idx="32">
                <c:v>9.2821941433756314E-3</c:v>
              </c:pt>
              <c:pt idx="33">
                <c:v>9.5603891924899171E-3</c:v>
              </c:pt>
              <c:pt idx="34">
                <c:v>9.5603891924899171E-3</c:v>
              </c:pt>
              <c:pt idx="35">
                <c:v>9.5603891924899171E-3</c:v>
              </c:pt>
              <c:pt idx="36">
                <c:v>9.8385842416042011E-3</c:v>
              </c:pt>
              <c:pt idx="37">
                <c:v>9.8385842416042011E-3</c:v>
              </c:pt>
              <c:pt idx="38">
                <c:v>9.8385842416042011E-3</c:v>
              </c:pt>
              <c:pt idx="39">
                <c:v>1.0116779290718487E-2</c:v>
              </c:pt>
              <c:pt idx="40">
                <c:v>1.0116779290718487E-2</c:v>
              </c:pt>
              <c:pt idx="41">
                <c:v>1.0116779290718487E-2</c:v>
              </c:pt>
              <c:pt idx="42">
                <c:v>1.0394974339832771E-2</c:v>
              </c:pt>
              <c:pt idx="43">
                <c:v>1.0394974339832771E-2</c:v>
              </c:pt>
              <c:pt idx="44">
                <c:v>1.0394974339832771E-2</c:v>
              </c:pt>
              <c:pt idx="45">
                <c:v>1.0673169388947057E-2</c:v>
              </c:pt>
              <c:pt idx="46">
                <c:v>1.0673169388947057E-2</c:v>
              </c:pt>
              <c:pt idx="47">
                <c:v>1.0673169388947057E-2</c:v>
              </c:pt>
              <c:pt idx="48">
                <c:v>1.0951364438061342E-2</c:v>
              </c:pt>
              <c:pt idx="49">
                <c:v>1.0951364438061342E-2</c:v>
              </c:pt>
              <c:pt idx="50">
                <c:v>1.0951364438061342E-2</c:v>
              </c:pt>
              <c:pt idx="51">
                <c:v>1.1229559487175626E-2</c:v>
              </c:pt>
              <c:pt idx="52">
                <c:v>1.1229559487175626E-2</c:v>
              </c:pt>
              <c:pt idx="53">
                <c:v>1.1229559487175626E-2</c:v>
              </c:pt>
              <c:pt idx="54">
                <c:v>1.1507754536289912E-2</c:v>
              </c:pt>
              <c:pt idx="55">
                <c:v>1.1507754536289912E-2</c:v>
              </c:pt>
              <c:pt idx="56">
                <c:v>1.1507754536289912E-2</c:v>
              </c:pt>
              <c:pt idx="57">
                <c:v>1.1785949585404196E-2</c:v>
              </c:pt>
              <c:pt idx="58">
                <c:v>1.1785949585404196E-2</c:v>
              </c:pt>
              <c:pt idx="59">
                <c:v>1.1785949585404196E-2</c:v>
              </c:pt>
              <c:pt idx="60">
                <c:v>1.2064144634518482E-2</c:v>
              </c:pt>
              <c:pt idx="61">
                <c:v>1.2064144634518482E-2</c:v>
              </c:pt>
              <c:pt idx="62">
                <c:v>1.2064144634518482E-2</c:v>
              </c:pt>
              <c:pt idx="63">
                <c:v>1.2342339683632766E-2</c:v>
              </c:pt>
              <c:pt idx="64">
                <c:v>1.2342339683632766E-2</c:v>
              </c:pt>
              <c:pt idx="65">
                <c:v>1.2342339683632766E-2</c:v>
              </c:pt>
              <c:pt idx="66">
                <c:v>1.2620534732747051E-2</c:v>
              </c:pt>
              <c:pt idx="67">
                <c:v>1.2620534732747051E-2</c:v>
              </c:pt>
              <c:pt idx="68">
                <c:v>1.2620534732747051E-2</c:v>
              </c:pt>
              <c:pt idx="69">
                <c:v>1.2898729781861335E-2</c:v>
              </c:pt>
              <c:pt idx="70">
                <c:v>1.2898729781861335E-2</c:v>
              </c:pt>
              <c:pt idx="71">
                <c:v>1.2898729781861335E-2</c:v>
              </c:pt>
              <c:pt idx="72">
                <c:v>1.3176924830975621E-2</c:v>
              </c:pt>
              <c:pt idx="73">
                <c:v>1.3176924830975621E-2</c:v>
              </c:pt>
              <c:pt idx="74">
                <c:v>1.3176924830975621E-2</c:v>
              </c:pt>
              <c:pt idx="75">
                <c:v>1.3455119880089905E-2</c:v>
              </c:pt>
              <c:pt idx="76">
                <c:v>1.3455119880089905E-2</c:v>
              </c:pt>
              <c:pt idx="77">
                <c:v>1.3455119880089905E-2</c:v>
              </c:pt>
              <c:pt idx="78">
                <c:v>1.3733314929204191E-2</c:v>
              </c:pt>
              <c:pt idx="79">
                <c:v>1.3733314929204191E-2</c:v>
              </c:pt>
              <c:pt idx="80">
                <c:v>1.3733314929204191E-2</c:v>
              </c:pt>
              <c:pt idx="81">
                <c:v>1.4011509978318475E-2</c:v>
              </c:pt>
              <c:pt idx="82">
                <c:v>1.4011509978318475E-2</c:v>
              </c:pt>
              <c:pt idx="83">
                <c:v>1.4011509978318475E-2</c:v>
              </c:pt>
              <c:pt idx="84">
                <c:v>1.4289705027432761E-2</c:v>
              </c:pt>
              <c:pt idx="85">
                <c:v>1.4289705027432761E-2</c:v>
              </c:pt>
              <c:pt idx="86">
                <c:v>1.4289705027432761E-2</c:v>
              </c:pt>
              <c:pt idx="87">
                <c:v>1.4567900076547045E-2</c:v>
              </c:pt>
              <c:pt idx="88">
                <c:v>1.4567900076547045E-2</c:v>
              </c:pt>
              <c:pt idx="89">
                <c:v>1.4567900076547045E-2</c:v>
              </c:pt>
              <c:pt idx="90">
                <c:v>1.484609512566133E-2</c:v>
              </c:pt>
              <c:pt idx="91">
                <c:v>1.484609512566133E-2</c:v>
              </c:pt>
              <c:pt idx="92">
                <c:v>1.484609512566133E-2</c:v>
              </c:pt>
              <c:pt idx="93">
                <c:v>1.5124290174775614E-2</c:v>
              </c:pt>
              <c:pt idx="94">
                <c:v>1.5124290174775614E-2</c:v>
              </c:pt>
              <c:pt idx="95">
                <c:v>1.5124290174775614E-2</c:v>
              </c:pt>
              <c:pt idx="96">
                <c:v>1.54024852238899E-2</c:v>
              </c:pt>
              <c:pt idx="97">
                <c:v>1.54024852238899E-2</c:v>
              </c:pt>
              <c:pt idx="98">
                <c:v>1.54024852238899E-2</c:v>
              </c:pt>
              <c:pt idx="99">
                <c:v>1.5680680273004184E-2</c:v>
              </c:pt>
              <c:pt idx="100">
                <c:v>1.5680680273004184E-2</c:v>
              </c:pt>
              <c:pt idx="101">
                <c:v>1.5680680273004184E-2</c:v>
              </c:pt>
              <c:pt idx="102">
                <c:v>1.5958875322118472E-2</c:v>
              </c:pt>
              <c:pt idx="103">
                <c:v>1.5958875322118472E-2</c:v>
              </c:pt>
              <c:pt idx="104">
                <c:v>1.5958875322118472E-2</c:v>
              </c:pt>
              <c:pt idx="105">
                <c:v>1.6237070371232756E-2</c:v>
              </c:pt>
              <c:pt idx="106">
                <c:v>1.6237070371232756E-2</c:v>
              </c:pt>
              <c:pt idx="107">
                <c:v>1.6237070371232756E-2</c:v>
              </c:pt>
              <c:pt idx="108">
                <c:v>1.651526542034704E-2</c:v>
              </c:pt>
              <c:pt idx="109">
                <c:v>1.651526542034704E-2</c:v>
              </c:pt>
              <c:pt idx="110">
                <c:v>1.651526542034704E-2</c:v>
              </c:pt>
              <c:pt idx="111">
                <c:v>1.6793460469461324E-2</c:v>
              </c:pt>
              <c:pt idx="112">
                <c:v>1.6793460469461324E-2</c:v>
              </c:pt>
              <c:pt idx="113">
                <c:v>1.6793460469461324E-2</c:v>
              </c:pt>
              <c:pt idx="114">
                <c:v>1.7071655518575611E-2</c:v>
              </c:pt>
              <c:pt idx="115">
                <c:v>1.7071655518575611E-2</c:v>
              </c:pt>
              <c:pt idx="116">
                <c:v>1.7071655518575611E-2</c:v>
              </c:pt>
              <c:pt idx="117">
                <c:v>1.7349850567689895E-2</c:v>
              </c:pt>
              <c:pt idx="118">
                <c:v>1.7349850567689895E-2</c:v>
              </c:pt>
              <c:pt idx="119">
                <c:v>1.7349850567689895E-2</c:v>
              </c:pt>
              <c:pt idx="120">
                <c:v>1.7628045616804179E-2</c:v>
              </c:pt>
              <c:pt idx="121">
                <c:v>1.7628045616804179E-2</c:v>
              </c:pt>
              <c:pt idx="122">
                <c:v>1.7628045616804179E-2</c:v>
              </c:pt>
            </c:numLit>
          </c:xVal>
          <c:yVal>
            <c:numLit>
              <c:formatCode>General</c:formatCode>
              <c:ptCount val="125"/>
              <c:pt idx="0">
                <c:v>0</c:v>
              </c:pt>
              <c:pt idx="1">
                <c:v>0</c:v>
              </c:pt>
              <c:pt idx="2">
                <c:v>0.71892005496416411</c:v>
              </c:pt>
              <c:pt idx="3">
                <c:v>0.71892005496416411</c:v>
              </c:pt>
              <c:pt idx="4">
                <c:v>0</c:v>
              </c:pt>
              <c:pt idx="5">
                <c:v>3.2351402473387387</c:v>
              </c:pt>
              <c:pt idx="6">
                <c:v>3.2351402473387387</c:v>
              </c:pt>
              <c:pt idx="7">
                <c:v>0</c:v>
              </c:pt>
              <c:pt idx="8">
                <c:v>5.7513604397133129</c:v>
              </c:pt>
              <c:pt idx="9">
                <c:v>5.7513604397133129</c:v>
              </c:pt>
              <c:pt idx="10">
                <c:v>0</c:v>
              </c:pt>
              <c:pt idx="11">
                <c:v>14.378401099283282</c:v>
              </c:pt>
              <c:pt idx="12">
                <c:v>14.378401099283282</c:v>
              </c:pt>
              <c:pt idx="13">
                <c:v>0</c:v>
              </c:pt>
              <c:pt idx="14">
                <c:v>26.959502061156069</c:v>
              </c:pt>
              <c:pt idx="15">
                <c:v>26.959502061156069</c:v>
              </c:pt>
              <c:pt idx="16">
                <c:v>0</c:v>
              </c:pt>
              <c:pt idx="17">
                <c:v>35.586542720726229</c:v>
              </c:pt>
              <c:pt idx="18">
                <c:v>35.586542720726229</c:v>
              </c:pt>
              <c:pt idx="19">
                <c:v>0</c:v>
              </c:pt>
              <c:pt idx="20">
                <c:v>62.905504809364153</c:v>
              </c:pt>
              <c:pt idx="21">
                <c:v>62.905504809364153</c:v>
              </c:pt>
              <c:pt idx="22">
                <c:v>0</c:v>
              </c:pt>
              <c:pt idx="23">
                <c:v>96.335287365198297</c:v>
              </c:pt>
              <c:pt idx="24">
                <c:v>96.335287365198297</c:v>
              </c:pt>
              <c:pt idx="25">
                <c:v>0</c:v>
              </c:pt>
              <c:pt idx="26">
                <c:v>125.09208956376415</c:v>
              </c:pt>
              <c:pt idx="27">
                <c:v>125.09208956376415</c:v>
              </c:pt>
              <c:pt idx="28">
                <c:v>0</c:v>
              </c:pt>
              <c:pt idx="29">
                <c:v>172.18135316391786</c:v>
              </c:pt>
              <c:pt idx="30">
                <c:v>172.18135316391786</c:v>
              </c:pt>
              <c:pt idx="31">
                <c:v>0</c:v>
              </c:pt>
              <c:pt idx="32">
                <c:v>219.27061676406936</c:v>
              </c:pt>
              <c:pt idx="33">
                <c:v>219.27061676406936</c:v>
              </c:pt>
              <c:pt idx="34">
                <c:v>0</c:v>
              </c:pt>
              <c:pt idx="35">
                <c:v>248.38687899011944</c:v>
              </c:pt>
              <c:pt idx="36">
                <c:v>248.38687899011944</c:v>
              </c:pt>
              <c:pt idx="37">
                <c:v>0</c:v>
              </c:pt>
              <c:pt idx="38">
                <c:v>271.75178077645319</c:v>
              </c:pt>
              <c:pt idx="39">
                <c:v>271.75178077645319</c:v>
              </c:pt>
              <c:pt idx="40">
                <c:v>0</c:v>
              </c:pt>
              <c:pt idx="41">
                <c:v>268.5166405291161</c:v>
              </c:pt>
              <c:pt idx="42">
                <c:v>268.5166405291161</c:v>
              </c:pt>
              <c:pt idx="43">
                <c:v>0</c:v>
              </c:pt>
              <c:pt idx="44">
                <c:v>296.19506264523477</c:v>
              </c:pt>
              <c:pt idx="45">
                <c:v>296.19506264523477</c:v>
              </c:pt>
              <c:pt idx="46">
                <c:v>0</c:v>
              </c:pt>
              <c:pt idx="47">
                <c:v>288.28694204062867</c:v>
              </c:pt>
              <c:pt idx="48">
                <c:v>288.28694204062867</c:v>
              </c:pt>
              <c:pt idx="49">
                <c:v>0</c:v>
              </c:pt>
              <c:pt idx="50">
                <c:v>261.68690000695688</c:v>
              </c:pt>
              <c:pt idx="51">
                <c:v>261.68690000695688</c:v>
              </c:pt>
              <c:pt idx="52">
                <c:v>0</c:v>
              </c:pt>
              <c:pt idx="53">
                <c:v>245.870658797743</c:v>
              </c:pt>
              <c:pt idx="54">
                <c:v>245.870658797743</c:v>
              </c:pt>
              <c:pt idx="55">
                <c:v>0</c:v>
              </c:pt>
              <c:pt idx="56">
                <c:v>213.15979629687538</c:v>
              </c:pt>
              <c:pt idx="57">
                <c:v>213.15979629687538</c:v>
              </c:pt>
              <c:pt idx="58">
                <c:v>0</c:v>
              </c:pt>
              <c:pt idx="59">
                <c:v>171.82189313643491</c:v>
              </c:pt>
              <c:pt idx="60">
                <c:v>171.82189313643491</c:v>
              </c:pt>
              <c:pt idx="61">
                <c:v>0</c:v>
              </c:pt>
              <c:pt idx="62">
                <c:v>139.82995069053013</c:v>
              </c:pt>
              <c:pt idx="63">
                <c:v>139.82995069053013</c:v>
              </c:pt>
              <c:pt idx="64">
                <c:v>0</c:v>
              </c:pt>
              <c:pt idx="65">
                <c:v>110.71368846448109</c:v>
              </c:pt>
              <c:pt idx="66">
                <c:v>110.71368846448109</c:v>
              </c:pt>
              <c:pt idx="67">
                <c:v>0</c:v>
              </c:pt>
              <c:pt idx="68">
                <c:v>88.786626788074344</c:v>
              </c:pt>
              <c:pt idx="69">
                <c:v>88.786626788074344</c:v>
              </c:pt>
              <c:pt idx="70">
                <c:v>0</c:v>
              </c:pt>
              <c:pt idx="71">
                <c:v>66.140645056703192</c:v>
              </c:pt>
              <c:pt idx="72">
                <c:v>66.140645056703192</c:v>
              </c:pt>
              <c:pt idx="73">
                <c:v>0</c:v>
              </c:pt>
              <c:pt idx="74">
                <c:v>54.637924177276609</c:v>
              </c:pt>
              <c:pt idx="75">
                <c:v>54.637924177276609</c:v>
              </c:pt>
              <c:pt idx="76">
                <c:v>0</c:v>
              </c:pt>
              <c:pt idx="77">
                <c:v>34.508162638279558</c:v>
              </c:pt>
              <c:pt idx="78">
                <c:v>34.508162638279558</c:v>
              </c:pt>
              <c:pt idx="79">
                <c:v>0</c:v>
              </c:pt>
              <c:pt idx="80">
                <c:v>20.848681593960922</c:v>
              </c:pt>
              <c:pt idx="81">
                <c:v>20.848681593960922</c:v>
              </c:pt>
              <c:pt idx="82">
                <c:v>0</c:v>
              </c:pt>
              <c:pt idx="83">
                <c:v>15.816241209211414</c:v>
              </c:pt>
              <c:pt idx="84">
                <c:v>15.816241209211414</c:v>
              </c:pt>
              <c:pt idx="85">
                <c:v>0</c:v>
              </c:pt>
              <c:pt idx="86">
                <c:v>12.221640934391077</c:v>
              </c:pt>
              <c:pt idx="87">
                <c:v>12.221640934391077</c:v>
              </c:pt>
              <c:pt idx="88">
                <c:v>0</c:v>
              </c:pt>
              <c:pt idx="89">
                <c:v>6.1108204671951016</c:v>
              </c:pt>
              <c:pt idx="90">
                <c:v>6.1108204671951016</c:v>
              </c:pt>
              <c:pt idx="91">
                <c:v>0</c:v>
              </c:pt>
              <c:pt idx="92">
                <c:v>6.8297405221596259</c:v>
              </c:pt>
              <c:pt idx="93">
                <c:v>6.8297405221596259</c:v>
              </c:pt>
              <c:pt idx="94">
                <c:v>0</c:v>
              </c:pt>
              <c:pt idx="95">
                <c:v>5.0324403847493766</c:v>
              </c:pt>
              <c:pt idx="96">
                <c:v>5.0324403847493766</c:v>
              </c:pt>
              <c:pt idx="97">
                <c:v>0</c:v>
              </c:pt>
              <c:pt idx="98">
                <c:v>1.4378401099281743</c:v>
              </c:pt>
              <c:pt idx="99">
                <c:v>1.4378401099281743</c:v>
              </c:pt>
              <c:pt idx="100">
                <c:v>0</c:v>
              </c:pt>
              <c:pt idx="101">
                <c:v>1.7973001374105946</c:v>
              </c:pt>
              <c:pt idx="102">
                <c:v>1.7973001374105946</c:v>
              </c:pt>
              <c:pt idx="103">
                <c:v>0</c:v>
              </c:pt>
              <c:pt idx="104">
                <c:v>0</c:v>
              </c:pt>
              <c:pt idx="105">
                <c:v>0</c:v>
              </c:pt>
              <c:pt idx="106">
                <c:v>0</c:v>
              </c:pt>
              <c:pt idx="107">
                <c:v>0.35946002748204359</c:v>
              </c:pt>
              <c:pt idx="108">
                <c:v>0.35946002748204359</c:v>
              </c:pt>
              <c:pt idx="109">
                <c:v>0</c:v>
              </c:pt>
              <c:pt idx="110">
                <c:v>0.71892005496408717</c:v>
              </c:pt>
              <c:pt idx="111">
                <c:v>0.71892005496408717</c:v>
              </c:pt>
              <c:pt idx="112">
                <c:v>0</c:v>
              </c:pt>
              <c:pt idx="113">
                <c:v>0.35946002748203909</c:v>
              </c:pt>
              <c:pt idx="114">
                <c:v>0.35946002748203909</c:v>
              </c:pt>
              <c:pt idx="115">
                <c:v>0</c:v>
              </c:pt>
              <c:pt idx="116">
                <c:v>0</c:v>
              </c:pt>
              <c:pt idx="117">
                <c:v>0</c:v>
              </c:pt>
              <c:pt idx="118">
                <c:v>0</c:v>
              </c:pt>
              <c:pt idx="119">
                <c:v>0.35946002748204359</c:v>
              </c:pt>
              <c:pt idx="120">
                <c:v>0.35946002748204359</c:v>
              </c:pt>
              <c:pt idx="121">
                <c:v>0</c:v>
              </c:pt>
              <c:pt idx="122">
                <c:v>0</c:v>
              </c:pt>
              <c:pt idx="123">
                <c:v>0</c:v>
              </c:pt>
              <c:pt idx="124">
                <c:v>0</c:v>
              </c:pt>
            </c:numLit>
          </c:yVal>
          <c:smooth val="0"/>
          <c:extLst>
            <c:ext xmlns:c16="http://schemas.microsoft.com/office/drawing/2014/chart" uri="{C3380CC4-5D6E-409C-BE32-E72D297353CC}">
              <c16:uniqueId val="{00000001-033F-4A35-A720-F36A44FE9679}"/>
            </c:ext>
          </c:extLst>
        </c:ser>
        <c:ser>
          <c:idx val="2"/>
          <c:order val="2"/>
          <c:tx>
            <c:v>xDelimiter</c:v>
          </c:tx>
          <c:spPr>
            <a:ln w="19050">
              <a:noFill/>
            </a:ln>
          </c:spPr>
          <c:marker>
            <c:symbol val="diamond"/>
            <c:size val="5"/>
            <c:spPr>
              <a:solidFill>
                <a:srgbClr val="000000"/>
              </a:solidFill>
            </c:spPr>
          </c:marker>
          <c:dLbls>
            <c:dLbl>
              <c:idx val="0"/>
              <c:layout>
                <c:manualLayout>
                  <c:x val="-7.3618807724601179E-2"/>
                  <c:y val="-0.11214904211739887"/>
                </c:manualLayout>
              </c:layout>
              <c:tx>
                <c:rich>
                  <a:bodyPr wrap="square" lIns="38100" tIns="19050" rIns="38100" bIns="19050" anchor="ctr">
                    <a:spAutoFit/>
                  </a:bodyPr>
                  <a:lstStyle/>
                  <a:p>
                    <a:pPr>
                      <a:defRPr sz="750">
                        <a:solidFill>
                          <a:srgbClr val="000000"/>
                        </a:solidFill>
                        <a:latin typeface="Tahoma"/>
                        <a:ea typeface="Tahoma"/>
                        <a:cs typeface="Tahoma"/>
                      </a:defRPr>
                    </a:pPr>
                    <a:r>
                      <a:rPr lang="en-US"/>
                      <a:t>0.00819</a:t>
                    </a:r>
                  </a:p>
                </c:rich>
              </c:tx>
              <c:spPr>
                <a:noFill/>
                <a:ln>
                  <a:noFill/>
                </a:ln>
                <a:effectLst/>
              </c:spPr>
              <c:dLblPos val="r"/>
              <c:showLegendKey val="0"/>
              <c:showVal val="1"/>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02-033F-4A35-A720-F36A44FE9679}"/>
                </c:ext>
              </c:extLst>
            </c:dLbl>
            <c:dLbl>
              <c:idx val="1"/>
              <c:layout>
                <c:manualLayout>
                  <c:x val="-7.3618807724601179E-2"/>
                  <c:y val="-0.11214904211739887"/>
                </c:manualLayout>
              </c:layout>
              <c:tx>
                <c:rich>
                  <a:bodyPr wrap="square" lIns="38100" tIns="19050" rIns="38100" bIns="19050" anchor="ctr">
                    <a:spAutoFit/>
                  </a:bodyPr>
                  <a:lstStyle/>
                  <a:p>
                    <a:pPr>
                      <a:defRPr sz="750">
                        <a:solidFill>
                          <a:srgbClr val="000000"/>
                        </a:solidFill>
                        <a:latin typeface="Tahoma"/>
                        <a:ea typeface="Tahoma"/>
                        <a:cs typeface="Tahoma"/>
                      </a:defRPr>
                    </a:pPr>
                    <a:r>
                      <a:rPr lang="en-US"/>
                      <a:t>0.01360</a:t>
                    </a:r>
                  </a:p>
                </c:rich>
              </c:tx>
              <c:spPr>
                <a:noFill/>
                <a:ln>
                  <a:noFill/>
                </a:ln>
                <a:effectLst/>
              </c:spPr>
              <c:dLblPos val="r"/>
              <c:showLegendKey val="0"/>
              <c:showVal val="1"/>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03-033F-4A35-A720-F36A44FE9679}"/>
                </c:ext>
              </c:extLst>
            </c:dLbl>
            <c:spPr>
              <a:noFill/>
              <a:ln>
                <a:noFill/>
              </a:ln>
              <a:effectLst/>
            </c:spPr>
            <c:showLegendKey val="0"/>
            <c:showVal val="0"/>
            <c:showCatName val="0"/>
            <c:showSerName val="0"/>
            <c:showPercent val="0"/>
            <c:showBubbleSize val="0"/>
            <c:extLst>
              <c:ext xmlns:c15="http://schemas.microsoft.com/office/drawing/2012/chart" uri="{CE6537A1-D6FC-4f65-9D91-7224C49458BB}">
                <c15:showLeaderLines val="0"/>
              </c:ext>
            </c:extLst>
          </c:dLbls>
          <c:errBars>
            <c:errDir val="y"/>
            <c:errBarType val="minus"/>
            <c:errValType val="fixedVal"/>
            <c:noEndCap val="0"/>
            <c:val val="300"/>
            <c:spPr>
              <a:ln w="12700">
                <a:solidFill>
                  <a:srgbClr val="000000"/>
                </a:solidFill>
                <a:prstDash val="sysDash"/>
              </a:ln>
            </c:spPr>
          </c:errBars>
          <c:xVal>
            <c:numLit>
              <c:formatCode>General</c:formatCode>
              <c:ptCount val="2"/>
              <c:pt idx="0">
                <c:v>8.1877002330671238E-3</c:v>
              </c:pt>
              <c:pt idx="1">
                <c:v>1.3597211253330986E-2</c:v>
              </c:pt>
            </c:numLit>
          </c:xVal>
          <c:yVal>
            <c:numLit>
              <c:formatCode>General</c:formatCode>
              <c:ptCount val="2"/>
              <c:pt idx="0">
                <c:v>300</c:v>
              </c:pt>
              <c:pt idx="1">
                <c:v>300</c:v>
              </c:pt>
            </c:numLit>
          </c:yVal>
          <c:smooth val="1"/>
          <c:extLst>
            <c:ext xmlns:c16="http://schemas.microsoft.com/office/drawing/2014/chart" uri="{C3380CC4-5D6E-409C-BE32-E72D297353CC}">
              <c16:uniqueId val="{00000004-033F-4A35-A720-F36A44FE9679}"/>
            </c:ext>
          </c:extLst>
        </c:ser>
        <c:ser>
          <c:idx val="3"/>
          <c:order val="3"/>
          <c:tx>
            <c:v>xPDelimiter1</c:v>
          </c:tx>
          <c:spPr>
            <a:ln w="19050">
              <a:noFill/>
            </a:ln>
          </c:spPr>
          <c:marker>
            <c:symbol val="none"/>
          </c:marker>
          <c:dLbls>
            <c:dLbl>
              <c:idx val="0"/>
              <c:layout>
                <c:manualLayout>
                  <c:x val="-6.9348327680702385E-2"/>
                  <c:y val="-4.2056070005352442E-2"/>
                </c:manualLayout>
              </c:layout>
              <c:tx>
                <c:rich>
                  <a:bodyPr wrap="square" lIns="38100" tIns="19050" rIns="38100" bIns="19050" anchor="ctr">
                    <a:noAutofit/>
                  </a:bodyPr>
                  <a:lstStyle/>
                  <a:p>
                    <a:pPr>
                      <a:defRPr sz="750">
                        <a:solidFill>
                          <a:srgbClr val="000000"/>
                        </a:solidFill>
                        <a:latin typeface="Tahoma"/>
                        <a:ea typeface="Tahoma"/>
                        <a:cs typeface="Tahoma"/>
                      </a:defRPr>
                    </a:pPr>
                    <a:r>
                      <a:rPr lang="en-US"/>
                      <a:t>2.5%</a:t>
                    </a:r>
                  </a:p>
                </c:rich>
              </c:tx>
              <c:spPr>
                <a:noFill/>
                <a:ln w="9525">
                  <a:solidFill>
                    <a:srgbClr val="000000"/>
                  </a:solidFill>
                </a:ln>
                <a:effectLst/>
              </c:spPr>
              <c:dLblPos val="r"/>
              <c:showLegendKey val="0"/>
              <c:showVal val="1"/>
              <c:showCatName val="0"/>
              <c:showSerName val="0"/>
              <c:showPercent val="0"/>
              <c:showBubbleSize val="0"/>
              <c:extLst>
                <c:ext xmlns:c15="http://schemas.microsoft.com/office/drawing/2012/chart" uri="{CE6537A1-D6FC-4f65-9D91-7224C49458BB}">
                  <c15:layout>
                    <c:manualLayout>
                      <c:w val="0.10175331173375511"/>
                      <c:h val="6.5420560747663545E-2"/>
                    </c:manualLayout>
                  </c15:layout>
                  <c15:showDataLabelsRange val="0"/>
                </c:ext>
                <c:ext xmlns:c16="http://schemas.microsoft.com/office/drawing/2014/chart" uri="{C3380CC4-5D6E-409C-BE32-E72D297353CC}">
                  <c16:uniqueId val="{00000005-033F-4A35-A720-F36A44FE9679}"/>
                </c:ext>
              </c:extLst>
            </c:dLbl>
            <c:dLbl>
              <c:idx val="1"/>
              <c:layout>
                <c:manualLayout>
                  <c:x val="-0.12086210886107751"/>
                  <c:y val="-4.2056070005352442E-2"/>
                </c:manualLayout>
              </c:layout>
              <c:tx>
                <c:rich>
                  <a:bodyPr wrap="square" lIns="38100" tIns="19050" rIns="38100" bIns="19050" anchor="ctr">
                    <a:noAutofit/>
                  </a:bodyPr>
                  <a:lstStyle/>
                  <a:p>
                    <a:pPr>
                      <a:defRPr sz="750">
                        <a:solidFill>
                          <a:srgbClr val="000000"/>
                        </a:solidFill>
                        <a:latin typeface="Tahoma"/>
                        <a:ea typeface="Tahoma"/>
                        <a:cs typeface="Tahoma"/>
                      </a:defRPr>
                    </a:pPr>
                    <a:r>
                      <a:rPr lang="en-US"/>
                      <a:t>2.5%</a:t>
                    </a:r>
                  </a:p>
                </c:rich>
              </c:tx>
              <c:spPr>
                <a:noFill/>
                <a:ln w="9525">
                  <a:solidFill>
                    <a:srgbClr val="000000"/>
                  </a:solidFill>
                </a:ln>
                <a:effectLst/>
              </c:spPr>
              <c:dLblPos val="r"/>
              <c:showLegendKey val="0"/>
              <c:showVal val="1"/>
              <c:showCatName val="0"/>
              <c:showSerName val="0"/>
              <c:showPercent val="0"/>
              <c:showBubbleSize val="0"/>
              <c:extLst>
                <c:ext xmlns:c15="http://schemas.microsoft.com/office/drawing/2012/chart" uri="{CE6537A1-D6FC-4f65-9D91-7224C49458BB}">
                  <c15:layout>
                    <c:manualLayout>
                      <c:w val="0.20478050814868021"/>
                      <c:h val="6.5420560747663545E-2"/>
                    </c:manualLayout>
                  </c15:layout>
                  <c15:showDataLabelsRange val="0"/>
                </c:ext>
                <c:ext xmlns:c16="http://schemas.microsoft.com/office/drawing/2014/chart" uri="{C3380CC4-5D6E-409C-BE32-E72D297353CC}">
                  <c16:uniqueId val="{00000006-033F-4A35-A720-F36A44FE9679}"/>
                </c:ext>
              </c:extLst>
            </c:dLbl>
            <c:dLbl>
              <c:idx val="2"/>
              <c:layout>
                <c:manualLayout>
                  <c:x val="-0.14427418235189116"/>
                  <c:y val="-4.2056070005352442E-2"/>
                </c:manualLayout>
              </c:layout>
              <c:tx>
                <c:rich>
                  <a:bodyPr wrap="square" lIns="38100" tIns="19050" rIns="38100" bIns="19050" anchor="ctr">
                    <a:noAutofit/>
                  </a:bodyPr>
                  <a:lstStyle/>
                  <a:p>
                    <a:pPr>
                      <a:defRPr sz="750">
                        <a:solidFill>
                          <a:srgbClr val="FFFFFF"/>
                        </a:solidFill>
                        <a:latin typeface="Tahoma"/>
                        <a:ea typeface="Tahoma"/>
                        <a:cs typeface="Tahoma"/>
                      </a:defRPr>
                    </a:pPr>
                    <a:r>
                      <a:rPr lang="en-US"/>
                      <a:t>95.0%</a:t>
                    </a:r>
                  </a:p>
                </c:rich>
              </c:tx>
              <c:spPr>
                <a:solidFill>
                  <a:srgbClr val="DC143C"/>
                </a:solidFill>
                <a:ln w="9525">
                  <a:solidFill>
                    <a:srgbClr val="000000"/>
                  </a:solidFill>
                </a:ln>
                <a:effectLst/>
              </c:spPr>
              <c:dLblPos val="r"/>
              <c:showLegendKey val="0"/>
              <c:showVal val="1"/>
              <c:showCatName val="0"/>
              <c:showSerName val="0"/>
              <c:showPercent val="0"/>
              <c:showBubbleSize val="0"/>
              <c:extLst>
                <c:ext xmlns:c15="http://schemas.microsoft.com/office/drawing/2012/chart" uri="{CE6537A1-D6FC-4f65-9D91-7224C49458BB}">
                  <c15:layout>
                    <c:manualLayout>
                      <c:w val="0.25160469676545444"/>
                      <c:h val="6.5420560747663545E-2"/>
                    </c:manualLayout>
                  </c15:layout>
                  <c15:showDataLabelsRange val="0"/>
                </c:ext>
                <c:ext xmlns:c16="http://schemas.microsoft.com/office/drawing/2014/chart" uri="{C3380CC4-5D6E-409C-BE32-E72D297353CC}">
                  <c16:uniqueId val="{00000007-033F-4A35-A720-F36A44FE9679}"/>
                </c:ext>
              </c:extLst>
            </c:dLbl>
            <c:spPr>
              <a:noFill/>
              <a:ln>
                <a:noFill/>
              </a:ln>
              <a:effectLst/>
            </c:spPr>
            <c:showLegendKey val="0"/>
            <c:showVal val="0"/>
            <c:showCatName val="0"/>
            <c:showSerName val="0"/>
            <c:showPercent val="0"/>
            <c:showBubbleSize val="0"/>
            <c:extLst>
              <c:ext xmlns:c15="http://schemas.microsoft.com/office/drawing/2012/chart" uri="{CE6537A1-D6FC-4f65-9D91-7224C49458BB}">
                <c15:showLeaderLines val="0"/>
              </c:ext>
            </c:extLst>
          </c:dLbls>
          <c:xVal>
            <c:numLit>
              <c:formatCode>General</c:formatCode>
              <c:ptCount val="3"/>
              <c:pt idx="0">
                <c:v>7.0938501165335619E-3</c:v>
              </c:pt>
              <c:pt idx="1">
                <c:v>1.5798605626665494E-2</c:v>
              </c:pt>
              <c:pt idx="2">
                <c:v>1.0892455743199055E-2</c:v>
              </c:pt>
            </c:numLit>
          </c:xVal>
          <c:yVal>
            <c:numLit>
              <c:formatCode>General</c:formatCode>
              <c:ptCount val="3"/>
              <c:pt idx="0">
                <c:v>300</c:v>
              </c:pt>
              <c:pt idx="1">
                <c:v>300</c:v>
              </c:pt>
              <c:pt idx="2">
                <c:v>300</c:v>
              </c:pt>
            </c:numLit>
          </c:yVal>
          <c:smooth val="1"/>
          <c:extLst>
            <c:ext xmlns:c16="http://schemas.microsoft.com/office/drawing/2014/chart" uri="{C3380CC4-5D6E-409C-BE32-E72D297353CC}">
              <c16:uniqueId val="{00000008-033F-4A35-A720-F36A44FE9679}"/>
            </c:ext>
          </c:extLst>
        </c:ser>
        <c:dLbls>
          <c:showLegendKey val="0"/>
          <c:showVal val="0"/>
          <c:showCatName val="0"/>
          <c:showSerName val="0"/>
          <c:showPercent val="0"/>
          <c:showBubbleSize val="0"/>
        </c:dLbls>
        <c:axId val="624697656"/>
        <c:axId val="374913936"/>
      </c:scatterChart>
      <c:valAx>
        <c:axId val="624697656"/>
        <c:scaling>
          <c:orientation val="minMax"/>
          <c:max val="1.8000000000000002E-2"/>
          <c:min val="6.0000000000000001E-3"/>
        </c:scaling>
        <c:delete val="0"/>
        <c:axPos val="b"/>
        <c:majorGridlines>
          <c:spPr>
            <a:ln>
              <a:solidFill>
                <a:srgbClr val="C0C0C0"/>
              </a:solidFill>
              <a:prstDash val="solid"/>
            </a:ln>
          </c:spPr>
        </c:majorGridlines>
        <c:numFmt formatCode="0.000" sourceLinked="0"/>
        <c:majorTickMark val="out"/>
        <c:minorTickMark val="none"/>
        <c:tickLblPos val="nextTo"/>
        <c:txPr>
          <a:bodyPr rot="-5400000" vert="horz"/>
          <a:lstStyle/>
          <a:p>
            <a:pPr>
              <a:defRPr sz="750" b="0" i="0" u="none" strike="noStrike">
                <a:solidFill>
                  <a:srgbClr val="000000"/>
                </a:solidFill>
                <a:latin typeface="Tahoma"/>
                <a:ea typeface="Tahoma"/>
                <a:cs typeface="Tahoma"/>
              </a:defRPr>
            </a:pPr>
            <a:endParaRPr lang="en-US"/>
          </a:p>
        </c:txPr>
        <c:crossAx val="374913936"/>
        <c:crossesAt val="0"/>
        <c:crossBetween val="midCat"/>
        <c:majorUnit val="2.0000000000000005E-3"/>
      </c:valAx>
      <c:valAx>
        <c:axId val="374913936"/>
        <c:scaling>
          <c:orientation val="minMax"/>
          <c:max val="300"/>
          <c:min val="0"/>
        </c:scaling>
        <c:delete val="0"/>
        <c:axPos val="l"/>
        <c:majorGridlines>
          <c:spPr>
            <a:ln>
              <a:solidFill>
                <a:srgbClr val="C0C0C0"/>
              </a:solidFill>
              <a:prstDash val="solid"/>
            </a:ln>
          </c:spPr>
        </c:majorGridlines>
        <c:numFmt formatCode="0" sourceLinked="0"/>
        <c:majorTickMark val="out"/>
        <c:minorTickMark val="none"/>
        <c:tickLblPos val="nextTo"/>
        <c:txPr>
          <a:bodyPr/>
          <a:lstStyle/>
          <a:p>
            <a:pPr>
              <a:defRPr sz="750" b="0" i="0" u="none" strike="noStrike">
                <a:solidFill>
                  <a:srgbClr val="000000"/>
                </a:solidFill>
                <a:latin typeface="Tahoma"/>
                <a:ea typeface="Tahoma"/>
                <a:cs typeface="Tahoma"/>
              </a:defRPr>
            </a:pPr>
            <a:endParaRPr lang="en-US"/>
          </a:p>
        </c:txPr>
        <c:crossAx val="624697656"/>
        <c:crossesAt val="6.0000000000000001E-3"/>
        <c:crossBetween val="midCat"/>
        <c:majorUnit val="50"/>
      </c:valAx>
      <c:spPr>
        <a:solidFill>
          <a:srgbClr val="F5F5F5"/>
        </a:solidFill>
        <a:ln>
          <a:noFill/>
        </a:ln>
        <a:effectLst/>
        <a:extLst>
          <a:ext uri="{91240B29-F687-4F45-9708-019B960494DF}">
            <a14:hiddenLine xmlns:a14="http://schemas.microsoft.com/office/drawing/2010/main">
              <a:noFill/>
            </a14:hiddenLine>
          </a:ext>
        </a:extLst>
      </c:spPr>
    </c:plotArea>
    <c:legend>
      <c:legendPos val="r"/>
      <c:legendEntry>
        <c:idx val="1"/>
        <c:delete val="1"/>
      </c:legendEntry>
      <c:legendEntry>
        <c:idx val="2"/>
        <c:delete val="1"/>
      </c:legendEntry>
      <c:legendEntry>
        <c:idx val="3"/>
        <c:delete val="1"/>
      </c:legendEntry>
      <c:layout>
        <c:manualLayout>
          <c:xMode val="edge"/>
          <c:yMode val="edge"/>
          <c:x val="0.65827036104114189"/>
          <c:y val="0.5067070221232477"/>
          <c:w val="0.30478589420654911"/>
          <c:h val="9.3457943925233641E-2"/>
        </c:manualLayout>
      </c:layout>
      <c:overlay val="1"/>
      <c:spPr>
        <a:ln w="25400">
          <a:noFill/>
        </a:ln>
      </c:spPr>
      <c:txPr>
        <a:bodyPr/>
        <a:lstStyle/>
        <a:p>
          <a:pPr>
            <a:defRPr sz="563"/>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rgbClr val="FFFFFF"/>
    </a:solidFill>
    <a:ln w="9525"/>
  </c:sp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1" Type="http://schemas.openxmlformats.org/officeDocument/2006/relationships/image" Target="../media/image3.emf"/></Relationships>
</file>

<file path=xl/drawings/_rels/drawing6.xml.rels><?xml version="1.0" encoding="UTF-8" standalone="yes"?>
<Relationships xmlns="http://schemas.openxmlformats.org/package/2006/relationships"><Relationship Id="rId3" Type="http://schemas.openxmlformats.org/officeDocument/2006/relationships/chart" Target="../charts/chart7.xml"/><Relationship Id="rId2" Type="http://schemas.openxmlformats.org/officeDocument/2006/relationships/chart" Target="../charts/chart6.xml"/><Relationship Id="rId1" Type="http://schemas.openxmlformats.org/officeDocument/2006/relationships/chart" Target="../charts/chart5.xml"/><Relationship Id="rId6" Type="http://schemas.openxmlformats.org/officeDocument/2006/relationships/image" Target="../media/image6.png"/><Relationship Id="rId5" Type="http://schemas.openxmlformats.org/officeDocument/2006/relationships/image" Target="../media/image5.png"/><Relationship Id="rId4" Type="http://schemas.openxmlformats.org/officeDocument/2006/relationships/image" Target="../media/image4.png"/></Relationships>
</file>

<file path=xl/drawings/_rels/drawing7.xml.rels><?xml version="1.0" encoding="UTF-8" standalone="yes"?>
<Relationships xmlns="http://schemas.openxmlformats.org/package/2006/relationships"><Relationship Id="rId3" Type="http://schemas.openxmlformats.org/officeDocument/2006/relationships/chart" Target="../charts/chart10.xml"/><Relationship Id="rId2" Type="http://schemas.openxmlformats.org/officeDocument/2006/relationships/chart" Target="../charts/chart9.xml"/><Relationship Id="rId1" Type="http://schemas.openxmlformats.org/officeDocument/2006/relationships/chart" Target="../charts/chart8.xml"/></Relationships>
</file>

<file path=xl/drawings/drawing1.xml><?xml version="1.0" encoding="utf-8"?>
<xdr:wsDr xmlns:xdr="http://schemas.openxmlformats.org/drawingml/2006/spreadsheetDrawing" xmlns:a="http://schemas.openxmlformats.org/drawingml/2006/main">
  <xdr:oneCellAnchor>
    <xdr:from>
      <xdr:col>4</xdr:col>
      <xdr:colOff>85724</xdr:colOff>
      <xdr:row>2</xdr:row>
      <xdr:rowOff>104216</xdr:rowOff>
    </xdr:from>
    <xdr:ext cx="703729" cy="629210"/>
    <xdr:pic>
      <xdr:nvPicPr>
        <xdr:cNvPr id="2" name="Picture 1">
          <a:extLst>
            <a:ext uri="{FF2B5EF4-FFF2-40B4-BE49-F238E27FC236}">
              <a16:creationId xmlns:a16="http://schemas.microsoft.com/office/drawing/2014/main" id="{00000000-0008-0000-0100-000002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305924" y="513791"/>
          <a:ext cx="703729" cy="629210"/>
        </a:xfrm>
        <a:prstGeom prst="rect">
          <a:avLst/>
        </a:prstGeom>
      </xdr:spPr>
    </xdr:pic>
    <xdr:clientData/>
  </xdr:oneCellAnchor>
  <xdr:oneCellAnchor>
    <xdr:from>
      <xdr:col>3</xdr:col>
      <xdr:colOff>155203</xdr:colOff>
      <xdr:row>2</xdr:row>
      <xdr:rowOff>124385</xdr:rowOff>
    </xdr:from>
    <xdr:ext cx="647699" cy="665070"/>
    <xdr:pic>
      <xdr:nvPicPr>
        <xdr:cNvPr id="3" name="Picture 2" descr="Image result for state of hawaii department of health logo">
          <a:extLst>
            <a:ext uri="{FF2B5EF4-FFF2-40B4-BE49-F238E27FC236}">
              <a16:creationId xmlns:a16="http://schemas.microsoft.com/office/drawing/2014/main" id="{00000000-0008-0000-0100-000003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8413378" y="533960"/>
          <a:ext cx="647699" cy="665070"/>
        </a:xfrm>
        <a:prstGeom prst="rect">
          <a:avLst/>
        </a:prstGeom>
        <a:noFill/>
        <a:ln>
          <a:noFill/>
        </a:ln>
      </xdr:spPr>
    </xdr:pic>
    <xdr:clientData/>
  </xdr:oneCellAnchor>
</xdr:wsDr>
</file>

<file path=xl/drawings/drawing2.xml><?xml version="1.0" encoding="utf-8"?>
<xdr:wsDr xmlns:xdr="http://schemas.openxmlformats.org/drawingml/2006/spreadsheetDrawing" xmlns:a="http://schemas.openxmlformats.org/drawingml/2006/main">
  <xdr:twoCellAnchor>
    <xdr:from>
      <xdr:col>20</xdr:col>
      <xdr:colOff>603250</xdr:colOff>
      <xdr:row>177</xdr:row>
      <xdr:rowOff>42333</xdr:rowOff>
    </xdr:from>
    <xdr:to>
      <xdr:col>24</xdr:col>
      <xdr:colOff>571414</xdr:colOff>
      <xdr:row>194</xdr:row>
      <xdr:rowOff>102700</xdr:rowOff>
    </xdr:to>
    <xdr:graphicFrame macro="">
      <xdr:nvGraphicFramePr>
        <xdr:cNvPr id="2" name="Chart 1">
          <a:extLst>
            <a:ext uri="{FF2B5EF4-FFF2-40B4-BE49-F238E27FC236}">
              <a16:creationId xmlns:a16="http://schemas.microsoft.com/office/drawing/2014/main" id="{00000000-0008-0000-05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21</xdr:col>
      <xdr:colOff>132342</xdr:colOff>
      <xdr:row>197</xdr:row>
      <xdr:rowOff>124579</xdr:rowOff>
    </xdr:from>
    <xdr:to>
      <xdr:col>25</xdr:col>
      <xdr:colOff>159774</xdr:colOff>
      <xdr:row>214</xdr:row>
      <xdr:rowOff>142613</xdr:rowOff>
    </xdr:to>
    <xdr:graphicFrame macro="">
      <xdr:nvGraphicFramePr>
        <xdr:cNvPr id="3" name="Chart 2">
          <a:extLst>
            <a:ext uri="{FF2B5EF4-FFF2-40B4-BE49-F238E27FC236}">
              <a16:creationId xmlns:a16="http://schemas.microsoft.com/office/drawing/2014/main" id="{30812B04-9677-45EA-9AD2-81B3B493FC1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2</xdr:col>
      <xdr:colOff>499110</xdr:colOff>
      <xdr:row>9</xdr:row>
      <xdr:rowOff>85725</xdr:rowOff>
    </xdr:from>
    <xdr:to>
      <xdr:col>19</xdr:col>
      <xdr:colOff>125730</xdr:colOff>
      <xdr:row>41</xdr:row>
      <xdr:rowOff>152401</xdr:rowOff>
    </xdr:to>
    <xdr:sp macro="" textlink="">
      <xdr:nvSpPr>
        <xdr:cNvPr id="145410" name="Text Box 2">
          <a:extLst>
            <a:ext uri="{FF2B5EF4-FFF2-40B4-BE49-F238E27FC236}">
              <a16:creationId xmlns:a16="http://schemas.microsoft.com/office/drawing/2014/main" id="{00000000-0008-0000-0700-000002380200}"/>
            </a:ext>
          </a:extLst>
        </xdr:cNvPr>
        <xdr:cNvSpPr txBox="1">
          <a:spLocks noChangeArrowheads="1"/>
        </xdr:cNvSpPr>
      </xdr:nvSpPr>
      <xdr:spPr bwMode="auto">
        <a:xfrm>
          <a:off x="3080385" y="1457325"/>
          <a:ext cx="6132195" cy="5476876"/>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22860" rIns="0" bIns="0" anchor="t" upright="1"/>
        <a:lstStyle/>
        <a:p>
          <a:pPr algn="l" rtl="0">
            <a:defRPr sz="1000"/>
          </a:pPr>
          <a:endParaRPr lang="en-US" sz="1000" b="0" i="0" u="none" strike="noStrike" baseline="0">
            <a:solidFill>
              <a:srgbClr val="000000"/>
            </a:solidFill>
            <a:latin typeface="Calibri" panose="020F0502020204030204" pitchFamily="34" charset="0"/>
            <a:cs typeface="Arial"/>
          </a:endParaRPr>
        </a:p>
        <a:p>
          <a:pPr algn="l" rtl="0">
            <a:defRPr sz="1000"/>
          </a:pPr>
          <a:r>
            <a:rPr lang="en-US" sz="1000" b="1" i="0" u="none" strike="noStrike" baseline="0">
              <a:solidFill>
                <a:srgbClr val="000000"/>
              </a:solidFill>
              <a:latin typeface="Calibri" panose="020F0502020204030204" pitchFamily="34" charset="0"/>
              <a:cs typeface="Arial"/>
            </a:rPr>
            <a:t>2006 IPCC Guidelines: Cement</a:t>
          </a:r>
          <a:endParaRPr lang="en-US" sz="1000" b="0" i="0" u="none" strike="noStrike" baseline="0">
            <a:solidFill>
              <a:srgbClr val="000000"/>
            </a:solidFill>
            <a:latin typeface="Calibri" panose="020F0502020204030204" pitchFamily="34" charset="0"/>
            <a:cs typeface="Arial"/>
          </a:endParaRPr>
        </a:p>
        <a:p>
          <a:pPr algn="l" rtl="0">
            <a:defRPr sz="1000"/>
          </a:pPr>
          <a:r>
            <a:rPr lang="en-US" sz="1000" b="0" i="0" u="none" strike="noStrike" baseline="0">
              <a:solidFill>
                <a:srgbClr val="000000"/>
              </a:solidFill>
              <a:latin typeface="Calibri" panose="020F0502020204030204" pitchFamily="34" charset="0"/>
              <a:cs typeface="Arial"/>
            </a:rPr>
            <a:t>"In cement manufacture, CO2 is produced during the production of clinker, a nodular intermediate product that is</a:t>
          </a:r>
        </a:p>
        <a:p>
          <a:pPr algn="l" rtl="0">
            <a:defRPr sz="1000"/>
          </a:pPr>
          <a:r>
            <a:rPr lang="en-US" sz="1000" b="0" i="0" u="none" strike="noStrike" baseline="0">
              <a:solidFill>
                <a:srgbClr val="000000"/>
              </a:solidFill>
              <a:latin typeface="Calibri" panose="020F0502020204030204" pitchFamily="34" charset="0"/>
              <a:cs typeface="Arial"/>
            </a:rPr>
            <a:t>then finely ground, along with a small proportion of calcium sulfate [gypsum (CaSO4·2H2O) or anhydrite</a:t>
          </a:r>
        </a:p>
        <a:p>
          <a:pPr algn="l" rtl="0">
            <a:defRPr sz="1000"/>
          </a:pPr>
          <a:r>
            <a:rPr lang="en-US" sz="1000" b="0" i="0" u="none" strike="noStrike" baseline="0">
              <a:solidFill>
                <a:srgbClr val="000000"/>
              </a:solidFill>
              <a:latin typeface="Calibri" panose="020F0502020204030204" pitchFamily="34" charset="0"/>
              <a:cs typeface="Arial"/>
            </a:rPr>
            <a:t>(CaSO4)], into hydraulic (typically portland) cement. During the production of clinker, limestone, which is</a:t>
          </a:r>
        </a:p>
        <a:p>
          <a:pPr algn="l" rtl="0">
            <a:defRPr sz="1000"/>
          </a:pPr>
          <a:r>
            <a:rPr lang="en-US" sz="1000" b="0" i="0" u="none" strike="noStrike" baseline="0">
              <a:solidFill>
                <a:srgbClr val="000000"/>
              </a:solidFill>
              <a:latin typeface="Calibri" panose="020F0502020204030204" pitchFamily="34" charset="0"/>
              <a:cs typeface="Arial"/>
            </a:rPr>
            <a:t>mainly calcium carbonate (CaCO3), is heated, or calcined, to produce lime (CaO) and CO2 as a by-product. The</a:t>
          </a:r>
        </a:p>
        <a:p>
          <a:pPr algn="l" rtl="0">
            <a:defRPr sz="1000"/>
          </a:pPr>
          <a:r>
            <a:rPr lang="en-US" sz="1000" b="0" i="0" u="none" strike="noStrike" baseline="0">
              <a:solidFill>
                <a:srgbClr val="000000"/>
              </a:solidFill>
              <a:latin typeface="Calibri" panose="020F0502020204030204" pitchFamily="34" charset="0"/>
              <a:cs typeface="Arial"/>
            </a:rPr>
            <a:t>CaO then reacts with silica (SiO2), alumina (Al2O3), and iron oxide (Fe2O3) in the raw materials to make the</a:t>
          </a:r>
        </a:p>
        <a:p>
          <a:pPr algn="l" rtl="0">
            <a:defRPr sz="1000"/>
          </a:pPr>
          <a:r>
            <a:rPr lang="en-US" sz="1000" b="0" i="0" u="none" strike="noStrike" baseline="0">
              <a:solidFill>
                <a:srgbClr val="000000"/>
              </a:solidFill>
              <a:latin typeface="Calibri" panose="020F0502020204030204" pitchFamily="34" charset="0"/>
              <a:cs typeface="Arial"/>
            </a:rPr>
            <a:t>clinker minerals (chiefly calcium silicates). The proportion in the raw materials of carbonates other than CaCO3</a:t>
          </a:r>
        </a:p>
        <a:p>
          <a:pPr algn="l" rtl="0">
            <a:defRPr sz="1000"/>
          </a:pPr>
          <a:r>
            <a:rPr lang="en-US" sz="1000" b="0" i="0" u="none" strike="noStrike" baseline="0">
              <a:solidFill>
                <a:srgbClr val="000000"/>
              </a:solidFill>
              <a:latin typeface="Calibri" panose="020F0502020204030204" pitchFamily="34" charset="0"/>
              <a:cs typeface="Arial"/>
            </a:rPr>
            <a:t>is generally very small. The other carbonates, if present, exist mainly as impurities in the primary limestone raw</a:t>
          </a:r>
        </a:p>
        <a:p>
          <a:pPr algn="l" rtl="0">
            <a:defRPr sz="1000"/>
          </a:pPr>
          <a:r>
            <a:rPr lang="en-US" sz="1000" b="0" i="0" u="none" strike="noStrike" baseline="0">
              <a:solidFill>
                <a:srgbClr val="000000"/>
              </a:solidFill>
              <a:latin typeface="Calibri" panose="020F0502020204030204" pitchFamily="34" charset="0"/>
              <a:cs typeface="Arial"/>
            </a:rPr>
            <a:t>material. A small amount of MgO (typically 1-2 percent) in the clinker-making process is desirable as it acts as a</a:t>
          </a:r>
        </a:p>
        <a:p>
          <a:pPr algn="l" rtl="0">
            <a:defRPr sz="1000"/>
          </a:pPr>
          <a:r>
            <a:rPr lang="en-US" sz="1000" b="0" i="0" u="none" strike="noStrike" baseline="0">
              <a:solidFill>
                <a:srgbClr val="000000"/>
              </a:solidFill>
              <a:latin typeface="Calibri" panose="020F0502020204030204" pitchFamily="34" charset="0"/>
              <a:cs typeface="Arial"/>
            </a:rPr>
            <a:t>flux, but much more than this amount can lead to problems with the cement (van Oss and Padovani, 2002).</a:t>
          </a:r>
        </a:p>
        <a:p>
          <a:pPr algn="l" rtl="0">
            <a:defRPr sz="1000"/>
          </a:pPr>
          <a:r>
            <a:rPr lang="en-US" sz="1000" b="1" i="0" u="none" strike="noStrike" baseline="0">
              <a:solidFill>
                <a:srgbClr val="000000"/>
              </a:solidFill>
              <a:latin typeface="Calibri" panose="020F0502020204030204" pitchFamily="34" charset="0"/>
              <a:cs typeface="Arial"/>
            </a:rPr>
            <a:t>Cement may be made (ground) entirely from imported clinker, in which case the cement production facility may be considered to have zero process-related CO2 emissions.</a:t>
          </a:r>
          <a:r>
            <a:rPr lang="en-US" sz="1000" b="0" i="0" u="none" strike="noStrike" baseline="0">
              <a:solidFill>
                <a:srgbClr val="000000"/>
              </a:solidFill>
              <a:latin typeface="Calibri" panose="020F0502020204030204" pitchFamily="34" charset="0"/>
              <a:cs typeface="Arial"/>
            </a:rPr>
            <a:t> As discussed in Section 2.2.1.2, cement kiln dust (CKD) may be generated during the manufacture of clinker. Emission estimates should account for emissions associated with the CKD."</a:t>
          </a:r>
        </a:p>
        <a:p>
          <a:pPr algn="l" rtl="0">
            <a:defRPr sz="1000"/>
          </a:pPr>
          <a:endParaRPr lang="en-US" sz="1000" b="0" i="0" u="none" strike="noStrike" baseline="0">
            <a:solidFill>
              <a:srgbClr val="000000"/>
            </a:solidFill>
            <a:latin typeface="Calibri" panose="020F0502020204030204" pitchFamily="34" charset="0"/>
            <a:cs typeface="Arial"/>
          </a:endParaRPr>
        </a:p>
        <a:p>
          <a:pPr algn="l" rtl="0">
            <a:defRPr sz="1000"/>
          </a:pPr>
          <a:r>
            <a:rPr lang="en-US" sz="1000" b="0" i="0" u="none" strike="noStrike" baseline="0">
              <a:solidFill>
                <a:srgbClr val="000000"/>
              </a:solidFill>
              <a:latin typeface="Calibri" panose="020F0502020204030204" pitchFamily="34" charset="0"/>
              <a:cs typeface="Arial"/>
            </a:rPr>
            <a:t>"</a:t>
          </a:r>
          <a:r>
            <a:rPr lang="en-US" sz="1000" b="1" i="0" u="none" strike="noStrike" baseline="0">
              <a:solidFill>
                <a:srgbClr val="000000"/>
              </a:solidFill>
              <a:latin typeface="Calibri" panose="020F0502020204030204" pitchFamily="34" charset="0"/>
              <a:cs typeface="Arial"/>
            </a:rPr>
            <a:t>There are no additional emissions associated with the production of masonry cement. Where masonry cement is produced by adding lime to portland cement (or its clinker), the emissions associated with the lime should already be accounted for under lime production. The addition of ground limestone to portland cement or its clinker to produce masonry cement does not lead to additional emissions</a:t>
          </a:r>
          <a:r>
            <a:rPr lang="en-US" sz="1000" b="0" i="0" u="none" strike="noStrike" baseline="0">
              <a:solidFill>
                <a:srgbClr val="000000"/>
              </a:solidFill>
              <a:latin typeface="Calibri" panose="020F0502020204030204" pitchFamily="34" charset="0"/>
              <a:cs typeface="Arial"/>
            </a:rPr>
            <a:t>."</a:t>
          </a:r>
        </a:p>
        <a:p>
          <a:pPr algn="l" rtl="0">
            <a:defRPr sz="1000"/>
          </a:pPr>
          <a:endParaRPr lang="en-US" sz="1000" b="0" i="0" u="none" strike="noStrike" baseline="0">
            <a:solidFill>
              <a:srgbClr val="000000"/>
            </a:solidFill>
            <a:latin typeface="Calibri" panose="020F0502020204030204" pitchFamily="34" charset="0"/>
            <a:cs typeface="Arial"/>
          </a:endParaRPr>
        </a:p>
        <a:p>
          <a:pPr algn="l" rtl="0">
            <a:defRPr sz="1000"/>
          </a:pPr>
          <a:r>
            <a:rPr lang="en-US" sz="1000" b="1" i="0" u="none" strike="noStrike" baseline="0">
              <a:solidFill>
                <a:srgbClr val="000000"/>
              </a:solidFill>
              <a:latin typeface="Calibri" panose="020F0502020204030204" pitchFamily="34" charset="0"/>
              <a:cs typeface="Arial"/>
            </a:rPr>
            <a:t>IPCC TIER 2 Method</a:t>
          </a:r>
          <a:endParaRPr lang="en-US" sz="1000" b="0" i="0" u="none" strike="noStrike" baseline="0">
            <a:solidFill>
              <a:srgbClr val="000000"/>
            </a:solidFill>
            <a:latin typeface="Calibri" panose="020F0502020204030204" pitchFamily="34" charset="0"/>
            <a:cs typeface="Arial"/>
          </a:endParaRPr>
        </a:p>
        <a:p>
          <a:pPr algn="l" rtl="0">
            <a:defRPr sz="1000"/>
          </a:pPr>
          <a:r>
            <a:rPr lang="en-US" sz="1000" b="0" i="0" u="none" strike="noStrike" baseline="0">
              <a:solidFill>
                <a:srgbClr val="000000"/>
              </a:solidFill>
              <a:latin typeface="Calibri" panose="020F0502020204030204" pitchFamily="34" charset="0"/>
              <a:cs typeface="Arial"/>
            </a:rPr>
            <a:t>"In Tier 2, emissions are estimated directly from clinker production data (rather than clinker production inferred</a:t>
          </a:r>
        </a:p>
        <a:p>
          <a:pPr algn="l" rtl="0">
            <a:defRPr sz="1000"/>
          </a:pPr>
          <a:r>
            <a:rPr lang="en-US" sz="1000" b="0" i="0" u="none" strike="noStrike" baseline="0">
              <a:solidFill>
                <a:srgbClr val="000000"/>
              </a:solidFill>
              <a:latin typeface="Calibri" panose="020F0502020204030204" pitchFamily="34" charset="0"/>
              <a:cs typeface="Arial"/>
            </a:rPr>
            <a:t>from cement production) and a national or default emission factor."</a:t>
          </a:r>
        </a:p>
        <a:p>
          <a:pPr algn="l" rtl="0">
            <a:defRPr sz="1000"/>
          </a:pPr>
          <a:endParaRPr lang="en-US" sz="1000" b="0" i="0" u="none" strike="noStrike" baseline="0">
            <a:solidFill>
              <a:srgbClr val="000000"/>
            </a:solidFill>
            <a:latin typeface="Calibri" panose="020F0502020204030204" pitchFamily="34" charset="0"/>
            <a:cs typeface="Arial"/>
          </a:endParaRPr>
        </a:p>
        <a:p>
          <a:pPr algn="l" rtl="0">
            <a:defRPr sz="1000"/>
          </a:pPr>
          <a:r>
            <a:rPr lang="en-US" sz="1000" b="0" i="0" u="none" strike="noStrike" baseline="0">
              <a:solidFill>
                <a:srgbClr val="000000"/>
              </a:solidFill>
              <a:latin typeface="Calibri" panose="020F0502020204030204" pitchFamily="34" charset="0"/>
              <a:cs typeface="Arial"/>
            </a:rPr>
            <a:t>Link: http://www.ipcc-nggip.iges.or.jp/public/2006gl/pdf/3_Volume3/V3_2_Ch2_Mineral_Industry.pdf</a:t>
          </a:r>
        </a:p>
        <a:p>
          <a:pPr algn="l" rtl="0">
            <a:defRPr sz="1000"/>
          </a:pPr>
          <a:endParaRPr lang="en-US" sz="1000" b="0" i="0" u="none" strike="noStrike" baseline="0">
            <a:solidFill>
              <a:srgbClr val="000000"/>
            </a:solidFill>
            <a:latin typeface="Calibri" panose="020F0502020204030204" pitchFamily="34" charset="0"/>
            <a:cs typeface="Arial"/>
          </a:endParaRPr>
        </a:p>
        <a:p>
          <a:pPr algn="l" rtl="0">
            <a:defRPr sz="1000"/>
          </a:pPr>
          <a:r>
            <a:rPr lang="en-US" sz="1000" b="0" i="0" u="none" strike="noStrike" baseline="0">
              <a:solidFill>
                <a:srgbClr val="000000"/>
              </a:solidFill>
              <a:latin typeface="Calibri" panose="020F0502020204030204" pitchFamily="34" charset="0"/>
              <a:cs typeface="Arial"/>
            </a:rPr>
            <a:t>For the default CaO composition, 1 tonne of clinker contains 0.65 tonnes CaO from CaCO3. This carbonate is</a:t>
          </a:r>
        </a:p>
        <a:p>
          <a:pPr algn="l" rtl="0">
            <a:defRPr sz="1000"/>
          </a:pPr>
          <a:r>
            <a:rPr lang="en-US" sz="1000" b="0" i="0" u="none" strike="noStrike" baseline="0">
              <a:solidFill>
                <a:srgbClr val="000000"/>
              </a:solidFill>
              <a:latin typeface="Calibri" panose="020F0502020204030204" pitchFamily="34" charset="0"/>
              <a:cs typeface="Arial"/>
            </a:rPr>
            <a:t>56.03 percent CaO and 43.97 percent CO2 by weight (Table 2.1). The amount (X) of CaCO3 needed to yield 0.65</a:t>
          </a:r>
        </a:p>
        <a:p>
          <a:pPr algn="l" rtl="0">
            <a:defRPr sz="1000"/>
          </a:pPr>
          <a:r>
            <a:rPr lang="en-US" sz="1000" b="0" i="0" u="none" strike="noStrike" baseline="0">
              <a:solidFill>
                <a:srgbClr val="000000"/>
              </a:solidFill>
              <a:latin typeface="Calibri" panose="020F0502020204030204" pitchFamily="34" charset="0"/>
              <a:cs typeface="Arial"/>
            </a:rPr>
            <a:t>tonnes CaO is: X = 0.65/0.5603 = 1.1601 tonnes CaCO3 (unrounded). The amount of CO2 released by calcining</a:t>
          </a:r>
        </a:p>
        <a:p>
          <a:pPr algn="l" rtl="0">
            <a:defRPr sz="1000"/>
          </a:pPr>
          <a:r>
            <a:rPr lang="en-US" sz="1000" b="0" i="0" u="none" strike="noStrike" baseline="0">
              <a:solidFill>
                <a:srgbClr val="000000"/>
              </a:solidFill>
              <a:latin typeface="Calibri" panose="020F0502020204030204" pitchFamily="34" charset="0"/>
              <a:cs typeface="Arial"/>
            </a:rPr>
            <a:t>this CaCO3 = 1.1601 • 0.4397 = 0.5101 tonnes CO2 (unrounded). Assuming a correction addition of 2 percent to</a:t>
          </a:r>
        </a:p>
        <a:p>
          <a:pPr algn="l" rtl="0">
            <a:defRPr sz="1000"/>
          </a:pPr>
          <a:r>
            <a:rPr lang="en-US" sz="1000" b="0" i="0" u="none" strike="noStrike" baseline="0">
              <a:solidFill>
                <a:srgbClr val="000000"/>
              </a:solidFill>
              <a:latin typeface="Calibri" panose="020F0502020204030204" pitchFamily="34" charset="0"/>
              <a:cs typeface="Arial"/>
            </a:rPr>
            <a:t>account for CKD, the rounded default emission factor (EFclc) for clinker is:</a:t>
          </a:r>
        </a:p>
        <a:p>
          <a:pPr algn="l" rtl="0">
            <a:defRPr sz="1000"/>
          </a:pPr>
          <a:endParaRPr lang="en-US" sz="1000" b="0" i="0" u="none" strike="noStrike" baseline="0">
            <a:solidFill>
              <a:srgbClr val="000000"/>
            </a:solidFill>
            <a:latin typeface="Calibri" panose="020F0502020204030204" pitchFamily="34" charset="0"/>
            <a:cs typeface="Arial"/>
          </a:endParaRPr>
        </a:p>
        <a:p>
          <a:pPr algn="l" rtl="0">
            <a:defRPr sz="1000"/>
          </a:pPr>
          <a:r>
            <a:rPr lang="en-US" sz="1000" b="1" i="0" u="none" strike="noStrike" baseline="0">
              <a:solidFill>
                <a:srgbClr val="000000"/>
              </a:solidFill>
              <a:latin typeface="Calibri" panose="020F0502020204030204" pitchFamily="34" charset="0"/>
              <a:cs typeface="Arial"/>
            </a:rPr>
            <a:t>EFclc = 0.51•1.02 (CKD correction) = 0.52 tonnesCO2 / tonne clinker</a:t>
          </a:r>
          <a:endParaRPr lang="en-US" sz="1000" b="0" i="0" u="none" strike="noStrike" baseline="0">
            <a:solidFill>
              <a:srgbClr val="000000"/>
            </a:solidFill>
            <a:latin typeface="Calibri" panose="020F0502020204030204" pitchFamily="34" charset="0"/>
            <a:cs typeface="Arial"/>
          </a:endParaRPr>
        </a:p>
        <a:p>
          <a:pPr algn="l" rtl="0">
            <a:defRPr sz="1000"/>
          </a:pPr>
          <a:endParaRPr lang="en-US" sz="1000" b="0" i="0" u="none" strike="noStrike" baseline="0">
            <a:solidFill>
              <a:srgbClr val="000000"/>
            </a:solidFill>
            <a:latin typeface="Calibri" panose="020F0502020204030204" pitchFamily="34" charset="0"/>
            <a:cs typeface="Arial"/>
          </a:endParaRPr>
        </a:p>
        <a:p>
          <a:pPr algn="l" rtl="0">
            <a:defRPr sz="1000"/>
          </a:pPr>
          <a:endParaRPr lang="en-US" sz="1000" b="0" i="0" u="none" strike="noStrike" baseline="0">
            <a:solidFill>
              <a:srgbClr val="000000"/>
            </a:solidFill>
            <a:latin typeface="Calibri" panose="020F0502020204030204" pitchFamily="34" charset="0"/>
            <a:cs typeface="Arial"/>
          </a:endParaRPr>
        </a:p>
        <a:p>
          <a:pPr algn="l" rtl="0">
            <a:defRPr sz="1000"/>
          </a:pPr>
          <a:endParaRPr lang="en-US" sz="1000" b="0" i="0" u="none" strike="noStrike" baseline="0">
            <a:solidFill>
              <a:srgbClr val="000000"/>
            </a:solidFill>
            <a:latin typeface="Calibri" panose="020F0502020204030204" pitchFamily="34" charset="0"/>
            <a:cs typeface="Arial"/>
          </a:endParaRPr>
        </a:p>
        <a:p>
          <a:pPr algn="l" rtl="0">
            <a:defRPr sz="1000"/>
          </a:pPr>
          <a:endParaRPr lang="en-US" sz="1000" b="0" i="0" u="none" strike="noStrike" baseline="0">
            <a:solidFill>
              <a:srgbClr val="000000"/>
            </a:solidFill>
            <a:latin typeface="Calibri" panose="020F0502020204030204" pitchFamily="34" charset="0"/>
            <a:cs typeface="Arial"/>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1315720</xdr:colOff>
      <xdr:row>11</xdr:row>
      <xdr:rowOff>91440</xdr:rowOff>
    </xdr:from>
    <xdr:to>
      <xdr:col>8</xdr:col>
      <xdr:colOff>577850</xdr:colOff>
      <xdr:row>30</xdr:row>
      <xdr:rowOff>65278</xdr:rowOff>
    </xdr:to>
    <xdr:graphicFrame macro="">
      <xdr:nvGraphicFramePr>
        <xdr:cNvPr id="2" name="Chart 1">
          <a:extLst>
            <a:ext uri="{FF2B5EF4-FFF2-40B4-BE49-F238E27FC236}">
              <a16:creationId xmlns:a16="http://schemas.microsoft.com/office/drawing/2014/main" id="{00000000-0008-0000-0B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1377950</xdr:colOff>
      <xdr:row>12</xdr:row>
      <xdr:rowOff>12700</xdr:rowOff>
    </xdr:from>
    <xdr:to>
      <xdr:col>8</xdr:col>
      <xdr:colOff>511302</xdr:colOff>
      <xdr:row>29</xdr:row>
      <xdr:rowOff>88900</xdr:rowOff>
    </xdr:to>
    <xdr:graphicFrame macro="">
      <xdr:nvGraphicFramePr>
        <xdr:cNvPr id="3" name="Chart 2">
          <a:extLst>
            <a:ext uri="{FF2B5EF4-FFF2-40B4-BE49-F238E27FC236}">
              <a16:creationId xmlns:a16="http://schemas.microsoft.com/office/drawing/2014/main" id="{9F30FE60-3E61-4B08-8B8E-BD2CAD8AFB3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editAs="oneCell">
    <xdr:from>
      <xdr:col>9</xdr:col>
      <xdr:colOff>65941</xdr:colOff>
      <xdr:row>0</xdr:row>
      <xdr:rowOff>0</xdr:rowOff>
    </xdr:from>
    <xdr:to>
      <xdr:col>16</xdr:col>
      <xdr:colOff>485042</xdr:colOff>
      <xdr:row>37</xdr:row>
      <xdr:rowOff>95464</xdr:rowOff>
    </xdr:to>
    <xdr:pic>
      <xdr:nvPicPr>
        <xdr:cNvPr id="2" name="Picture 16">
          <a:extLst>
            <a:ext uri="{FF2B5EF4-FFF2-40B4-BE49-F238E27FC236}">
              <a16:creationId xmlns:a16="http://schemas.microsoft.com/office/drawing/2014/main" id="{00000000-0008-0000-0C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565791" y="0"/>
          <a:ext cx="4870451" cy="512466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6.xml><?xml version="1.0" encoding="utf-8"?>
<xdr:wsDr xmlns:xdr="http://schemas.openxmlformats.org/drawingml/2006/spreadsheetDrawing" xmlns:a="http://schemas.openxmlformats.org/drawingml/2006/main">
  <xdr:oneCellAnchor>
    <xdr:from>
      <xdr:col>6</xdr:col>
      <xdr:colOff>0</xdr:colOff>
      <xdr:row>6</xdr:row>
      <xdr:rowOff>0</xdr:rowOff>
    </xdr:from>
    <xdr:ext cx="3975100" cy="2000250"/>
    <xdr:graphicFrame macro="">
      <xdr:nvGraphicFramePr>
        <xdr:cNvPr id="5" name="RiskRGRiskTemplatIPPUR6C7">
          <a:extLst>
            <a:ext uri="{FF2B5EF4-FFF2-40B4-BE49-F238E27FC236}">
              <a16:creationId xmlns:a16="http://schemas.microsoft.com/office/drawing/2014/main" id="{2867613B-F268-4D4D-8717-47EAE7D18CD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oneCellAnchor>
  <xdr:oneCellAnchor>
    <xdr:from>
      <xdr:col>6</xdr:col>
      <xdr:colOff>0</xdr:colOff>
      <xdr:row>34</xdr:row>
      <xdr:rowOff>0</xdr:rowOff>
    </xdr:from>
    <xdr:ext cx="3975100" cy="2381250"/>
    <xdr:graphicFrame macro="">
      <xdr:nvGraphicFramePr>
        <xdr:cNvPr id="6" name="RiskRGRiskTemplatIPPUR35C7">
          <a:extLst>
            <a:ext uri="{FF2B5EF4-FFF2-40B4-BE49-F238E27FC236}">
              <a16:creationId xmlns:a16="http://schemas.microsoft.com/office/drawing/2014/main" id="{33492C03-7610-477D-B630-9A760A75949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oneCellAnchor>
  <xdr:oneCellAnchor>
    <xdr:from>
      <xdr:col>6</xdr:col>
      <xdr:colOff>0</xdr:colOff>
      <xdr:row>62</xdr:row>
      <xdr:rowOff>0</xdr:rowOff>
    </xdr:from>
    <xdr:ext cx="3975100" cy="2362200"/>
    <xdr:graphicFrame macro="">
      <xdr:nvGraphicFramePr>
        <xdr:cNvPr id="7" name="RiskRGRiskTemplatIPPUR64C7">
          <a:extLst>
            <a:ext uri="{FF2B5EF4-FFF2-40B4-BE49-F238E27FC236}">
              <a16:creationId xmlns:a16="http://schemas.microsoft.com/office/drawing/2014/main" id="{B0AABE6E-E7EA-4CF0-991F-0C991AFA7BC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oneCellAnchor>
  <xdr:twoCellAnchor editAs="oneCell">
    <xdr:from>
      <xdr:col>6</xdr:col>
      <xdr:colOff>0</xdr:colOff>
      <xdr:row>6</xdr:row>
      <xdr:rowOff>0</xdr:rowOff>
    </xdr:from>
    <xdr:to>
      <xdr:col>11</xdr:col>
      <xdr:colOff>1270</xdr:colOff>
      <xdr:row>17</xdr:row>
      <xdr:rowOff>139700</xdr:rowOff>
    </xdr:to>
    <xdr:pic>
      <xdr:nvPicPr>
        <xdr:cNvPr id="2" name="RiskRGRiskTemplatIPPUR6C7">
          <a:extLst>
            <a:ext uri="{FF2B5EF4-FFF2-40B4-BE49-F238E27FC236}">
              <a16:creationId xmlns:a16="http://schemas.microsoft.com/office/drawing/2014/main" id="{2FB6C2FE-456D-44A3-AEEA-42CBFAB79F65}"/>
            </a:ext>
          </a:extLst>
        </xdr:cNvPr>
        <xdr:cNvPicPr>
          <a:picLocks/>
        </xdr:cNvPicPr>
      </xdr:nvPicPr>
      <xdr:blipFill>
        <a:blip xmlns:r="http://schemas.openxmlformats.org/officeDocument/2006/relationships" r:embed="rId4">
          <a:extLst>
            <a:ext uri="{28A0092B-C50C-407E-A947-70E740481C1C}">
              <a14:useLocalDpi xmlns:a14="http://schemas.microsoft.com/office/drawing/2010/main" val="0"/>
            </a:ext>
          </a:extLst>
        </a:blip>
        <a:stretch>
          <a:fillRect/>
        </a:stretch>
      </xdr:blipFill>
      <xdr:spPr>
        <a:xfrm>
          <a:off x="2851150" y="1009650"/>
          <a:ext cx="4006850" cy="2000250"/>
        </a:xfrm>
        <a:prstGeom prst="rect">
          <a:avLst/>
        </a:prstGeom>
      </xdr:spPr>
    </xdr:pic>
    <xdr:clientData/>
  </xdr:twoCellAnchor>
  <xdr:twoCellAnchor editAs="oneCell">
    <xdr:from>
      <xdr:col>6</xdr:col>
      <xdr:colOff>0</xdr:colOff>
      <xdr:row>35</xdr:row>
      <xdr:rowOff>0</xdr:rowOff>
    </xdr:from>
    <xdr:to>
      <xdr:col>11</xdr:col>
      <xdr:colOff>1270</xdr:colOff>
      <xdr:row>46</xdr:row>
      <xdr:rowOff>2540</xdr:rowOff>
    </xdr:to>
    <xdr:pic>
      <xdr:nvPicPr>
        <xdr:cNvPr id="3" name="RiskRGRiskTemplatIPPUR35C7">
          <a:extLst>
            <a:ext uri="{FF2B5EF4-FFF2-40B4-BE49-F238E27FC236}">
              <a16:creationId xmlns:a16="http://schemas.microsoft.com/office/drawing/2014/main" id="{9A1C0973-CDCF-4871-8F69-6625C8244E40}"/>
            </a:ext>
          </a:extLst>
        </xdr:cNvPr>
        <xdr:cNvPicPr>
          <a:picLocks/>
        </xdr:cNvPicPr>
      </xdr:nvPicPr>
      <xdr:blipFill>
        <a:blip xmlns:r="http://schemas.openxmlformats.org/officeDocument/2006/relationships" r:embed="rId5">
          <a:extLst>
            <a:ext uri="{28A0092B-C50C-407E-A947-70E740481C1C}">
              <a14:useLocalDpi xmlns:a14="http://schemas.microsoft.com/office/drawing/2010/main" val="0"/>
            </a:ext>
          </a:extLst>
        </a:blip>
        <a:stretch>
          <a:fillRect/>
        </a:stretch>
      </xdr:blipFill>
      <xdr:spPr>
        <a:xfrm>
          <a:off x="2851150" y="5784850"/>
          <a:ext cx="4006850" cy="2000250"/>
        </a:xfrm>
        <a:prstGeom prst="rect">
          <a:avLst/>
        </a:prstGeom>
      </xdr:spPr>
    </xdr:pic>
    <xdr:clientData/>
  </xdr:twoCellAnchor>
  <xdr:twoCellAnchor editAs="oneCell">
    <xdr:from>
      <xdr:col>6</xdr:col>
      <xdr:colOff>0</xdr:colOff>
      <xdr:row>64</xdr:row>
      <xdr:rowOff>0</xdr:rowOff>
    </xdr:from>
    <xdr:to>
      <xdr:col>11</xdr:col>
      <xdr:colOff>1270</xdr:colOff>
      <xdr:row>75</xdr:row>
      <xdr:rowOff>139700</xdr:rowOff>
    </xdr:to>
    <xdr:pic>
      <xdr:nvPicPr>
        <xdr:cNvPr id="4" name="RiskRGRiskTemplatIPPUR64C7">
          <a:extLst>
            <a:ext uri="{FF2B5EF4-FFF2-40B4-BE49-F238E27FC236}">
              <a16:creationId xmlns:a16="http://schemas.microsoft.com/office/drawing/2014/main" id="{F560EED0-968F-46B3-ADE5-E41506FB83FC}"/>
            </a:ext>
          </a:extLst>
        </xdr:cNvPr>
        <xdr:cNvPicPr>
          <a:picLocks/>
        </xdr:cNvPicPr>
      </xdr:nvPicPr>
      <xdr:blipFill>
        <a:blip xmlns:r="http://schemas.openxmlformats.org/officeDocument/2006/relationships" r:embed="rId6">
          <a:extLst>
            <a:ext uri="{28A0092B-C50C-407E-A947-70E740481C1C}">
              <a14:useLocalDpi xmlns:a14="http://schemas.microsoft.com/office/drawing/2010/main" val="0"/>
            </a:ext>
          </a:extLst>
        </a:blip>
        <a:stretch>
          <a:fillRect/>
        </a:stretch>
      </xdr:blipFill>
      <xdr:spPr>
        <a:xfrm>
          <a:off x="2851150" y="10801350"/>
          <a:ext cx="4006850" cy="2000250"/>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6</xdr:col>
      <xdr:colOff>0</xdr:colOff>
      <xdr:row>6</xdr:row>
      <xdr:rowOff>0</xdr:rowOff>
    </xdr:from>
    <xdr:to>
      <xdr:col>11</xdr:col>
      <xdr:colOff>0</xdr:colOff>
      <xdr:row>18</xdr:row>
      <xdr:rowOff>0</xdr:rowOff>
    </xdr:to>
    <xdr:graphicFrame macro="">
      <xdr:nvGraphicFramePr>
        <xdr:cNvPr id="8" name="RiskRGRiskTemplatIPPUR6C7">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6</xdr:col>
      <xdr:colOff>0</xdr:colOff>
      <xdr:row>35</xdr:row>
      <xdr:rowOff>0</xdr:rowOff>
    </xdr:from>
    <xdr:to>
      <xdr:col>11</xdr:col>
      <xdr:colOff>0</xdr:colOff>
      <xdr:row>47</xdr:row>
      <xdr:rowOff>0</xdr:rowOff>
    </xdr:to>
    <xdr:graphicFrame macro="">
      <xdr:nvGraphicFramePr>
        <xdr:cNvPr id="9" name="RiskRGRiskTemplatIPPUR35C7">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editAs="oneCell">
    <xdr:from>
      <xdr:col>6</xdr:col>
      <xdr:colOff>0</xdr:colOff>
      <xdr:row>64</xdr:row>
      <xdr:rowOff>0</xdr:rowOff>
    </xdr:from>
    <xdr:to>
      <xdr:col>11</xdr:col>
      <xdr:colOff>0</xdr:colOff>
      <xdr:row>76</xdr:row>
      <xdr:rowOff>0</xdr:rowOff>
    </xdr:to>
    <xdr:graphicFrame macro="">
      <xdr:nvGraphicFramePr>
        <xdr:cNvPr id="10" name="RiskRGRiskTemplatIPPUR64C7">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https://icfonline.sharepoint.com/teams/HawaiiInventory/Shared%20Documents/Project%20Year%203%20-%202024/Inventory%20Spreadsheets/Dummy%20Spreadsheets%20-%20DO%20NOT%20USE/IPPU_2021%20Inventory.xlsx" TargetMode="External"/><Relationship Id="rId1" Type="http://schemas.openxmlformats.org/officeDocument/2006/relationships/externalLinkPath" Target="/teams/HawaiiInventory/Shared%20Documents/Project%20Year%203%20-%202024/Inventory%20Spreadsheets/Sector%20Spreadsheets%20Linked%207.25.24/Dummy%20Spreadsheets%20-%20DO%20NOT%20USE/IPPU_2021%20Inventory.xlsx" TargetMode="External"/></Relationships>
</file>

<file path=xl/externalLinks/_rels/externalLink10.xml.rels><?xml version="1.0" encoding="UTF-8" standalone="yes"?>
<Relationships xmlns="http://schemas.openxmlformats.org/package/2006/relationships"><Relationship Id="rId2" Type="http://schemas.openxmlformats.org/officeDocument/2006/relationships/externalLinkPath" Target="https://icfonline.sharepoint.com/teams/HawaiiInventory/Shared%20Documents/Project%20Year%203%20-%202024/Inventory%20Spreadsheets/Supporting%20Files%20-%20No%20Direct%20Links/IPPU/Table%204-130%202022.xlsx" TargetMode="External"/><Relationship Id="rId1" Type="http://schemas.openxmlformats.org/officeDocument/2006/relationships/externalLinkPath" Target="/teams/HawaiiInventory/Shared%20Documents/Project%20Year%203%20-%202024/Inventory%20Spreadsheets/Sector%20Spreadsheets%20Linked%207.25.24/Supporting%20Files%20-%20No%20Direct%20Links/IPPU/Table%204-130%202022.xlsx" TargetMode="External"/></Relationships>
</file>

<file path=xl/externalLinks/_rels/externalLink11.xml.rels><?xml version="1.0" encoding="UTF-8" standalone="yes"?>
<Relationships xmlns="http://schemas.openxmlformats.org/package/2006/relationships"><Relationship Id="rId2" Type="http://schemas.openxmlformats.org/officeDocument/2006/relationships/externalLinkPath" Target="https://icfonline.sharepoint.com/teams/HawaiiInventory/Shared%20Documents/Project%20Year%203%20-%202024/Inventory%20Spreadsheets/Supporting%20Files%20-%20No%20Direct%20Links/IPPU/ODS_us-est90int-07.xlsx" TargetMode="External"/><Relationship Id="rId1" Type="http://schemas.openxmlformats.org/officeDocument/2006/relationships/externalLinkPath" Target="/teams/HawaiiInventory/Shared%20Documents/Project%20Year%203%20-%202024/Inventory%20Spreadsheets/Sector%20Spreadsheets%20Linked%207.25.24/Supporting%20Files%20-%20No%20Direct%20Links/IPPU/ODS_us-est90int-07.xlsx" TargetMode="External"/></Relationships>
</file>

<file path=xl/externalLinks/_rels/externalLink12.xml.rels><?xml version="1.0" encoding="UTF-8" standalone="yes"?>
<Relationships xmlns="http://schemas.openxmlformats.org/package/2006/relationships"><Relationship Id="rId2" Type="http://schemas.openxmlformats.org/officeDocument/2006/relationships/externalLinkPath" Target="https://icfonline.sharepoint.com/teams/HawaiiInventory/Shared%20Documents/Project%20Year%203%20-%202024/Inventory%20Spreadsheets/Supporting%20Files%20-%20No%20Direct%20Links/IPPU/ODS_us-est00int-02.xls" TargetMode="External"/><Relationship Id="rId1" Type="http://schemas.openxmlformats.org/officeDocument/2006/relationships/externalLinkPath" Target="/teams/HawaiiInventory/Shared%20Documents/Project%20Year%203%20-%202024/Inventory%20Spreadsheets/Sector%20Spreadsheets%20Linked%207.25.24/Supporting%20Files%20-%20No%20Direct%20Links/IPPU/ODS_us-est00int-02.xls" TargetMode="External"/></Relationships>
</file>

<file path=xl/externalLinks/_rels/externalLink13.xml.rels><?xml version="1.0" encoding="UTF-8" standalone="yes"?>
<Relationships xmlns="http://schemas.openxmlformats.org/package/2006/relationships"><Relationship Id="rId2" Type="http://schemas.openxmlformats.org/officeDocument/2006/relationships/externalLinkPath" Target="https://icfonline.sharepoint.com/teams/HawaiiInventory/Shared%20Documents/Project%20Year%203%20-%202024/Inventory%20Spreadsheets/Supporting%20Files%20-%20No%20Direct%20Links/IPPU/ODS_NST-EST2020.xlsx" TargetMode="External"/><Relationship Id="rId1" Type="http://schemas.openxmlformats.org/officeDocument/2006/relationships/externalLinkPath" Target="/teams/HawaiiInventory/Shared%20Documents/Project%20Year%203%20-%202024/Inventory%20Spreadsheets/Sector%20Spreadsheets%20Linked%207.25.24/Supporting%20Files%20-%20No%20Direct%20Links/IPPU/ODS_NST-EST2020.xlsx" TargetMode="External"/></Relationships>
</file>

<file path=xl/externalLinks/_rels/externalLink14.xml.rels><?xml version="1.0" encoding="UTF-8" standalone="yes"?>
<Relationships xmlns="http://schemas.openxmlformats.org/package/2006/relationships"><Relationship Id="rId2" Type="http://schemas.openxmlformats.org/officeDocument/2006/relationships/externalLinkPath" Target="https://icfonline.sharepoint.com/teams/HawaiiInventory/Shared%20Documents/Project%20Year%203%20-%202024/Inventory%20Spreadsheets/Supporting%20Files%20-%20No%20Direct%20Links/IPPU/ODS_nc-est2022-sr11h.xlsx" TargetMode="External"/><Relationship Id="rId1" Type="http://schemas.openxmlformats.org/officeDocument/2006/relationships/externalLinkPath" Target="/teams/HawaiiInventory/Shared%20Documents/Project%20Year%203%20-%202024/Inventory%20Spreadsheets/Sector%20Spreadsheets%20Linked%207.25.24/Supporting%20Files%20-%20No%20Direct%20Links/IPPU/ODS_nc-est2022-sr11h.xlsx" TargetMode="External"/></Relationships>
</file>

<file path=xl/externalLinks/_rels/externalLink15.xml.rels><?xml version="1.0" encoding="UTF-8" standalone="yes"?>
<Relationships xmlns="http://schemas.openxmlformats.org/package/2006/relationships"><Relationship Id="rId3" Type="http://schemas.openxmlformats.org/officeDocument/2006/relationships/externalLinkPath" Target="https://icfonline.sharepoint.com/teams/HawaiiInventory/Shared%20Documents/Project%20Year%203%20-%202024/Inventory%20Spreadsheets/Supporting%20Files%20-%20No%20Direct%20Links/IPPU/ODS%20Substitutes%20BY22_AR5_3-15-2024_FR.xlsx" TargetMode="External"/><Relationship Id="rId2" Type="http://schemas.microsoft.com/office/2019/04/relationships/externalLinkLongPath" Target="/teams/HawaiiInventory/Shared%20Documents/Project%20Year%203%20-%202024/Inventory%20Spreadsheets/Sector%20Spreadsheets%20Linked%207.25.24/Supporting%20Files%20-%20No%20Direct%20Links/IPPU/ODS%20Substitutes%20BY22_AR5_3-15-2024_FR.xlsx?83D7FA17" TargetMode="External"/><Relationship Id="rId1" Type="http://schemas.openxmlformats.org/officeDocument/2006/relationships/externalLinkPath" Target="file:///\\83D7FA17\ODS%20Substitutes%20BY22_AR5_3-15-2024_FR.xlsx" TargetMode="External"/></Relationships>
</file>

<file path=xl/externalLinks/_rels/externalLink16.xml.rels><?xml version="1.0" encoding="UTF-8" standalone="yes"?>
<Relationships xmlns="http://schemas.openxmlformats.org/package/2006/relationships"><Relationship Id="rId2" Type="http://schemas.openxmlformats.org/officeDocument/2006/relationships/externalLinkPath" Target="https://icfonline.sharepoint.com/teams/HawaiiInventory/Shared%20Documents/Project%20Year%203%20-%202024/Inventory%20Spreadsheets/Supporting%20Files%20-%20No%20Direct%20Links/IPPU/ODS_mv1%202021.xlsx" TargetMode="External"/><Relationship Id="rId1" Type="http://schemas.openxmlformats.org/officeDocument/2006/relationships/externalLinkPath" Target="/teams/HawaiiInventory/Shared%20Documents/Project%20Year%203%20-%202024/Inventory%20Spreadsheets/Sector%20Spreadsheets%20Linked%207.25.24/Supporting%20Files%20-%20No%20Direct%20Links/IPPU/ODS_mv1%202021.xlsx" TargetMode="External"/></Relationships>
</file>

<file path=xl/externalLinks/_rels/externalLink17.xml.rels><?xml version="1.0" encoding="UTF-8" standalone="yes"?>
<Relationships xmlns="http://schemas.openxmlformats.org/package/2006/relationships"><Relationship Id="rId2" Type="http://schemas.openxmlformats.org/officeDocument/2006/relationships/externalLinkPath" Target="https://icfonline.sharepoint.com/teams/HawaiiInventory/Shared%20Documents/Project%20Year%203%20-%202024/Inventory%20Spreadsheets/Supporting%20Files%20-%20No%20Direct%20Links/IPPU/ODS_mv1%202022.xlsx" TargetMode="External"/><Relationship Id="rId1" Type="http://schemas.openxmlformats.org/officeDocument/2006/relationships/externalLinkPath" Target="/teams/HawaiiInventory/Shared%20Documents/Project%20Year%203%20-%202024/Inventory%20Spreadsheets/Sector%20Spreadsheets%20Linked%207.25.24/Supporting%20Files%20-%20No%20Direct%20Links/IPPU/ODS_mv1%202022.xlsx" TargetMode="External"/></Relationships>
</file>

<file path=xl/externalLinks/_rels/externalLink18.xml.rels><?xml version="1.0" encoding="UTF-8" standalone="yes"?>
<Relationships xmlns="http://schemas.openxmlformats.org/package/2006/relationships"><Relationship Id="rId2" Type="http://schemas.openxmlformats.org/officeDocument/2006/relationships/externalLinkPath" Target="https://icfonline.sharepoint.com/teams/HawaiiInventory/Shared%20Documents/Project%20Year%203%20-%202024/Inventory%20Spreadsheets/Supporting%20Files%20-%20No%20Direct%20Links/IPPU/ODS_DBEDT%20table%2018.06.xlsx" TargetMode="External"/><Relationship Id="rId1" Type="http://schemas.openxmlformats.org/officeDocument/2006/relationships/externalLinkPath" Target="/teams/HawaiiInventory/Shared%20Documents/Project%20Year%203%20-%202024/Inventory%20Spreadsheets/Sector%20Spreadsheets%20Linked%207.25.24/Supporting%20Files%20-%20No%20Direct%20Links/IPPU/ODS_DBEDT%20table%2018.06.xlsx" TargetMode="External"/></Relationships>
</file>

<file path=xl/externalLinks/_rels/externalLink19.xml.rels><?xml version="1.0" encoding="UTF-8" standalone="yes"?>
<Relationships xmlns="http://schemas.openxmlformats.org/package/2006/relationships"><Relationship Id="rId3" Type="http://schemas.openxmlformats.org/officeDocument/2006/relationships/externalLinkPath" Target="https://icfonline.sharepoint.com/teams/HawaiiInventory/Shared%20Documents/Project%20Year%203%20-%202024/Inventory%20Spreadsheets/Supporting%20Files%20-%20Direct%20Links/DBEDT%20De%20Facto%20Population%20Data.xlsx" TargetMode="External"/><Relationship Id="rId2" Type="http://schemas.microsoft.com/office/2019/04/relationships/externalLinkLongPath" Target="/teams/HawaiiInventory/Shared%20Documents/Project%20Year%203%20-%202024/Inventory%20Spreadsheets/Sector%20Spreadsheets%20Linked%207.25.24/Supporting%20Files%20-%20Direct%20Links/DBEDT%20De%20Facto%20Population%20Data.xlsx?296D60E2" TargetMode="External"/><Relationship Id="rId1" Type="http://schemas.openxmlformats.org/officeDocument/2006/relationships/externalLinkPath" Target="file:///\\296D60E2\DBEDT%20De%20Facto%20Population%20Data.xlsx" TargetMode="External"/></Relationships>
</file>

<file path=xl/externalLinks/_rels/externalLink2.xml.rels><?xml version="1.0" encoding="UTF-8" standalone="yes"?>
<Relationships xmlns="http://schemas.openxmlformats.org/package/2006/relationships"><Relationship Id="rId2" Type="http://schemas.openxmlformats.org/officeDocument/2006/relationships/externalLinkPath" Target="https://icfonline.sharepoint.com/teams/HawaiiInventory/Shared%20Documents/Project%20Year%202/Inventory%20Spreadsheets/2019%20Inventory%20-%20Final/IPPU_2019%20Inventory.xlsx" TargetMode="External"/><Relationship Id="rId1" Type="http://schemas.openxmlformats.org/officeDocument/2006/relationships/externalLinkPath" Target="/teams/HawaiiInventory/Shared%20Documents/Project%20Year%202/Inventory%20Spreadsheets/2019%20Inventory%20-%20Final/IPPU_2019%20Inventory.xlsx" TargetMode="External"/></Relationships>
</file>

<file path=xl/externalLinks/_rels/externalLink20.xml.rels><?xml version="1.0" encoding="UTF-8" standalone="yes"?>
<Relationships xmlns="http://schemas.openxmlformats.org/package/2006/relationships"><Relationship Id="rId2" Type="http://schemas.openxmlformats.org/officeDocument/2006/relationships/externalLinkPath" Target="https://icfonline.sharepoint.com/teams/HawaiiInventory/Shared%20Documents/Project%20Year%203%20-%202024/Inventory%20Spreadsheets/Supporting%20Files%20-%20No%20Direct%20Links/IPPU/ODS_DBEDT%20table%2018.07.xlsx" TargetMode="External"/><Relationship Id="rId1" Type="http://schemas.openxmlformats.org/officeDocument/2006/relationships/externalLinkPath" Target="/teams/HawaiiInventory/Shared%20Documents/Project%20Year%203%20-%202024/Inventory%20Spreadsheets/Sector%20Spreadsheets%20Linked%207.25.24/Supporting%20Files%20-%20No%20Direct%20Links/IPPU/ODS_DBEDT%20table%2018.07.xlsx" TargetMode="External"/></Relationships>
</file>

<file path=xl/externalLinks/_rels/externalLink21.xml.rels><?xml version="1.0" encoding="UTF-8" standalone="yes"?>
<Relationships xmlns="http://schemas.openxmlformats.org/package/2006/relationships"><Relationship Id="rId2" Type="http://schemas.openxmlformats.org/officeDocument/2006/relationships/externalLinkPath" Target="https://icfonline.sharepoint.com/teams/HawaiiInventory/Shared%20Documents/Project%20Year%203%20-%202024/Inventory%20Spreadsheets/Supporting%20Files%20-%20Direct%20Links/Climate%20Zone%20Populations.xlsx" TargetMode="External"/><Relationship Id="rId1" Type="http://schemas.openxmlformats.org/officeDocument/2006/relationships/externalLinkPath" Target="/teams/HawaiiInventory/Shared%20Documents/Project%20Year%203%20-%202024/Inventory%20Spreadsheets/Sector%20Spreadsheets%20Linked%207.25.24/Supporting%20Files%20-%20Direct%20Links/Climate%20Zone%20Populations.xlsx" TargetMode="External"/></Relationships>
</file>

<file path=xl/externalLinks/_rels/externalLink22.xml.rels><?xml version="1.0" encoding="UTF-8" standalone="yes"?>
<Relationships xmlns="http://schemas.openxmlformats.org/package/2006/relationships"><Relationship Id="rId2" Type="http://schemas.openxmlformats.org/officeDocument/2006/relationships/externalLinkPath" Target="https://icfonline.sharepoint.com/teams/HawaiiInventory/Shared%20Documents/Project%20Year%202/Inventory%20Spreadsheets/IPPU_2021%20Inventory.xlsx" TargetMode="External"/><Relationship Id="rId1" Type="http://schemas.openxmlformats.org/officeDocument/2006/relationships/externalLinkPath" Target="/teams/HawaiiInventory/Shared%20Documents/Project%20Year%202/Inventory%20Spreadsheets/IPPU_2021%20Inventory.xlsx" TargetMode="External"/></Relationships>
</file>

<file path=xl/externalLinks/_rels/externalLink3.xml.rels><?xml version="1.0" encoding="UTF-8" standalone="yes"?>
<Relationships xmlns="http://schemas.openxmlformats.org/package/2006/relationships"><Relationship Id="rId3" Type="http://schemas.openxmlformats.org/officeDocument/2006/relationships/externalLinkPath" Target="https://icfonline.sharepoint.com/teams/HawaiiInventory/Shared%20Documents/Project%20Year%203%20-%202024/Inventory%20Spreadsheets/Supporting%20Files%20-%20No%20Direct%20Links/IPPU/Table%2017.10%20Electric%20Utilities,%20by%20Island%202019.xlsx" TargetMode="External"/><Relationship Id="rId2" Type="http://schemas.microsoft.com/office/2019/04/relationships/externalLinkLongPath" Target="/teams/HawaiiInventory/Shared%20Documents/Project%20Year%203%20-%202024/Inventory%20Spreadsheets/Sector%20Spreadsheets%20Linked%207.25.24/Supporting%20Files%20-%20No%20Direct%20Links/IPPU/Table%2017.10%20Electric%20Utilities,%20by%20Island%202019.xlsx?83D7FA17" TargetMode="External"/><Relationship Id="rId1" Type="http://schemas.openxmlformats.org/officeDocument/2006/relationships/externalLinkPath" Target="file:///\\83D7FA17\Table%2017.10%20Electric%20Utilities,%20by%20Island%202019.xlsx" TargetMode="External"/></Relationships>
</file>

<file path=xl/externalLinks/_rels/externalLink4.xml.rels><?xml version="1.0" encoding="UTF-8" standalone="yes"?>
<Relationships xmlns="http://schemas.openxmlformats.org/package/2006/relationships"><Relationship Id="rId3" Type="http://schemas.openxmlformats.org/officeDocument/2006/relationships/externalLinkPath" Target="https://icfonline.sharepoint.com/teams/HawaiiInventory/Shared%20Documents/Project%20Year%203%20-%202024/Inventory%20Spreadsheets/Supporting%20Files%20-%20No%20Direct%20Links/IPPU/Table%2017.10%20Electric%20Utilities,%20by%20Island%202020.xlsx" TargetMode="External"/><Relationship Id="rId2" Type="http://schemas.microsoft.com/office/2019/04/relationships/externalLinkLongPath" Target="/teams/HawaiiInventory/Shared%20Documents/Project%20Year%203%20-%202024/Inventory%20Spreadsheets/Sector%20Spreadsheets%20Linked%207.25.24/Supporting%20Files%20-%20No%20Direct%20Links/IPPU/Table%2017.10%20Electric%20Utilities,%20by%20Island%202020.xlsx?83D7FA17" TargetMode="External"/><Relationship Id="rId1" Type="http://schemas.openxmlformats.org/officeDocument/2006/relationships/externalLinkPath" Target="file:///\\83D7FA17\Table%2017.10%20Electric%20Utilities,%20by%20Island%202020.xlsx" TargetMode="External"/></Relationships>
</file>

<file path=xl/externalLinks/_rels/externalLink5.xml.rels><?xml version="1.0" encoding="UTF-8" standalone="yes"?>
<Relationships xmlns="http://schemas.openxmlformats.org/package/2006/relationships"><Relationship Id="rId3" Type="http://schemas.openxmlformats.org/officeDocument/2006/relationships/externalLinkPath" Target="https://icfonline.sharepoint.com/teams/HawaiiInventory/Shared%20Documents/Project%20Year%203%20-%202024/Inventory%20Spreadsheets/Supporting%20Files%20-%20No%20Direct%20Links/IPPU/Table%2017.10%20Electric%20Utilities,%20by%20Island%202021.xlsx" TargetMode="External"/><Relationship Id="rId2" Type="http://schemas.microsoft.com/office/2019/04/relationships/externalLinkLongPath" Target="/teams/HawaiiInventory/Shared%20Documents/Project%20Year%203%20-%202024/Inventory%20Spreadsheets/Sector%20Spreadsheets%20Linked%207.25.24/Supporting%20Files%20-%20No%20Direct%20Links/IPPU/Table%2017.10%20Electric%20Utilities,%20by%20Island%202021.xlsx?83D7FA17" TargetMode="External"/><Relationship Id="rId1" Type="http://schemas.openxmlformats.org/officeDocument/2006/relationships/externalLinkPath" Target="file:///\\83D7FA17\Table%2017.10%20Electric%20Utilities,%20by%20Island%202021.xlsx" TargetMode="External"/></Relationships>
</file>

<file path=xl/externalLinks/_rels/externalLink6.xml.rels><?xml version="1.0" encoding="UTF-8" standalone="yes"?>
<Relationships xmlns="http://schemas.openxmlformats.org/package/2006/relationships"><Relationship Id="rId3" Type="http://schemas.openxmlformats.org/officeDocument/2006/relationships/externalLinkPath" Target="https://icfonline.sharepoint.com/teams/HawaiiInventory/Shared%20Documents/Project%20Year%203%20-%202024/Inventory%20Spreadsheets/Supporting%20Files%20-%20No%20Direct%20Links/IPPU/Table%2017.10%20Electric%20Utilities,%20by%20Island%202022.xls" TargetMode="External"/><Relationship Id="rId2" Type="http://schemas.microsoft.com/office/2019/04/relationships/externalLinkLongPath" Target="/teams/HawaiiInventory/Shared%20Documents/Project%20Year%203%20-%202024/Inventory%20Spreadsheets/Sector%20Spreadsheets%20Linked%207.25.24/Supporting%20Files%20-%20No%20Direct%20Links/IPPU/Table%2017.10%20Electric%20Utilities,%20by%20Island%202022.xls?83D7FA17" TargetMode="External"/><Relationship Id="rId1" Type="http://schemas.openxmlformats.org/officeDocument/2006/relationships/externalLinkPath" Target="file:///\\83D7FA17\Table%2017.10%20Electric%20Utilities,%20by%20Island%202022.xls" TargetMode="External"/></Relationships>
</file>

<file path=xl/externalLinks/_rels/externalLink7.xml.rels><?xml version="1.0" encoding="UTF-8" standalone="yes"?>
<Relationships xmlns="http://schemas.openxmlformats.org/package/2006/relationships"><Relationship Id="rId3" Type="http://schemas.openxmlformats.org/officeDocument/2006/relationships/externalLinkPath" Target="https://icfonline.sharepoint.com/teams/HawaiiInventory/Shared%20Documents/Project%20Year%203%20-%202024/Inventory%20Spreadsheets/Supporting%20Files%20-%20No%20Direct%20Links/IPPU/ETD_DBEDT%20State%20of%20HI%20Table%2017.09.xlsx" TargetMode="External"/><Relationship Id="rId2" Type="http://schemas.microsoft.com/office/2019/04/relationships/externalLinkLongPath" Target="/teams/HawaiiInventory/Shared%20Documents/Project%20Year%203%20-%202024/Inventory%20Spreadsheets/Sector%20Spreadsheets%20Linked%207.25.24/Supporting%20Files%20-%20No%20Direct%20Links/IPPU/ETD_DBEDT%20State%20of%20HI%20Table%2017.09.xlsx?83D7FA17" TargetMode="External"/><Relationship Id="rId1" Type="http://schemas.openxmlformats.org/officeDocument/2006/relationships/externalLinkPath" Target="file:///\\83D7FA17\ETD_DBEDT%20State%20of%20HI%20Table%2017.09.xlsx" TargetMode="External"/></Relationships>
</file>

<file path=xl/externalLinks/_rels/externalLink8.xml.rels><?xml version="1.0" encoding="UTF-8" standalone="yes"?>
<Relationships xmlns="http://schemas.openxmlformats.org/package/2006/relationships"><Relationship Id="rId3" Type="http://schemas.openxmlformats.org/officeDocument/2006/relationships/externalLinkPath" Target="https://icfonline.sharepoint.com/teams/HawaiiInventory/Shared%20Documents/Project%20Year%203%20-%202024/Inventory%20Spreadsheets/Supporting%20Files%20-%20No%20Direct%20Links/IPPU/ETD_EIA%20HS861%20Electricity%20Sales%20by%20State%202010-2022.xlsx" TargetMode="External"/><Relationship Id="rId2" Type="http://schemas.microsoft.com/office/2019/04/relationships/externalLinkLongPath" Target="/teams/HawaiiInventory/Shared%20Documents/Project%20Year%203%20-%202024/Inventory%20Spreadsheets/Sector%20Spreadsheets%20Linked%207.25.24/Supporting%20Files%20-%20No%20Direct%20Links/IPPU/ETD_EIA%20HS861%20Electricity%20Sales%20by%20State%202010-2022.xlsx?83D7FA17" TargetMode="External"/><Relationship Id="rId1" Type="http://schemas.openxmlformats.org/officeDocument/2006/relationships/externalLinkPath" Target="file:///\\83D7FA17\ETD_EIA%20HS861%20Electricity%20Sales%20by%20State%202010-2022.xlsx" TargetMode="External"/></Relationships>
</file>

<file path=xl/externalLinks/_rels/externalLink9.xml.rels><?xml version="1.0" encoding="UTF-8" standalone="yes"?>
<Relationships xmlns="http://schemas.openxmlformats.org/package/2006/relationships"><Relationship Id="rId2" Type="http://schemas.openxmlformats.org/officeDocument/2006/relationships/externalLinkPath" Target="file:///C:\Users\52271\ICF\Hawaii%20Inventory%20-%20Documents\Project%20Year%203%20-%202024\Inventory%20Spreadsheets\Supporting%20Files%20-%20No%20Direct%20Links\IPPU\ETD_SF6%20and%20CF4%20from%20ETD_%20US%20Inventory%20Table%204-129.csv" TargetMode="External"/><Relationship Id="rId1" Type="http://schemas.openxmlformats.org/officeDocument/2006/relationships/externalLinkPath" Target="file:///C:\Users\52271\ICF\Hawaii%20Inventory%20-%20Documents\Project%20Year%203%20-%202024\Inventory%20Spreadsheets\Supporting%20Files%20-%20No%20Direct%20Links\IPPU\ETD_SF6%20and%20CF4%20from%20ETD_%20US%20Inventory%20Table%204-129.csv"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Contents"/>
      <sheetName val="IPPU Summary"/>
      <sheetName val="2019-2021 Comparison"/>
      <sheetName val="IPPU Summary_old format"/>
      <sheetName val="Summary by Island"/>
      <sheetName val="IPPU Summary by County"/>
      <sheetName val="Cement"/>
      <sheetName val="ODS Subs"/>
      <sheetName val="Electrical T&amp;D"/>
      <sheetName val="Cement Data"/>
      <sheetName val="Electrical T&amp;D Data"/>
      <sheetName val="ODS Subs Data"/>
      <sheetName val="ODS Emissions"/>
      <sheetName val="ODS and Subs"/>
      <sheetName val="TSD Values"/>
      <sheetName val="Conversions_Constants"/>
      <sheetName val="Unc_Inputs"/>
      <sheetName val="Uncertainty Results"/>
      <sheetName val="RiskTemplate_IPPU"/>
    </sheetNames>
    <sheetDataSet>
      <sheetData sheetId="0"/>
      <sheetData sheetId="1"/>
      <sheetData sheetId="2"/>
      <sheetData sheetId="3">
        <row r="6">
          <cell r="B6">
            <v>0.10146173274</v>
          </cell>
          <cell r="C6">
            <v>0</v>
          </cell>
          <cell r="D6">
            <v>0</v>
          </cell>
          <cell r="E6">
            <v>0</v>
          </cell>
          <cell r="F6">
            <v>0</v>
          </cell>
          <cell r="G6">
            <v>0.10146173274</v>
          </cell>
          <cell r="H6">
            <v>0</v>
          </cell>
          <cell r="I6">
            <v>0</v>
          </cell>
          <cell r="J6">
            <v>0</v>
          </cell>
          <cell r="K6">
            <v>0</v>
          </cell>
          <cell r="L6">
            <v>0</v>
          </cell>
          <cell r="M6">
            <v>0</v>
          </cell>
          <cell r="N6">
            <v>0</v>
          </cell>
          <cell r="O6">
            <v>0</v>
          </cell>
          <cell r="P6">
            <v>0</v>
          </cell>
          <cell r="Q6">
            <v>0</v>
          </cell>
          <cell r="R6">
            <v>0</v>
          </cell>
          <cell r="S6">
            <v>0</v>
          </cell>
          <cell r="T6">
            <v>0</v>
          </cell>
          <cell r="U6">
            <v>0</v>
          </cell>
          <cell r="V6">
            <v>0</v>
          </cell>
          <cell r="W6">
            <v>0</v>
          </cell>
          <cell r="X6">
            <v>0</v>
          </cell>
          <cell r="Y6">
            <v>0</v>
          </cell>
          <cell r="Z6">
            <v>0</v>
          </cell>
          <cell r="AA6">
            <v>0</v>
          </cell>
          <cell r="AB6">
            <v>0</v>
          </cell>
          <cell r="AC6">
            <v>0</v>
          </cell>
          <cell r="AD6">
            <v>0</v>
          </cell>
          <cell r="AE6">
            <v>0</v>
          </cell>
          <cell r="AF6">
            <v>0</v>
          </cell>
          <cell r="AG6">
            <v>0</v>
          </cell>
          <cell r="AH6">
            <v>0</v>
          </cell>
          <cell r="AI6">
            <v>0</v>
          </cell>
          <cell r="AJ6">
            <v>0</v>
          </cell>
          <cell r="AK6">
            <v>0</v>
          </cell>
          <cell r="AL6">
            <v>0</v>
          </cell>
          <cell r="AM6">
            <v>0</v>
          </cell>
          <cell r="AN6">
            <v>0</v>
          </cell>
          <cell r="AO6">
            <v>0</v>
          </cell>
          <cell r="AP6">
            <v>0</v>
          </cell>
          <cell r="AQ6">
            <v>0</v>
          </cell>
          <cell r="AR6">
            <v>0</v>
          </cell>
          <cell r="AS6">
            <v>0</v>
          </cell>
          <cell r="AT6">
            <v>0</v>
          </cell>
          <cell r="AU6">
            <v>0</v>
          </cell>
          <cell r="AV6">
            <v>0</v>
          </cell>
          <cell r="AW6">
            <v>0</v>
          </cell>
          <cell r="AX6">
            <v>0</v>
          </cell>
          <cell r="AY6">
            <v>0</v>
          </cell>
          <cell r="AZ6">
            <v>0</v>
          </cell>
          <cell r="BA6">
            <v>0</v>
          </cell>
          <cell r="BB6">
            <v>0</v>
          </cell>
          <cell r="BC6">
            <v>0</v>
          </cell>
          <cell r="BD6">
            <v>0</v>
          </cell>
          <cell r="BE6">
            <v>0</v>
          </cell>
          <cell r="BF6">
            <v>0</v>
          </cell>
          <cell r="BG6">
            <v>0</v>
          </cell>
          <cell r="BH6">
            <v>0</v>
          </cell>
          <cell r="BI6">
            <v>0</v>
          </cell>
          <cell r="BJ6">
            <v>0</v>
          </cell>
          <cell r="BK6">
            <v>0</v>
          </cell>
          <cell r="BL6">
            <v>0</v>
          </cell>
          <cell r="BM6">
            <v>0</v>
          </cell>
          <cell r="BN6">
            <v>0</v>
          </cell>
          <cell r="BO6">
            <v>0</v>
          </cell>
        </row>
        <row r="7">
          <cell r="B7">
            <v>0</v>
          </cell>
          <cell r="C7">
            <v>0</v>
          </cell>
          <cell r="D7">
            <v>0</v>
          </cell>
          <cell r="E7">
            <v>0</v>
          </cell>
          <cell r="F7">
            <v>7.5674148266427654E-2</v>
          </cell>
          <cell r="G7">
            <v>7.5674148266427654E-2</v>
          </cell>
          <cell r="H7">
            <v>0</v>
          </cell>
          <cell r="I7">
            <v>0</v>
          </cell>
          <cell r="J7">
            <v>0</v>
          </cell>
          <cell r="K7">
            <v>5.7255581688282057E-6</v>
          </cell>
          <cell r="L7">
            <v>3.3961889520852204E-2</v>
          </cell>
          <cell r="M7">
            <v>3.3967615079021032E-2</v>
          </cell>
          <cell r="N7">
            <v>0</v>
          </cell>
          <cell r="O7">
            <v>0</v>
          </cell>
          <cell r="P7">
            <v>0</v>
          </cell>
          <cell r="Q7">
            <v>4.2876511488150488E-6</v>
          </cell>
          <cell r="R7">
            <v>2.8675653143600672E-2</v>
          </cell>
          <cell r="S7">
            <v>2.8679940794749486E-2</v>
          </cell>
          <cell r="T7">
            <v>0</v>
          </cell>
          <cell r="U7">
            <v>0</v>
          </cell>
          <cell r="V7">
            <v>0</v>
          </cell>
          <cell r="W7">
            <v>4.4200853925928085E-6</v>
          </cell>
          <cell r="X7">
            <v>2.0795981762102976E-2</v>
          </cell>
          <cell r="Y7">
            <v>2.080040184749557E-2</v>
          </cell>
          <cell r="Z7">
            <v>0</v>
          </cell>
          <cell r="AA7">
            <v>0</v>
          </cell>
          <cell r="AB7">
            <v>0</v>
          </cell>
          <cell r="AC7">
            <v>0</v>
          </cell>
          <cell r="AD7">
            <v>1.3237445160031301E-2</v>
          </cell>
          <cell r="AE7">
            <v>1.3237445160031301E-2</v>
          </cell>
          <cell r="AF7">
            <v>0</v>
          </cell>
          <cell r="AG7">
            <v>0</v>
          </cell>
          <cell r="AH7">
            <v>0</v>
          </cell>
          <cell r="AI7">
            <v>6.5441973643919945E-7</v>
          </cell>
          <cell r="AJ7">
            <v>1.3818163544288883E-2</v>
          </cell>
          <cell r="AK7">
            <v>1.3818817964025322E-2</v>
          </cell>
          <cell r="AL7">
            <v>0</v>
          </cell>
          <cell r="AM7">
            <v>0</v>
          </cell>
          <cell r="AN7">
            <v>0</v>
          </cell>
          <cell r="AO7">
            <v>1.6267198316705992E-7</v>
          </cell>
          <cell r="AP7">
            <v>1.3494496565103249E-2</v>
          </cell>
          <cell r="AQ7">
            <v>1.3494659237086416E-2</v>
          </cell>
          <cell r="AR7">
            <v>0</v>
          </cell>
          <cell r="AS7">
            <v>0</v>
          </cell>
          <cell r="AT7">
            <v>0</v>
          </cell>
          <cell r="AU7">
            <v>0</v>
          </cell>
          <cell r="AV7">
            <v>1.2315399133775868E-2</v>
          </cell>
          <cell r="AW7">
            <v>1.2315399133775868E-2</v>
          </cell>
          <cell r="AX7">
            <v>0</v>
          </cell>
          <cell r="AY7">
            <v>0</v>
          </cell>
          <cell r="AZ7">
            <v>0</v>
          </cell>
          <cell r="BA7">
            <v>9.6034938988022822E-7</v>
          </cell>
          <cell r="BB7">
            <v>1.4725362622629707E-2</v>
          </cell>
          <cell r="BC7">
            <v>1.4726322972019586E-2</v>
          </cell>
          <cell r="BD7">
            <v>0</v>
          </cell>
          <cell r="BE7">
            <v>0</v>
          </cell>
          <cell r="BF7">
            <v>0</v>
          </cell>
          <cell r="BG7">
            <v>3.0443962123040974E-7</v>
          </cell>
          <cell r="BH7">
            <v>1.3545651557810272E-2</v>
          </cell>
          <cell r="BI7">
            <v>1.3545955997431502E-2</v>
          </cell>
          <cell r="BJ7">
            <v>0</v>
          </cell>
          <cell r="BK7">
            <v>0</v>
          </cell>
          <cell r="BL7">
            <v>0</v>
          </cell>
          <cell r="BM7">
            <v>2.423882340860935E-6</v>
          </cell>
          <cell r="BN7">
            <v>1.3707317864610125E-2</v>
          </cell>
          <cell r="BO7">
            <v>1.3709741746950986E-2</v>
          </cell>
        </row>
        <row r="8">
          <cell r="B8">
            <v>7.0143562537338123E-8</v>
          </cell>
          <cell r="C8">
            <v>0</v>
          </cell>
          <cell r="D8">
            <v>0</v>
          </cell>
          <cell r="E8">
            <v>1.2848753228856368E-3</v>
          </cell>
          <cell r="F8">
            <v>0</v>
          </cell>
          <cell r="G8">
            <v>1.2849454664481742E-3</v>
          </cell>
          <cell r="H8">
            <v>6.1550647363962536E-6</v>
          </cell>
          <cell r="I8">
            <v>0</v>
          </cell>
          <cell r="J8">
            <v>0</v>
          </cell>
          <cell r="K8">
            <v>0.46188085761632791</v>
          </cell>
          <cell r="L8">
            <v>0</v>
          </cell>
          <cell r="M8">
            <v>0.4618870126810643</v>
          </cell>
          <cell r="N8">
            <v>6.8598336148391192E-6</v>
          </cell>
          <cell r="O8">
            <v>0</v>
          </cell>
          <cell r="P8">
            <v>0</v>
          </cell>
          <cell r="Q8">
            <v>0.52251660308547243</v>
          </cell>
          <cell r="R8">
            <v>0</v>
          </cell>
          <cell r="S8">
            <v>0.52252346291908724</v>
          </cell>
          <cell r="T8">
            <v>9.0288286713452195E-6</v>
          </cell>
          <cell r="U8">
            <v>0</v>
          </cell>
          <cell r="V8">
            <v>0</v>
          </cell>
          <cell r="W8">
            <v>0.65013490425947384</v>
          </cell>
          <cell r="X8">
            <v>0</v>
          </cell>
          <cell r="Y8">
            <v>0.65014393308814522</v>
          </cell>
          <cell r="Z8">
            <v>1.2728645101122317E-5</v>
          </cell>
          <cell r="AA8">
            <v>0</v>
          </cell>
          <cell r="AB8">
            <v>0</v>
          </cell>
          <cell r="AC8">
            <v>0.77811499177428534</v>
          </cell>
          <cell r="AD8">
            <v>0</v>
          </cell>
          <cell r="AE8">
            <v>0.77812772041938649</v>
          </cell>
          <cell r="AF8">
            <v>1.3599911797802899E-5</v>
          </cell>
          <cell r="AG8">
            <v>0</v>
          </cell>
          <cell r="AH8">
            <v>0</v>
          </cell>
          <cell r="AI8">
            <v>0.78424934882865316</v>
          </cell>
          <cell r="AJ8">
            <v>0</v>
          </cell>
          <cell r="AK8">
            <v>0.78426294874045099</v>
          </cell>
          <cell r="AL8">
            <v>1.4487723992869295E-5</v>
          </cell>
          <cell r="AM8">
            <v>0</v>
          </cell>
          <cell r="AN8">
            <v>0</v>
          </cell>
          <cell r="AO8">
            <v>0.78549377290247757</v>
          </cell>
          <cell r="AP8">
            <v>0</v>
          </cell>
          <cell r="AQ8">
            <v>0.78550826062647039</v>
          </cell>
          <cell r="AR8">
            <v>1.5543184445268104E-5</v>
          </cell>
          <cell r="AS8">
            <v>0</v>
          </cell>
          <cell r="AT8">
            <v>0</v>
          </cell>
          <cell r="AU8">
            <v>0.79298078128195493</v>
          </cell>
          <cell r="AV8">
            <v>0</v>
          </cell>
          <cell r="AW8">
            <v>0.79299632446640023</v>
          </cell>
          <cell r="AX8">
            <v>1.6540499738831155E-5</v>
          </cell>
          <cell r="AY8">
            <v>0</v>
          </cell>
          <cell r="AZ8">
            <v>0</v>
          </cell>
          <cell r="BA8">
            <v>0.81120481833714508</v>
          </cell>
          <cell r="BB8">
            <v>0</v>
          </cell>
          <cell r="BC8">
            <v>0.81122135883688395</v>
          </cell>
          <cell r="BD8">
            <v>1.5946795549441593E-5</v>
          </cell>
          <cell r="BE8">
            <v>0</v>
          </cell>
          <cell r="BF8">
            <v>0</v>
          </cell>
          <cell r="BG8">
            <v>0.75335278454030119</v>
          </cell>
          <cell r="BH8">
            <v>0</v>
          </cell>
          <cell r="BI8">
            <v>0.75336873133585058</v>
          </cell>
          <cell r="BJ8">
            <v>1.738648580879378E-5</v>
          </cell>
          <cell r="BK8">
            <v>0</v>
          </cell>
          <cell r="BL8">
            <v>0</v>
          </cell>
          <cell r="BM8">
            <v>0.80323964467648967</v>
          </cell>
          <cell r="BN8">
            <v>0</v>
          </cell>
          <cell r="BO8">
            <v>0.80325703116229852</v>
          </cell>
        </row>
        <row r="9">
          <cell r="B9">
            <v>0.10146180288356255</v>
          </cell>
          <cell r="C9">
            <v>0</v>
          </cell>
          <cell r="D9">
            <v>0</v>
          </cell>
          <cell r="E9">
            <v>1.2848753228856368E-3</v>
          </cell>
          <cell r="F9">
            <v>7.5674148266427654E-2</v>
          </cell>
          <cell r="G9">
            <v>0.17842082647287583</v>
          </cell>
          <cell r="H9">
            <v>6.1550647363962536E-6</v>
          </cell>
          <cell r="I9">
            <v>0</v>
          </cell>
          <cell r="J9">
            <v>0</v>
          </cell>
          <cell r="K9">
            <v>0.46188658317449671</v>
          </cell>
          <cell r="L9">
            <v>3.3961889520852204E-2</v>
          </cell>
          <cell r="M9">
            <v>0.49585462776008532</v>
          </cell>
          <cell r="N9">
            <v>6.8598336148391192E-6</v>
          </cell>
          <cell r="O9">
            <v>0</v>
          </cell>
          <cell r="P9">
            <v>0</v>
          </cell>
          <cell r="Q9">
            <v>0.52252089073662122</v>
          </cell>
          <cell r="R9">
            <v>2.8675653143600672E-2</v>
          </cell>
          <cell r="S9">
            <v>0.55120340371383669</v>
          </cell>
          <cell r="T9">
            <v>9.0288286713452195E-6</v>
          </cell>
          <cell r="U9">
            <v>0</v>
          </cell>
          <cell r="V9">
            <v>0</v>
          </cell>
          <cell r="W9">
            <v>0.65013932434486643</v>
          </cell>
          <cell r="X9">
            <v>2.0795981762102976E-2</v>
          </cell>
          <cell r="Y9">
            <v>0.67094433493564076</v>
          </cell>
          <cell r="Z9">
            <v>1.2728645101122317E-5</v>
          </cell>
          <cell r="AA9">
            <v>0</v>
          </cell>
          <cell r="AB9">
            <v>0</v>
          </cell>
          <cell r="AC9">
            <v>0.77811499177428534</v>
          </cell>
          <cell r="AD9">
            <v>1.3237445160031301E-2</v>
          </cell>
          <cell r="AE9">
            <v>0.79136516557941783</v>
          </cell>
          <cell r="AF9">
            <v>1.3599911797802899E-5</v>
          </cell>
          <cell r="AG9">
            <v>0</v>
          </cell>
          <cell r="AH9">
            <v>0</v>
          </cell>
          <cell r="AI9">
            <v>0.78425000324838956</v>
          </cell>
          <cell r="AJ9">
            <v>1.3818163544288883E-2</v>
          </cell>
          <cell r="AK9">
            <v>0.79808176670447628</v>
          </cell>
          <cell r="AL9">
            <v>1.4487723992869295E-5</v>
          </cell>
          <cell r="AM9">
            <v>0</v>
          </cell>
          <cell r="AN9">
            <v>0</v>
          </cell>
          <cell r="AO9">
            <v>0.78549393557446079</v>
          </cell>
          <cell r="AP9">
            <v>1.3494496565103249E-2</v>
          </cell>
          <cell r="AQ9">
            <v>0.79900291986355676</v>
          </cell>
          <cell r="AR9">
            <v>1.5543184445268104E-5</v>
          </cell>
          <cell r="AS9">
            <v>0</v>
          </cell>
          <cell r="AT9">
            <v>0</v>
          </cell>
          <cell r="AU9">
            <v>0.79298078128195493</v>
          </cell>
          <cell r="AV9">
            <v>1.2315399133775868E-2</v>
          </cell>
          <cell r="AW9">
            <v>0.80531172360017611</v>
          </cell>
          <cell r="AX9">
            <v>1.6540499738831155E-5</v>
          </cell>
          <cell r="AY9">
            <v>0</v>
          </cell>
          <cell r="AZ9">
            <v>0</v>
          </cell>
          <cell r="BA9">
            <v>0.81120577868653498</v>
          </cell>
          <cell r="BB9">
            <v>1.4725362622629707E-2</v>
          </cell>
          <cell r="BC9">
            <v>0.82594768180890354</v>
          </cell>
          <cell r="BD9">
            <v>1.5946795549441593E-5</v>
          </cell>
          <cell r="BE9">
            <v>0</v>
          </cell>
          <cell r="BF9">
            <v>0</v>
          </cell>
          <cell r="BG9">
            <v>0.75335308897992237</v>
          </cell>
          <cell r="BH9">
            <v>1.3545651557810272E-2</v>
          </cell>
          <cell r="BI9">
            <v>0.76691468733328205</v>
          </cell>
          <cell r="BJ9">
            <v>1.738648580879378E-5</v>
          </cell>
          <cell r="BK9">
            <v>0</v>
          </cell>
          <cell r="BL9">
            <v>0</v>
          </cell>
          <cell r="BM9">
            <v>0.80324206855883051</v>
          </cell>
          <cell r="BN9">
            <v>1.3707317864610125E-2</v>
          </cell>
          <cell r="BO9">
            <v>0.81696677290924946</v>
          </cell>
        </row>
      </sheetData>
      <sheetData sheetId="4"/>
      <sheetData sheetId="5"/>
      <sheetData sheetId="6"/>
      <sheetData sheetId="7">
        <row r="12">
          <cell r="D12">
            <v>0</v>
          </cell>
          <cell r="E12">
            <v>0.27935051743497025</v>
          </cell>
          <cell r="F12">
            <v>0.28178032131699904</v>
          </cell>
          <cell r="G12">
            <v>0.26668275661423402</v>
          </cell>
          <cell r="H12">
            <v>0.17486442868158744</v>
          </cell>
          <cell r="I12">
            <v>0.15677710252385943</v>
          </cell>
          <cell r="J12">
            <v>0.14160163182832683</v>
          </cell>
          <cell r="K12">
            <v>0.1324518030497269</v>
          </cell>
          <cell r="L12">
            <v>0.12307464500582109</v>
          </cell>
          <cell r="M12">
            <v>0.10999490688236994</v>
          </cell>
          <cell r="N12">
            <v>0.10002652220066968</v>
          </cell>
        </row>
        <row r="21">
          <cell r="D21">
            <v>8.8849595730171766E-5</v>
          </cell>
          <cell r="E21">
            <v>1.4080664362576418E-2</v>
          </cell>
          <cell r="F21">
            <v>2.4024844240566657E-2</v>
          </cell>
          <cell r="G21">
            <v>5.34855982569672E-2</v>
          </cell>
          <cell r="H21">
            <v>0.12858151994989353</v>
          </cell>
          <cell r="I21">
            <v>0.14362901996783167</v>
          </cell>
          <cell r="J21">
            <v>0.1579856798058315</v>
          </cell>
          <cell r="K21">
            <v>0.1735188687628556</v>
          </cell>
          <cell r="L21">
            <v>0.19035422311941477</v>
          </cell>
          <cell r="M21">
            <v>0.18620419167128804</v>
          </cell>
          <cell r="N21">
            <v>0.22544012386766804</v>
          </cell>
        </row>
        <row r="27">
          <cell r="D27">
            <v>1.1960958707180026E-3</v>
          </cell>
          <cell r="E27">
            <v>0.16845583088351751</v>
          </cell>
          <cell r="F27">
            <v>0.21671829736152151</v>
          </cell>
          <cell r="G27">
            <v>0.32997557821694368</v>
          </cell>
          <cell r="H27">
            <v>0.47468177178790555</v>
          </cell>
          <cell r="I27">
            <v>0.48385682624875981</v>
          </cell>
          <cell r="J27">
            <v>0.48592094899231209</v>
          </cell>
          <cell r="K27">
            <v>0.4870256526538177</v>
          </cell>
          <cell r="L27">
            <v>0.49779249071164827</v>
          </cell>
          <cell r="M27">
            <v>0.45716963278219308</v>
          </cell>
          <cell r="N27">
            <v>0.4777903850939606</v>
          </cell>
        </row>
      </sheetData>
      <sheetData sheetId="8"/>
      <sheetData sheetId="9"/>
      <sheetData sheetId="10"/>
      <sheetData sheetId="11"/>
      <sheetData sheetId="12"/>
      <sheetData sheetId="13"/>
      <sheetData sheetId="14"/>
      <sheetData sheetId="15"/>
      <sheetData sheetId="16"/>
      <sheetData sheetId="17"/>
      <sheetData sheetId="18"/>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Sheet1"/>
    </sheetNames>
    <sheetDataSet>
      <sheetData sheetId="0">
        <row r="1">
          <cell r="A1" t="str">
            <v>Year</v>
          </cell>
          <cell r="B1" t="str">
            <v>SF6 Emissions</v>
          </cell>
          <cell r="C1" t="str">
            <v>CF4 Emissions</v>
          </cell>
        </row>
        <row r="2">
          <cell r="A2">
            <v>1990</v>
          </cell>
          <cell r="B2">
            <v>1.0491439971851075</v>
          </cell>
          <cell r="C2">
            <v>1.3512584997373933E-4</v>
          </cell>
        </row>
        <row r="3">
          <cell r="A3">
            <v>1991</v>
          </cell>
          <cell r="B3">
            <v>1.0054607538520304</v>
          </cell>
          <cell r="C3">
            <v>1.3229550972407989E-4</v>
          </cell>
        </row>
        <row r="4">
          <cell r="A4">
            <v>1992</v>
          </cell>
          <cell r="B4">
            <v>1.0023167124816883</v>
          </cell>
          <cell r="C4">
            <v>1.9194635981025412E-4</v>
          </cell>
        </row>
        <row r="5">
          <cell r="A5">
            <v>1993</v>
          </cell>
          <cell r="B5">
            <v>0.971667474539059</v>
          </cell>
          <cell r="C5">
            <v>1.8827507712516935E-4</v>
          </cell>
        </row>
        <row r="6">
          <cell r="A6">
            <v>1994</v>
          </cell>
          <cell r="B6">
            <v>0.91524451738768176</v>
          </cell>
          <cell r="C6">
            <v>1.913812908998495E-4</v>
          </cell>
        </row>
        <row r="7">
          <cell r="A7">
            <v>1995</v>
          </cell>
          <cell r="B7">
            <v>0.84377898148495312</v>
          </cell>
          <cell r="C7">
            <v>2.2216977543169114E-4</v>
          </cell>
        </row>
        <row r="8">
          <cell r="A8">
            <v>1996</v>
          </cell>
          <cell r="B8">
            <v>0.77159841290759301</v>
          </cell>
          <cell r="C8">
            <v>1.824012468600396E-4</v>
          </cell>
        </row>
        <row r="9">
          <cell r="A9">
            <v>1997</v>
          </cell>
          <cell r="B9">
            <v>0.70733265087125496</v>
          </cell>
          <cell r="C9">
            <v>1.3454856935800176E-4</v>
          </cell>
        </row>
        <row r="10">
          <cell r="A10">
            <v>1998</v>
          </cell>
          <cell r="B10">
            <v>0.60160579545836113</v>
          </cell>
          <cell r="C10">
            <v>1.4943408308130385E-4</v>
          </cell>
        </row>
        <row r="11">
          <cell r="A11">
            <v>1999</v>
          </cell>
          <cell r="B11">
            <v>0.6155458426054744</v>
          </cell>
          <cell r="C11">
            <v>2.5305817391625663E-4</v>
          </cell>
        </row>
        <row r="12">
          <cell r="A12">
            <v>2000</v>
          </cell>
          <cell r="B12">
            <v>0.59521821230233962</v>
          </cell>
          <cell r="C12">
            <v>2.8105073300437695E-4</v>
          </cell>
        </row>
        <row r="13">
          <cell r="A13">
            <v>2001</v>
          </cell>
          <cell r="B13">
            <v>0.58341273008569783</v>
          </cell>
          <cell r="C13">
            <v>2.4342336767372563E-4</v>
          </cell>
        </row>
        <row r="14">
          <cell r="A14">
            <v>2002</v>
          </cell>
          <cell r="B14">
            <v>0.5518333110966438</v>
          </cell>
          <cell r="C14">
            <v>3.2862337510019131E-4</v>
          </cell>
        </row>
        <row r="15">
          <cell r="A15">
            <v>2003</v>
          </cell>
          <cell r="B15">
            <v>0.53164950065689542</v>
          </cell>
          <cell r="C15">
            <v>2.513504956776161E-4</v>
          </cell>
        </row>
        <row r="16">
          <cell r="A16">
            <v>2004</v>
          </cell>
          <cell r="B16">
            <v>0.51736361880839232</v>
          </cell>
          <cell r="C16">
            <v>2.4457965805249339E-4</v>
          </cell>
        </row>
        <row r="17">
          <cell r="A17">
            <v>2005</v>
          </cell>
          <cell r="B17">
            <v>0.50419395004216461</v>
          </cell>
          <cell r="C17">
            <v>2.8886702658017648E-4</v>
          </cell>
        </row>
        <row r="18">
          <cell r="A18">
            <v>2006</v>
          </cell>
          <cell r="B18">
            <v>0.46706182235492005</v>
          </cell>
          <cell r="C18">
            <v>2.8544884583361836E-4</v>
          </cell>
        </row>
        <row r="19">
          <cell r="A19">
            <v>2007</v>
          </cell>
          <cell r="B19">
            <v>0.43472108029097989</v>
          </cell>
          <cell r="C19">
            <v>2.2254338430071258E-4</v>
          </cell>
        </row>
        <row r="20">
          <cell r="A20">
            <v>2008</v>
          </cell>
          <cell r="B20">
            <v>0.43282495269260696</v>
          </cell>
          <cell r="C20">
            <v>3.6201262379361739E-4</v>
          </cell>
        </row>
        <row r="21">
          <cell r="A21">
            <v>2009</v>
          </cell>
          <cell r="B21">
            <v>0.38309030855703452</v>
          </cell>
          <cell r="C21">
            <v>1.8272135672263483E-4</v>
          </cell>
        </row>
        <row r="22">
          <cell r="A22">
            <v>2010</v>
          </cell>
          <cell r="B22">
            <v>0.33079898675001562</v>
          </cell>
          <cell r="C22">
            <v>2.3561196297292589E-4</v>
          </cell>
        </row>
        <row r="23">
          <cell r="A23">
            <v>2011</v>
          </cell>
          <cell r="B23">
            <v>0.30128750906563873</v>
          </cell>
          <cell r="C23">
            <v>7.1199999999999996E-5</v>
          </cell>
        </row>
        <row r="24">
          <cell r="A24">
            <v>2012</v>
          </cell>
          <cell r="B24">
            <v>0.25884927558613696</v>
          </cell>
          <cell r="C24">
            <v>2.4719999999999999E-4</v>
          </cell>
        </row>
        <row r="25">
          <cell r="A25">
            <v>2013</v>
          </cell>
          <cell r="B25">
            <v>0.25006959216664315</v>
          </cell>
          <cell r="C25">
            <v>3.4000000000000001E-6</v>
          </cell>
        </row>
        <row r="26">
          <cell r="A26">
            <v>2014</v>
          </cell>
          <cell r="B26">
            <v>0.25555850401706198</v>
          </cell>
          <cell r="C26">
            <v>1.183E-4</v>
          </cell>
        </row>
        <row r="27">
          <cell r="A27">
            <v>2015</v>
          </cell>
          <cell r="B27">
            <v>0.22480962596719126</v>
          </cell>
          <cell r="C27">
            <v>0</v>
          </cell>
        </row>
        <row r="28">
          <cell r="A28">
            <v>2016</v>
          </cell>
          <cell r="B28">
            <v>0.23129587923176156</v>
          </cell>
          <cell r="C28">
            <v>4.2900000000000006E-5</v>
          </cell>
        </row>
        <row r="29">
          <cell r="A29">
            <v>2017</v>
          </cell>
          <cell r="B29">
            <v>0.22699064394799623</v>
          </cell>
          <cell r="C29">
            <v>1.1800000000000001E-5</v>
          </cell>
        </row>
        <row r="30">
          <cell r="A30">
            <v>2018</v>
          </cell>
          <cell r="B30">
            <v>0.21283857114286811</v>
          </cell>
          <cell r="C30">
            <v>0</v>
          </cell>
        </row>
        <row r="31">
          <cell r="A31">
            <v>2019</v>
          </cell>
          <cell r="B31">
            <v>0.258255268221314</v>
          </cell>
          <cell r="C31">
            <v>6.4200000000000002E-5</v>
          </cell>
        </row>
        <row r="32">
          <cell r="A32">
            <v>2020</v>
          </cell>
          <cell r="B32">
            <v>0.25020982336199388</v>
          </cell>
          <cell r="C32">
            <v>1.77E-5</v>
          </cell>
        </row>
        <row r="33">
          <cell r="A33">
            <v>2021</v>
          </cell>
          <cell r="B33">
            <v>0.25524879762873226</v>
          </cell>
          <cell r="C33">
            <v>1.7826000000000002E-5</v>
          </cell>
        </row>
        <row r="34">
          <cell r="A34">
            <v>2022</v>
          </cell>
          <cell r="B34">
            <v>0.2161014144836077</v>
          </cell>
          <cell r="C34">
            <v>1.111E-6</v>
          </cell>
        </row>
      </sheetData>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ODS_us-est90int-07"/>
    </sheetNames>
    <sheetDataSet>
      <sheetData sheetId="0">
        <row r="312">
          <cell r="C312">
            <v>249622814</v>
          </cell>
        </row>
        <row r="1549">
          <cell r="C1549">
            <v>252980941</v>
          </cell>
        </row>
        <row r="2786">
          <cell r="C2786">
            <v>256514224</v>
          </cell>
        </row>
        <row r="4023">
          <cell r="C4023">
            <v>259918588</v>
          </cell>
        </row>
        <row r="5260">
          <cell r="C5260">
            <v>263125821</v>
          </cell>
        </row>
        <row r="6497">
          <cell r="C6497">
            <v>266278393</v>
          </cell>
        </row>
        <row r="7734">
          <cell r="C7734">
            <v>269394284</v>
          </cell>
        </row>
        <row r="8971">
          <cell r="C8971">
            <v>272646925</v>
          </cell>
        </row>
        <row r="10208">
          <cell r="C10208">
            <v>275854104</v>
          </cell>
        </row>
        <row r="11445">
          <cell r="C11445">
            <v>279040168</v>
          </cell>
        </row>
      </sheetData>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US-EST00INT-02"/>
    </sheetNames>
    <sheetDataSet>
      <sheetData sheetId="0">
        <row r="5">
          <cell r="C5">
            <v>282162411</v>
          </cell>
          <cell r="D5">
            <v>284968955</v>
          </cell>
          <cell r="E5">
            <v>287625193</v>
          </cell>
          <cell r="F5">
            <v>290107933</v>
          </cell>
          <cell r="G5">
            <v>292805298</v>
          </cell>
          <cell r="H5">
            <v>295516599</v>
          </cell>
          <cell r="I5">
            <v>298379912</v>
          </cell>
          <cell r="J5">
            <v>301231207</v>
          </cell>
          <cell r="K5">
            <v>304093966</v>
          </cell>
          <cell r="L5">
            <v>306771529</v>
          </cell>
        </row>
      </sheetData>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NST01"/>
    </sheetNames>
    <sheetDataSet>
      <sheetData sheetId="0">
        <row r="5">
          <cell r="D5">
            <v>309327143</v>
          </cell>
          <cell r="E5">
            <v>311583481</v>
          </cell>
          <cell r="F5">
            <v>313877662</v>
          </cell>
          <cell r="G5">
            <v>316059947</v>
          </cell>
          <cell r="H5">
            <v>318386329</v>
          </cell>
          <cell r="I5">
            <v>320738994</v>
          </cell>
          <cell r="J5">
            <v>323071755</v>
          </cell>
          <cell r="K5">
            <v>325122128</v>
          </cell>
          <cell r="L5">
            <v>326838199</v>
          </cell>
          <cell r="M5">
            <v>328329953</v>
          </cell>
        </row>
      </sheetData>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NC-EST2022-SR11H"/>
    </sheetNames>
    <sheetDataSet>
      <sheetData sheetId="0">
        <row r="5">
          <cell r="C5">
            <v>331511512</v>
          </cell>
          <cell r="D5">
            <v>332031554</v>
          </cell>
          <cell r="E5">
            <v>333287557</v>
          </cell>
        </row>
      </sheetData>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driveId="b!CstED6iED0KPgJlGH1b-3PArZ6nBQfRNvmFLNLT6IAYev1favuiKQpj2YdLpHEyu" itemId="014NKQ7BVTQA2BYYGKJZCIDOMLB54LJ3BV">
      <xxl21:absoluteUrl r:id="rId3"/>
    </xxl21:alternateUrls>
    <sheetNames>
      <sheetName val="Summary"/>
      <sheetName val="Top End-uses"/>
      <sheetName val="InvDB"/>
      <sheetName val="GHGRP and Virgin Manufacture"/>
      <sheetName val="Transport"/>
      <sheetName val="Emissions By Sector"/>
      <sheetName val="Bank"/>
      <sheetName val="ODS"/>
      <sheetName val="Breakdown for layman"/>
      <sheetName val="For EIA"/>
      <sheetName val="Annex 6 Climate Carbon Feedback"/>
      <sheetName val="CRF Reporter Input"/>
      <sheetName val="ODS Uncertainty"/>
      <sheetName val="VM Emissions (MT)"/>
      <sheetName val="Sector Subtotals (Tg CO2 Eq)"/>
      <sheetName val="Sector Subtotals (for InvDB)"/>
      <sheetName val="VM (Tg CO2 Eq)"/>
      <sheetName val="VM (Tg CO2 Eq) for Breakdown"/>
      <sheetName val="CBI Concerns"/>
      <sheetName val="VM Consumption (MT)"/>
      <sheetName val="VM Virgin Manu (MT)"/>
      <sheetName val="VM Stocks by Chem (MT)"/>
      <sheetName val="GWPs"/>
      <sheetName val="Lists"/>
      <sheetName val="MyMacros"/>
    </sheetNames>
    <sheetDataSet>
      <sheetData sheetId="0">
        <row r="7">
          <cell r="C7">
            <v>0</v>
          </cell>
          <cell r="D7">
            <v>0</v>
          </cell>
          <cell r="E7">
            <v>0</v>
          </cell>
          <cell r="F7">
            <v>0</v>
          </cell>
          <cell r="G7">
            <v>0</v>
          </cell>
          <cell r="H7">
            <v>4.9600000000000002E-4</v>
          </cell>
          <cell r="I7">
            <v>1.116E-3</v>
          </cell>
          <cell r="J7">
            <v>2.1080000000000001E-3</v>
          </cell>
          <cell r="K7">
            <v>3.1000000000000003E-3</v>
          </cell>
          <cell r="L7">
            <v>4.4640000000000001E-3</v>
          </cell>
          <cell r="M7">
            <v>5.8279999999999998E-3</v>
          </cell>
          <cell r="N7">
            <v>7.0680000000000005E-3</v>
          </cell>
          <cell r="O7">
            <v>8.1840000000000003E-3</v>
          </cell>
          <cell r="P7">
            <v>9.0519999999999993E-3</v>
          </cell>
          <cell r="Q7">
            <v>9.92E-3</v>
          </cell>
          <cell r="R7">
            <v>1.0912E-2</v>
          </cell>
          <cell r="S7">
            <v>1.1779999999999999E-2</v>
          </cell>
          <cell r="T7">
            <v>1.2772E-2</v>
          </cell>
          <cell r="U7">
            <v>1.3640000000000003E-2</v>
          </cell>
          <cell r="V7">
            <v>1.4632000000000001E-2</v>
          </cell>
          <cell r="W7">
            <v>1.5748000000000002E-2</v>
          </cell>
          <cell r="X7">
            <v>1.6740000000000001E-2</v>
          </cell>
          <cell r="Y7">
            <v>1.7979999999999999E-2</v>
          </cell>
          <cell r="Z7">
            <v>1.9095999999999998E-2</v>
          </cell>
          <cell r="AA7">
            <v>2.0336E-2</v>
          </cell>
          <cell r="AB7">
            <v>2.1699999999999997E-2</v>
          </cell>
          <cell r="AC7">
            <v>2.3063999999999998E-2</v>
          </cell>
          <cell r="AD7">
            <v>2.4552000000000001E-2</v>
          </cell>
          <cell r="AE7">
            <v>2.6040000000000001E-2</v>
          </cell>
          <cell r="AF7">
            <v>2.7651999999999999E-2</v>
          </cell>
          <cell r="AG7">
            <v>2.8892000000000001E-2</v>
          </cell>
          <cell r="AH7">
            <v>3.0008E-2</v>
          </cell>
          <cell r="AI7">
            <v>3.1123999999999999E-2</v>
          </cell>
        </row>
        <row r="8">
          <cell r="C8">
            <v>0</v>
          </cell>
          <cell r="D8">
            <v>0</v>
          </cell>
          <cell r="E8">
            <v>0</v>
          </cell>
          <cell r="F8">
            <v>0</v>
          </cell>
          <cell r="G8">
            <v>0</v>
          </cell>
          <cell r="H8">
            <v>0</v>
          </cell>
          <cell r="I8">
            <v>2.7756999999999999E-4</v>
          </cell>
          <cell r="J8">
            <v>7.8531999999999994E-4</v>
          </cell>
          <cell r="K8">
            <v>1.668805E-3</v>
          </cell>
          <cell r="L8">
            <v>3.2292900000000005E-3</v>
          </cell>
          <cell r="M8">
            <v>1.4852432200000001E-2</v>
          </cell>
          <cell r="N8">
            <v>3.6958851700000003E-2</v>
          </cell>
          <cell r="O8">
            <v>7.2061640199999999E-2</v>
          </cell>
          <cell r="P8">
            <v>0.11921557029999999</v>
          </cell>
          <cell r="Q8">
            <v>0.18154553860000003</v>
          </cell>
          <cell r="R8">
            <v>0.26898516610000006</v>
          </cell>
          <cell r="S8">
            <v>0.43625006670000005</v>
          </cell>
          <cell r="T8">
            <v>0.62499597419999986</v>
          </cell>
          <cell r="U8">
            <v>0.82286025929999984</v>
          </cell>
          <cell r="V8">
            <v>1.0577584076999997</v>
          </cell>
          <cell r="W8">
            <v>1.4722024398000002</v>
          </cell>
          <cell r="X8">
            <v>1.8929634911999997</v>
          </cell>
          <cell r="Y8">
            <v>2.3471526362000001</v>
          </cell>
          <cell r="Z8">
            <v>2.8574548585000001</v>
          </cell>
          <cell r="AA8">
            <v>3.4090271362000006</v>
          </cell>
          <cell r="AB8">
            <v>3.9822211690999998</v>
          </cell>
          <cell r="AC8">
            <v>4.6350615439999991</v>
          </cell>
          <cell r="AD8">
            <v>5.3449594111999996</v>
          </cell>
          <cell r="AE8">
            <v>6.0981443198999985</v>
          </cell>
          <cell r="AF8">
            <v>6.8752982037300008</v>
          </cell>
          <cell r="AG8">
            <v>7.7587980097199987</v>
          </cell>
          <cell r="AH8">
            <v>9.4495942850600017</v>
          </cell>
          <cell r="AI8">
            <v>10.54928939006</v>
          </cell>
        </row>
        <row r="9">
          <cell r="C9">
            <v>1.2553200000000003E-4</v>
          </cell>
          <cell r="D9">
            <v>3.0685599999999999E-4</v>
          </cell>
          <cell r="E9">
            <v>5.8581600000000007E-4</v>
          </cell>
          <cell r="F9">
            <v>0.10884543699999999</v>
          </cell>
          <cell r="G9">
            <v>0.28822844600000003</v>
          </cell>
          <cell r="H9">
            <v>0.60855916499999985</v>
          </cell>
          <cell r="I9">
            <v>1.0327802939999997</v>
          </cell>
          <cell r="J9">
            <v>1.5899578799999998</v>
          </cell>
          <cell r="K9">
            <v>2.0752579349999998</v>
          </cell>
          <cell r="L9">
            <v>2.7131481590000002</v>
          </cell>
          <cell r="M9">
            <v>3.2360098610000003</v>
          </cell>
          <cell r="N9">
            <v>3.9214440620000004</v>
          </cell>
          <cell r="O9">
            <v>4.7384364330000004</v>
          </cell>
          <cell r="P9">
            <v>5.6319259760000007</v>
          </cell>
          <cell r="Q9">
            <v>6.543824976999999</v>
          </cell>
          <cell r="R9">
            <v>8.1800022177999985</v>
          </cell>
          <cell r="S9">
            <v>10.275461643499998</v>
          </cell>
          <cell r="T9">
            <v>12.9914744681</v>
          </cell>
          <cell r="U9">
            <v>15.904414381400002</v>
          </cell>
          <cell r="V9">
            <v>19.164602307900005</v>
          </cell>
          <cell r="W9">
            <v>22.9078388603</v>
          </cell>
          <cell r="X9">
            <v>26.500647310499993</v>
          </cell>
          <cell r="Y9">
            <v>29.773168597500003</v>
          </cell>
          <cell r="Z9">
            <v>33.102782852499999</v>
          </cell>
          <cell r="AA9">
            <v>36.3601703693</v>
          </cell>
          <cell r="AB9">
            <v>39.429553047699997</v>
          </cell>
          <cell r="AC9">
            <v>42.649111496300002</v>
          </cell>
          <cell r="AD9">
            <v>45.555883160200004</v>
          </cell>
          <cell r="AE9">
            <v>48.837412128999993</v>
          </cell>
          <cell r="AF9">
            <v>53.130985375700028</v>
          </cell>
          <cell r="AG9">
            <v>57.8209205868</v>
          </cell>
          <cell r="AH9">
            <v>66.280008463400009</v>
          </cell>
          <cell r="AI9">
            <v>71.970131201399994</v>
          </cell>
        </row>
        <row r="10">
          <cell r="C10">
            <v>4.6799999999999992E-6</v>
          </cell>
          <cell r="D10">
            <v>1.1439999999999999E-5</v>
          </cell>
          <cell r="E10">
            <v>1.0926198400000002</v>
          </cell>
          <cell r="F10">
            <v>4.7192641600000007</v>
          </cell>
          <cell r="G10">
            <v>12.190226359999997</v>
          </cell>
          <cell r="H10">
            <v>26.267544679999997</v>
          </cell>
          <cell r="I10">
            <v>35.553810759999998</v>
          </cell>
          <cell r="J10">
            <v>44.600364250000005</v>
          </cell>
          <cell r="K10">
            <v>50.441291810000003</v>
          </cell>
          <cell r="L10">
            <v>56.665955189999984</v>
          </cell>
          <cell r="M10">
            <v>62.329689890000033</v>
          </cell>
          <cell r="N10">
            <v>67.20710892999999</v>
          </cell>
          <cell r="O10">
            <v>69.384314870000026</v>
          </cell>
          <cell r="P10">
            <v>70.952757200000008</v>
          </cell>
          <cell r="Q10">
            <v>72.272589869999976</v>
          </cell>
          <cell r="R10">
            <v>72.837901630000005</v>
          </cell>
          <cell r="S10">
            <v>74.701890835</v>
          </cell>
          <cell r="T10">
            <v>76.47305412499999</v>
          </cell>
          <cell r="U10">
            <v>78.553679619999997</v>
          </cell>
          <cell r="V10">
            <v>80.955556565000023</v>
          </cell>
          <cell r="W10">
            <v>81.016010205000001</v>
          </cell>
          <cell r="X10">
            <v>77.14897742499997</v>
          </cell>
          <cell r="Y10">
            <v>73.241725635000009</v>
          </cell>
          <cell r="Z10">
            <v>69.164755075000031</v>
          </cell>
          <cell r="AA10">
            <v>67.678928784999982</v>
          </cell>
          <cell r="AB10">
            <v>66.533415845000007</v>
          </cell>
          <cell r="AC10">
            <v>62.838620714999983</v>
          </cell>
          <cell r="AD10">
            <v>58.842611749999996</v>
          </cell>
          <cell r="AE10">
            <v>56.445197639999996</v>
          </cell>
          <cell r="AF10">
            <v>55.325938602999983</v>
          </cell>
          <cell r="AG10">
            <v>54.066426231999984</v>
          </cell>
          <cell r="AH10">
            <v>49.981457785999979</v>
          </cell>
          <cell r="AI10">
            <v>48.316806356000001</v>
          </cell>
        </row>
        <row r="11">
          <cell r="C11">
            <v>2.2464000000000002E-4</v>
          </cell>
          <cell r="D11">
            <v>5.4912000000000006E-4</v>
          </cell>
          <cell r="E11">
            <v>1.0483200000000002E-3</v>
          </cell>
          <cell r="F11">
            <v>7.841184000000001E-2</v>
          </cell>
          <cell r="G11">
            <v>0.21753311999999997</v>
          </cell>
          <cell r="H11">
            <v>0.54125279999999998</v>
          </cell>
          <cell r="I11">
            <v>1.00370688</v>
          </cell>
          <cell r="J11">
            <v>1.6558176000000002</v>
          </cell>
          <cell r="K11">
            <v>2.3929488000000001</v>
          </cell>
          <cell r="L11">
            <v>3.4081996800000001</v>
          </cell>
          <cell r="M11">
            <v>4.1873299199999998</v>
          </cell>
          <cell r="N11">
            <v>5.1551270400000009</v>
          </cell>
          <cell r="O11">
            <v>6.2337273599999987</v>
          </cell>
          <cell r="P11">
            <v>7.3408819200000028</v>
          </cell>
          <cell r="Q11">
            <v>8.3460422400000009</v>
          </cell>
          <cell r="R11">
            <v>10.047108480000002</v>
          </cell>
          <cell r="S11">
            <v>11.90343552</v>
          </cell>
          <cell r="T11">
            <v>14.009003519999998</v>
          </cell>
          <cell r="U11">
            <v>16.404173759999995</v>
          </cell>
          <cell r="V11">
            <v>19.153464000000003</v>
          </cell>
          <cell r="W11">
            <v>21.707222399999999</v>
          </cell>
          <cell r="X11">
            <v>23.962344000000002</v>
          </cell>
          <cell r="Y11">
            <v>25.902632640000011</v>
          </cell>
          <cell r="Z11">
            <v>27.577655039999993</v>
          </cell>
          <cell r="AA11">
            <v>28.836270719999995</v>
          </cell>
          <cell r="AB11">
            <v>29.655021120000011</v>
          </cell>
          <cell r="AC11">
            <v>30.335327039999999</v>
          </cell>
          <cell r="AD11">
            <v>30.069006720000004</v>
          </cell>
          <cell r="AE11">
            <v>29.704506239999997</v>
          </cell>
          <cell r="AF11">
            <v>29.901741120000008</v>
          </cell>
          <cell r="AG11">
            <v>29.921515200000005</v>
          </cell>
          <cell r="AH11">
            <v>29.950957440000003</v>
          </cell>
          <cell r="AI11">
            <v>29.775922560000001</v>
          </cell>
        </row>
        <row r="12">
          <cell r="C12">
            <v>0</v>
          </cell>
          <cell r="D12">
            <v>0</v>
          </cell>
          <cell r="E12">
            <v>0</v>
          </cell>
          <cell r="F12">
            <v>5.81126E-2</v>
          </cell>
          <cell r="G12">
            <v>0.17562740000000002</v>
          </cell>
          <cell r="H12">
            <v>0.29185260000000002</v>
          </cell>
          <cell r="I12">
            <v>0.36439260000000001</v>
          </cell>
          <cell r="J12">
            <v>0.44757180000000002</v>
          </cell>
          <cell r="K12">
            <v>0.53566760000000013</v>
          </cell>
          <cell r="L12">
            <v>0.62964719999999996</v>
          </cell>
          <cell r="M12">
            <v>0.71871020000000008</v>
          </cell>
          <cell r="N12">
            <v>0.80277599999999993</v>
          </cell>
          <cell r="O12">
            <v>0.88184459999999987</v>
          </cell>
          <cell r="P12">
            <v>0.94551859999999999</v>
          </cell>
          <cell r="Q12">
            <v>0.99315319999999985</v>
          </cell>
          <cell r="R12">
            <v>1.0239423999999999</v>
          </cell>
          <cell r="S12">
            <v>1.0489284000000001</v>
          </cell>
          <cell r="T12">
            <v>1.0678693999999997</v>
          </cell>
          <cell r="U12">
            <v>1.0808460000000002</v>
          </cell>
          <cell r="V12">
            <v>1.0879388000000003</v>
          </cell>
          <cell r="W12">
            <v>1.0954345999999999</v>
          </cell>
          <cell r="X12">
            <v>1.1032527999999999</v>
          </cell>
          <cell r="Y12">
            <v>1.1112321999999999</v>
          </cell>
          <cell r="Z12">
            <v>1.1332360000000001</v>
          </cell>
          <cell r="AA12">
            <v>1.0997064000000001</v>
          </cell>
          <cell r="AB12">
            <v>0.99258900000000005</v>
          </cell>
          <cell r="AC12">
            <v>0.92947919999999995</v>
          </cell>
          <cell r="AD12">
            <v>0.86636939999999973</v>
          </cell>
          <cell r="AE12">
            <v>0.79745640000000007</v>
          </cell>
          <cell r="AF12">
            <v>0.73458840000000003</v>
          </cell>
          <cell r="AG12">
            <v>0.67808779999999991</v>
          </cell>
          <cell r="AH12">
            <v>0.62771279999999996</v>
          </cell>
          <cell r="AI12">
            <v>0.58362459999999994</v>
          </cell>
        </row>
        <row r="13">
          <cell r="C13">
            <v>0</v>
          </cell>
          <cell r="D13">
            <v>0</v>
          </cell>
          <cell r="E13">
            <v>0</v>
          </cell>
          <cell r="F13">
            <v>0</v>
          </cell>
          <cell r="G13">
            <v>2.3867999999999999E-5</v>
          </cell>
          <cell r="H13">
            <v>7.6907999999999989E-5</v>
          </cell>
          <cell r="I13">
            <v>6.9747600000000004E-4</v>
          </cell>
          <cell r="J13">
            <v>1.9200480000000002E-3</v>
          </cell>
          <cell r="K13">
            <v>3.7844039999999999E-3</v>
          </cell>
          <cell r="L13">
            <v>6.3223680000000001E-3</v>
          </cell>
          <cell r="M13">
            <v>9.5525040000000016E-3</v>
          </cell>
          <cell r="N13">
            <v>1.2854243999999999E-2</v>
          </cell>
          <cell r="O13">
            <v>1.5689232000000001E-2</v>
          </cell>
          <cell r="P13">
            <v>1.8020339999999999E-2</v>
          </cell>
          <cell r="Q13">
            <v>1.9821048000000001E-2</v>
          </cell>
          <cell r="R13">
            <v>2.1054228000000001E-2</v>
          </cell>
          <cell r="S13">
            <v>2.1688056000000001E-2</v>
          </cell>
          <cell r="T13">
            <v>2.2337796000000004E-2</v>
          </cell>
          <cell r="U13">
            <v>2.3008752E-2</v>
          </cell>
          <cell r="V13">
            <v>2.3698272000000003E-2</v>
          </cell>
          <cell r="W13">
            <v>2.4409008000000003E-2</v>
          </cell>
          <cell r="X13">
            <v>2.5140959999999997E-2</v>
          </cell>
          <cell r="Y13">
            <v>2.5896779999999998E-2</v>
          </cell>
          <cell r="Z13">
            <v>2.6673815999999999E-2</v>
          </cell>
          <cell r="AA13">
            <v>2.7472068000000002E-2</v>
          </cell>
          <cell r="AB13">
            <v>2.8296839999999997E-2</v>
          </cell>
          <cell r="AC13">
            <v>2.9145479999999998E-2</v>
          </cell>
          <cell r="AD13">
            <v>3.0020640000000008E-2</v>
          </cell>
          <cell r="AE13">
            <v>3.0919668000000004E-2</v>
          </cell>
          <cell r="AF13">
            <v>3.1847867999999994E-2</v>
          </cell>
          <cell r="AG13">
            <v>2.9596319999999995E-2</v>
          </cell>
          <cell r="AH13">
            <v>2.7278471999999998E-2</v>
          </cell>
          <cell r="AI13">
            <v>2.4889020000000001E-2</v>
          </cell>
        </row>
        <row r="14">
          <cell r="C14">
            <v>1.38E-5</v>
          </cell>
          <cell r="D14">
            <v>2.211E-5</v>
          </cell>
          <cell r="E14">
            <v>3.074E-5</v>
          </cell>
          <cell r="F14">
            <v>3.9719999999999999E-5</v>
          </cell>
          <cell r="G14">
            <v>4.9030000000000003E-5</v>
          </cell>
          <cell r="H14">
            <v>1.2290000000000001E-4</v>
          </cell>
          <cell r="I14">
            <v>2.3609E-4</v>
          </cell>
          <cell r="J14">
            <v>3.5386E-4</v>
          </cell>
          <cell r="K14">
            <v>4.7645000000000001E-4</v>
          </cell>
          <cell r="L14">
            <v>6.2036000000000003E-4</v>
          </cell>
          <cell r="M14">
            <v>6.7773999999999992E-4</v>
          </cell>
          <cell r="N14">
            <v>7.1274999999999984E-4</v>
          </cell>
          <cell r="O14">
            <v>9.2742499999999995E-4</v>
          </cell>
          <cell r="P14">
            <v>1.1751599999999997E-3</v>
          </cell>
          <cell r="Q14">
            <v>1.24927E-3</v>
          </cell>
          <cell r="R14">
            <v>1.3245750000000001E-3</v>
          </cell>
          <cell r="S14">
            <v>1.4029599999999998E-3</v>
          </cell>
          <cell r="T14">
            <v>1.4840249999999997E-3</v>
          </cell>
          <cell r="U14">
            <v>1.5682449999999998E-3</v>
          </cell>
          <cell r="V14">
            <v>1.725405E-3</v>
          </cell>
          <cell r="W14">
            <v>1.9132050000000001E-3</v>
          </cell>
          <cell r="X14">
            <v>2.038485E-3</v>
          </cell>
          <cell r="Y14">
            <v>2.13583E-3</v>
          </cell>
          <cell r="Z14">
            <v>2.2524850000000003E-3</v>
          </cell>
          <cell r="AA14">
            <v>2.3847949999999999E-3</v>
          </cell>
          <cell r="AB14">
            <v>2.5192350000000007E-3</v>
          </cell>
          <cell r="AC14">
            <v>2.7010700000000003E-3</v>
          </cell>
          <cell r="AD14">
            <v>2.8791400000000001E-3</v>
          </cell>
          <cell r="AE14">
            <v>3.0927049999999998E-3</v>
          </cell>
          <cell r="AF14">
            <v>3.3028500000000004E-3</v>
          </cell>
          <cell r="AG14">
            <v>3.5160850000000004E-3</v>
          </cell>
          <cell r="AH14">
            <v>3.7336650000000002E-3</v>
          </cell>
          <cell r="AI14">
            <v>3.9694649999999993E-3</v>
          </cell>
        </row>
        <row r="15">
          <cell r="C15">
            <v>0.25243070400000006</v>
          </cell>
          <cell r="D15">
            <v>0.5310365304000001</v>
          </cell>
          <cell r="E15">
            <v>0.53543078159999991</v>
          </cell>
          <cell r="F15">
            <v>0.54546035939999993</v>
          </cell>
          <cell r="G15">
            <v>0.58783667519999994</v>
          </cell>
          <cell r="H15">
            <v>1.2837470378</v>
          </cell>
          <cell r="I15">
            <v>2.0879091042</v>
          </cell>
          <cell r="J15">
            <v>2.6038224286</v>
          </cell>
          <cell r="K15">
            <v>3.3090350904000001</v>
          </cell>
          <cell r="L15">
            <v>3.5148943190000002</v>
          </cell>
          <cell r="M15">
            <v>3.6732082500000001</v>
          </cell>
          <cell r="N15">
            <v>3.9766089547999997</v>
          </cell>
          <cell r="O15">
            <v>4.9297426953999999</v>
          </cell>
          <cell r="P15">
            <v>6.0075979125999996</v>
          </cell>
          <cell r="Q15">
            <v>6.4692092029999992</v>
          </cell>
          <cell r="R15">
            <v>6.9472688303999997</v>
          </cell>
          <cell r="S15">
            <v>7.3338047598000005</v>
          </cell>
          <cell r="T15">
            <v>7.8027805016</v>
          </cell>
          <cell r="U15">
            <v>8.2418063545999996</v>
          </cell>
          <cell r="V15">
            <v>8.8708733893999998</v>
          </cell>
          <cell r="W15">
            <v>9.5352241245999991</v>
          </cell>
          <cell r="X15">
            <v>10.2042032554</v>
          </cell>
          <cell r="Y15">
            <v>10.866988122400002</v>
          </cell>
          <cell r="Z15">
            <v>11.536397540600001</v>
          </cell>
          <cell r="AA15">
            <v>12.157125357999998</v>
          </cell>
          <cell r="AB15">
            <v>13.4201309032</v>
          </cell>
          <cell r="AC15">
            <v>14.385797227399998</v>
          </cell>
          <cell r="AD15">
            <v>15.439239928600001</v>
          </cell>
          <cell r="AE15">
            <v>15.9196615006</v>
          </cell>
          <cell r="AF15">
            <v>16.035811512599999</v>
          </cell>
          <cell r="AG15">
            <v>15.883547291599999</v>
          </cell>
          <cell r="AH15">
            <v>16.280208774400002</v>
          </cell>
          <cell r="AI15">
            <v>16.835684741400001</v>
          </cell>
        </row>
        <row r="16">
          <cell r="C16">
            <v>0</v>
          </cell>
          <cell r="D16">
            <v>0</v>
          </cell>
          <cell r="E16">
            <v>0</v>
          </cell>
          <cell r="F16">
            <v>0</v>
          </cell>
          <cell r="G16">
            <v>9.2000000000000014E-5</v>
          </cell>
          <cell r="H16">
            <v>0.45132829999999996</v>
          </cell>
          <cell r="I16">
            <v>1.0884479</v>
          </cell>
          <cell r="J16">
            <v>1.2831062</v>
          </cell>
          <cell r="K16">
            <v>1.3115994999999998</v>
          </cell>
          <cell r="L16">
            <v>1.3416585000000001</v>
          </cell>
          <cell r="M16">
            <v>1.0666692000000002</v>
          </cell>
          <cell r="N16">
            <v>0.77996019999999999</v>
          </cell>
          <cell r="O16">
            <v>0.48095199999999999</v>
          </cell>
          <cell r="P16">
            <v>0.16613399999999998</v>
          </cell>
          <cell r="Q16">
            <v>0.16906070000000001</v>
          </cell>
          <cell r="R16">
            <v>0.14200850000000001</v>
          </cell>
          <cell r="S16">
            <v>0.1137698</v>
          </cell>
          <cell r="T16">
            <v>8.4502800000000003E-2</v>
          </cell>
          <cell r="U16">
            <v>5.397020000000001E-2</v>
          </cell>
          <cell r="V16">
            <v>2.2172000000000001E-2</v>
          </cell>
          <cell r="W16">
            <v>2.2172000000000001E-2</v>
          </cell>
          <cell r="X16">
            <v>2.2172000000000001E-2</v>
          </cell>
          <cell r="Y16">
            <v>2.2256190000000002E-2</v>
          </cell>
          <cell r="Z16">
            <v>2.2351960000000001E-2</v>
          </cell>
          <cell r="AA16">
            <v>2.2459340000000001E-2</v>
          </cell>
          <cell r="AB16">
            <v>2.2597260000000001E-2</v>
          </cell>
          <cell r="AC16">
            <v>2.48962078E-2</v>
          </cell>
          <cell r="AD16">
            <v>2.7872681140000001E-2</v>
          </cell>
          <cell r="AE16">
            <v>3.1325807980000002E-2</v>
          </cell>
          <cell r="AF16">
            <v>3.4084458050000002E-2</v>
          </cell>
          <cell r="AG16">
            <v>3.746786798E-2</v>
          </cell>
          <cell r="AH16">
            <v>4.0178248979999998E-2</v>
          </cell>
          <cell r="AI16">
            <v>4.2625697559999995E-2</v>
          </cell>
        </row>
      </sheetData>
      <sheetData sheetId="1"/>
      <sheetData sheetId="2"/>
      <sheetData sheetId="3"/>
      <sheetData sheetId="4"/>
      <sheetData sheetId="5">
        <row r="23">
          <cell r="E23">
            <v>1.5686376000000002E-2</v>
          </cell>
          <cell r="F23">
            <v>1.6567786399999999E-2</v>
          </cell>
          <cell r="G23">
            <v>1.1101602976000002</v>
          </cell>
          <cell r="H23">
            <v>4.9860007564000002</v>
          </cell>
          <cell r="I23">
            <v>12.130623001200002</v>
          </cell>
          <cell r="J23">
            <v>19.493634222799997</v>
          </cell>
          <cell r="K23">
            <v>28.476012948200001</v>
          </cell>
          <cell r="L23">
            <v>38.04995109859999</v>
          </cell>
          <cell r="M23">
            <v>45.161246480399981</v>
          </cell>
          <cell r="N23">
            <v>52.746965398000007</v>
          </cell>
          <cell r="O23">
            <v>59.611468953200017</v>
          </cell>
          <cell r="P23">
            <v>66.665392158500026</v>
          </cell>
          <cell r="Q23">
            <v>70.917181465600009</v>
          </cell>
          <cell r="R23">
            <v>74.617168761499997</v>
          </cell>
          <cell r="S23">
            <v>78.446198795999976</v>
          </cell>
          <cell r="T23">
            <v>82.96822783209997</v>
          </cell>
          <cell r="U23">
            <v>88.156203900799994</v>
          </cell>
          <cell r="V23">
            <v>94.056506492099984</v>
          </cell>
          <cell r="W23">
            <v>100.83883494750002</v>
          </cell>
          <cell r="X23">
            <v>106.94703378440001</v>
          </cell>
          <cell r="Y23">
            <v>110.9499576819</v>
          </cell>
          <cell r="Z23">
            <v>112.13300793010002</v>
          </cell>
          <cell r="AA23">
            <v>112.9713834649</v>
          </cell>
          <cell r="AB23">
            <v>113.46988146860001</v>
          </cell>
          <cell r="AC23">
            <v>116.03106687389999</v>
          </cell>
          <cell r="AD23">
            <v>118.26218228120001</v>
          </cell>
          <cell r="AE23">
            <v>120.01812245929999</v>
          </cell>
          <cell r="AF23">
            <v>120.44246303993999</v>
          </cell>
          <cell r="AG23">
            <v>122.66735110308001</v>
          </cell>
          <cell r="AH23">
            <v>126.46976433048</v>
          </cell>
          <cell r="AI23">
            <v>130.6130534779</v>
          </cell>
          <cell r="AJ23">
            <v>139.54607588764</v>
          </cell>
          <cell r="AK23">
            <v>144.63695415622001</v>
          </cell>
        </row>
        <row r="24">
          <cell r="E24">
            <v>3.5485200000000001E-4</v>
          </cell>
          <cell r="F24">
            <v>8.6741599999999998E-4</v>
          </cell>
          <cell r="G24">
            <v>1.6559760000000002E-3</v>
          </cell>
          <cell r="H24">
            <v>0.17245977839999999</v>
          </cell>
          <cell r="I24">
            <v>0.4404489236000001</v>
          </cell>
          <cell r="J24">
            <v>0.99391101019999983</v>
          </cell>
          <cell r="K24">
            <v>1.7642774196</v>
          </cell>
          <cell r="L24">
            <v>2.8466232605999999</v>
          </cell>
          <cell r="M24">
            <v>3.9257958640000004</v>
          </cell>
          <cell r="N24">
            <v>5.3771843758000006</v>
          </cell>
          <cell r="O24">
            <v>6.4495815498000004</v>
          </cell>
          <cell r="P24">
            <v>7.7806932217999991</v>
          </cell>
          <cell r="Q24">
            <v>9.2788555118000016</v>
          </cell>
          <cell r="R24">
            <v>10.836920749000001</v>
          </cell>
          <cell r="S24">
            <v>12.196451125799998</v>
          </cell>
          <cell r="T24">
            <v>14.911281637</v>
          </cell>
          <cell r="U24">
            <v>17.902115425899996</v>
          </cell>
          <cell r="V24">
            <v>21.707624149499999</v>
          </cell>
          <cell r="W24">
            <v>26.084144765599994</v>
          </cell>
          <cell r="X24">
            <v>30.417299368900004</v>
          </cell>
          <cell r="Y24">
            <v>33.813455308099996</v>
          </cell>
          <cell r="Z24">
            <v>36.831862295699999</v>
          </cell>
          <cell r="AA24">
            <v>38.989917940700003</v>
          </cell>
          <cell r="AB24">
            <v>40.712925770699997</v>
          </cell>
          <cell r="AC24">
            <v>41.864566935500001</v>
          </cell>
          <cell r="AD24">
            <v>42.285370507300001</v>
          </cell>
          <cell r="AE24">
            <v>42.224178664100009</v>
          </cell>
          <cell r="AF24">
            <v>40.779425525599997</v>
          </cell>
          <cell r="AG24">
            <v>39.615968019400007</v>
          </cell>
          <cell r="AH24">
            <v>40.198307665320009</v>
          </cell>
          <cell r="AI24">
            <v>40.559641347879996</v>
          </cell>
          <cell r="AJ24">
            <v>41.005681563039992</v>
          </cell>
          <cell r="AK24">
            <v>41.437950579039992</v>
          </cell>
        </row>
        <row r="25">
          <cell r="E25">
            <v>0</v>
          </cell>
          <cell r="F25">
            <v>0</v>
          </cell>
          <cell r="G25">
            <v>0</v>
          </cell>
          <cell r="H25">
            <v>0</v>
          </cell>
          <cell r="I25">
            <v>8.6449999999999999E-3</v>
          </cell>
          <cell r="J25">
            <v>2.4205999999999995E-2</v>
          </cell>
          <cell r="K25">
            <v>3.8441000000000003E-2</v>
          </cell>
          <cell r="L25">
            <v>5.2559000000000002E-2</v>
          </cell>
          <cell r="M25">
            <v>6.8548999999999999E-2</v>
          </cell>
          <cell r="N25">
            <v>8.5448999999999997E-2</v>
          </cell>
          <cell r="O25">
            <v>0.102232</v>
          </cell>
          <cell r="P25">
            <v>0.119639</v>
          </cell>
          <cell r="Q25">
            <v>0.13833300000000001</v>
          </cell>
          <cell r="R25">
            <v>0.15722199999999997</v>
          </cell>
          <cell r="S25">
            <v>0.17772299999999999</v>
          </cell>
          <cell r="T25">
            <v>0.19345300000000001</v>
          </cell>
          <cell r="U25">
            <v>0.20900099999999999</v>
          </cell>
          <cell r="V25">
            <v>0.223275</v>
          </cell>
          <cell r="W25">
            <v>0.58320600000000011</v>
          </cell>
          <cell r="X25">
            <v>0.94081000000000015</v>
          </cell>
          <cell r="Y25">
            <v>0.96352100000000007</v>
          </cell>
          <cell r="Z25">
            <v>0.96133699999999989</v>
          </cell>
          <cell r="AA25">
            <v>1.0355540000000001</v>
          </cell>
          <cell r="AB25">
            <v>1.0851489999999999</v>
          </cell>
          <cell r="AC25">
            <v>1.0884119999999997</v>
          </cell>
          <cell r="AD25">
            <v>1.1104860000000001</v>
          </cell>
          <cell r="AE25">
            <v>1.164293</v>
          </cell>
          <cell r="AF25">
            <v>1.179087</v>
          </cell>
          <cell r="AG25">
            <v>1.2411490000000001</v>
          </cell>
          <cell r="AH25">
            <v>1.2270829999999999</v>
          </cell>
          <cell r="AI25">
            <v>1.2060230000000001</v>
          </cell>
          <cell r="AJ25">
            <v>1.1252121829999999</v>
          </cell>
          <cell r="AK25">
            <v>1.0356177724</v>
          </cell>
        </row>
        <row r="26">
          <cell r="E26">
            <v>0</v>
          </cell>
          <cell r="F26">
            <v>0</v>
          </cell>
          <cell r="G26">
            <v>1.3351E-2</v>
          </cell>
          <cell r="H26">
            <v>4.378978E-2</v>
          </cell>
          <cell r="I26">
            <v>0.10045913200000001</v>
          </cell>
          <cell r="J26">
            <v>0.17560456659999998</v>
          </cell>
          <cell r="K26">
            <v>0.27554165619999993</v>
          </cell>
          <cell r="L26">
            <v>0.38702619839999997</v>
          </cell>
          <cell r="M26">
            <v>0.51150081659999991</v>
          </cell>
          <cell r="N26">
            <v>0.65075887840000002</v>
          </cell>
          <cell r="O26">
            <v>0.80539678819999994</v>
          </cell>
          <cell r="P26">
            <v>0.97531691119999997</v>
          </cell>
          <cell r="Q26">
            <v>1.1612376672</v>
          </cell>
          <cell r="R26">
            <v>1.3638610192000002</v>
          </cell>
          <cell r="S26">
            <v>1.5840653412000001</v>
          </cell>
          <cell r="T26">
            <v>1.8095575652000002</v>
          </cell>
          <cell r="U26">
            <v>2.0536844211999998</v>
          </cell>
          <cell r="V26">
            <v>2.3173321262000002</v>
          </cell>
          <cell r="W26">
            <v>2.6012857102</v>
          </cell>
          <cell r="X26">
            <v>3.5158841362000004</v>
          </cell>
          <cell r="Y26">
            <v>4.6042419071999996</v>
          </cell>
          <cell r="Z26">
            <v>5.6729048901999999</v>
          </cell>
          <cell r="AA26">
            <v>6.7683922872000002</v>
          </cell>
          <cell r="AB26">
            <v>7.8912565871999991</v>
          </cell>
          <cell r="AC26">
            <v>9.0402679131999992</v>
          </cell>
          <cell r="AD26">
            <v>10.212382252199998</v>
          </cell>
          <cell r="AE26">
            <v>11.406818860199998</v>
          </cell>
          <cell r="AF26">
            <v>12.61754341194</v>
          </cell>
          <cell r="AG26">
            <v>13.82608067284</v>
          </cell>
          <cell r="AH26">
            <v>15.027123341560001</v>
          </cell>
          <cell r="AI26">
            <v>16.206217146419998</v>
          </cell>
          <cell r="AJ26">
            <v>17.380103744400003</v>
          </cell>
          <cell r="AK26">
            <v>18.550248648580002</v>
          </cell>
        </row>
        <row r="27">
          <cell r="E27">
            <v>0</v>
          </cell>
          <cell r="F27">
            <v>0</v>
          </cell>
          <cell r="G27">
            <v>0</v>
          </cell>
          <cell r="H27">
            <v>2.578072E-2</v>
          </cell>
          <cell r="I27">
            <v>7.9140269999999999E-2</v>
          </cell>
          <cell r="J27">
            <v>0.16156345599999999</v>
          </cell>
          <cell r="K27">
            <v>0.27106463200000003</v>
          </cell>
          <cell r="L27">
            <v>0.38348958999999999</v>
          </cell>
          <cell r="M27">
            <v>0.49760119600000002</v>
          </cell>
          <cell r="N27">
            <v>0.65743051199999991</v>
          </cell>
          <cell r="O27">
            <v>0.78276723560000017</v>
          </cell>
          <cell r="P27">
            <v>0.93613982770000004</v>
          </cell>
          <cell r="Q27">
            <v>1.0853851814</v>
          </cell>
          <cell r="R27">
            <v>1.2444623837000002</v>
          </cell>
          <cell r="S27">
            <v>1.4007479024</v>
          </cell>
          <cell r="T27">
            <v>1.5567918086999999</v>
          </cell>
          <cell r="U27">
            <v>1.6704886054999999</v>
          </cell>
          <cell r="V27">
            <v>1.9536459315999997</v>
          </cell>
          <cell r="W27">
            <v>2.1652650976000003</v>
          </cell>
          <cell r="X27">
            <v>2.4106457230000005</v>
          </cell>
          <cell r="Y27">
            <v>2.8861332854999993</v>
          </cell>
          <cell r="Z27">
            <v>3.3668468636999997</v>
          </cell>
          <cell r="AA27">
            <v>3.8851385331000006</v>
          </cell>
          <cell r="AB27">
            <v>4.4074188507000009</v>
          </cell>
          <cell r="AC27">
            <v>4.8735436862000006</v>
          </cell>
          <cell r="AD27">
            <v>5.3569440207999994</v>
          </cell>
          <cell r="AE27">
            <v>5.8537003306999988</v>
          </cell>
          <cell r="AF27">
            <v>6.3573919401999994</v>
          </cell>
          <cell r="AG27">
            <v>6.8850268482999999</v>
          </cell>
          <cell r="AH27">
            <v>7.3873151551000005</v>
          </cell>
          <cell r="AI27">
            <v>7.8893302667000009</v>
          </cell>
          <cell r="AJ27">
            <v>8.3901379304999999</v>
          </cell>
          <cell r="AK27">
            <v>8.7802915953999978</v>
          </cell>
        </row>
        <row r="28">
          <cell r="E28">
            <v>0</v>
          </cell>
          <cell r="F28">
            <v>0</v>
          </cell>
          <cell r="G28">
            <v>1.0627110000000002</v>
          </cell>
          <cell r="H28">
            <v>4.6100209999999997</v>
          </cell>
          <cell r="I28">
            <v>11.205480000000001</v>
          </cell>
          <cell r="J28">
            <v>17.681625</v>
          </cell>
          <cell r="K28">
            <v>25.542868000000002</v>
          </cell>
          <cell r="L28">
            <v>33.667145850000004</v>
          </cell>
          <cell r="M28">
            <v>39.320554649999998</v>
          </cell>
          <cell r="N28">
            <v>45.019566149999996</v>
          </cell>
          <cell r="O28">
            <v>50.344398650000009</v>
          </cell>
          <cell r="P28">
            <v>55.50470445000002</v>
          </cell>
          <cell r="Q28">
            <v>57.616818286800005</v>
          </cell>
          <cell r="R28">
            <v>59.028868410400015</v>
          </cell>
          <cell r="S28">
            <v>60.673288286600005</v>
          </cell>
          <cell r="T28">
            <v>61.533466841699997</v>
          </cell>
          <cell r="U28">
            <v>62.382131899399994</v>
          </cell>
          <cell r="V28">
            <v>62.910223398300005</v>
          </cell>
          <cell r="W28">
            <v>63.335845194699999</v>
          </cell>
          <cell r="X28">
            <v>62.386802870099999</v>
          </cell>
          <cell r="Y28">
            <v>59.223563384900004</v>
          </cell>
          <cell r="Z28">
            <v>53.668938141799998</v>
          </cell>
          <cell r="AA28">
            <v>48.370207123100002</v>
          </cell>
          <cell r="AB28">
            <v>42.856809854399998</v>
          </cell>
          <cell r="AC28">
            <v>39.859695638500007</v>
          </cell>
          <cell r="AD28">
            <v>37.220865681900008</v>
          </cell>
          <cell r="AE28">
            <v>34.005905660899998</v>
          </cell>
          <cell r="AF28">
            <v>30.674008980899998</v>
          </cell>
          <cell r="AG28">
            <v>28.664453929199993</v>
          </cell>
          <cell r="AH28">
            <v>26.643254329600001</v>
          </cell>
          <cell r="AI28">
            <v>24.630521789999996</v>
          </cell>
          <cell r="AJ28">
            <v>22.854063608300002</v>
          </cell>
          <cell r="AK28">
            <v>20.792943220800002</v>
          </cell>
        </row>
        <row r="29">
          <cell r="E29">
            <v>0</v>
          </cell>
          <cell r="F29">
            <v>0</v>
          </cell>
          <cell r="G29">
            <v>0</v>
          </cell>
          <cell r="H29">
            <v>0</v>
          </cell>
          <cell r="I29">
            <v>0</v>
          </cell>
          <cell r="J29">
            <v>0</v>
          </cell>
          <cell r="K29">
            <v>0</v>
          </cell>
          <cell r="L29">
            <v>1.4300000000000003E-3</v>
          </cell>
          <cell r="M29">
            <v>2.7299999999999998E-3</v>
          </cell>
          <cell r="N29">
            <v>3.7569999999999999E-3</v>
          </cell>
          <cell r="O29">
            <v>5.8309673099999987E-2</v>
          </cell>
          <cell r="P29">
            <v>0.15912956589999999</v>
          </cell>
          <cell r="Q29">
            <v>0.32195100179999997</v>
          </cell>
          <cell r="R29">
            <v>0.54132212160000004</v>
          </cell>
          <cell r="S29">
            <v>0.83212389369999984</v>
          </cell>
          <cell r="T29">
            <v>1.2496424770000003</v>
          </cell>
          <cell r="U29">
            <v>2.0843960802999999</v>
          </cell>
          <cell r="V29">
            <v>2.9439982485999998</v>
          </cell>
          <cell r="W29">
            <v>3.9287244297999999</v>
          </cell>
          <cell r="X29">
            <v>4.8786682518999998</v>
          </cell>
          <cell r="Y29">
            <v>6.6768997978999991</v>
          </cell>
          <cell r="Z29">
            <v>8.4449630222000014</v>
          </cell>
          <cell r="AA29">
            <v>10.313386722000001</v>
          </cell>
          <cell r="AB29">
            <v>12.461462331300002</v>
          </cell>
          <cell r="AC29">
            <v>14.8389904846</v>
          </cell>
          <cell r="AD29">
            <v>17.266550867599999</v>
          </cell>
          <cell r="AE29">
            <v>20.117788491100001</v>
          </cell>
          <cell r="AF29">
            <v>23.090648848799994</v>
          </cell>
          <cell r="AG29">
            <v>26.228864832299998</v>
          </cell>
          <cell r="AH29">
            <v>29.387013212900005</v>
          </cell>
          <cell r="AI29">
            <v>33.192954817</v>
          </cell>
          <cell r="AJ29">
            <v>41.525114799100002</v>
          </cell>
          <cell r="AK29">
            <v>46.439146000299999</v>
          </cell>
        </row>
        <row r="30">
          <cell r="E30">
            <v>1.5331524000000001E-2</v>
          </cell>
          <cell r="F30">
            <v>1.57003704E-2</v>
          </cell>
          <cell r="G30">
            <v>3.2442321600000004E-2</v>
          </cell>
          <cell r="H30">
            <v>0.13394947800000001</v>
          </cell>
          <cell r="I30">
            <v>0.29644967560000002</v>
          </cell>
          <cell r="J30">
            <v>0.45672418999999997</v>
          </cell>
          <cell r="K30">
            <v>0.58382024039999991</v>
          </cell>
          <cell r="L30">
            <v>0.71167719960000009</v>
          </cell>
          <cell r="M30">
            <v>0.83451495380000018</v>
          </cell>
          <cell r="N30">
            <v>0.95281948179999998</v>
          </cell>
          <cell r="O30">
            <v>1.0687830565000003</v>
          </cell>
          <cell r="P30">
            <v>1.1897691818999998</v>
          </cell>
          <cell r="Q30">
            <v>1.3146008166000001</v>
          </cell>
          <cell r="R30">
            <v>1.4445120775999998</v>
          </cell>
          <cell r="S30">
            <v>1.5817992463000001</v>
          </cell>
          <cell r="T30">
            <v>1.7140345024999999</v>
          </cell>
          <cell r="U30">
            <v>1.8543864684999998</v>
          </cell>
          <cell r="V30">
            <v>2.0004076378999995</v>
          </cell>
          <cell r="W30">
            <v>2.1403637496000001</v>
          </cell>
          <cell r="X30">
            <v>2.3969234343000001</v>
          </cell>
          <cell r="Y30">
            <v>2.7821429983000003</v>
          </cell>
          <cell r="Z30">
            <v>3.1861557165000001</v>
          </cell>
          <cell r="AA30">
            <v>3.6087868587999998</v>
          </cell>
          <cell r="AB30">
            <v>4.0548590742999995</v>
          </cell>
          <cell r="AC30">
            <v>4.4655902158999998</v>
          </cell>
          <cell r="AD30">
            <v>4.8095829514000004</v>
          </cell>
          <cell r="AE30">
            <v>5.2454374523000009</v>
          </cell>
          <cell r="AF30">
            <v>5.7443573324999999</v>
          </cell>
          <cell r="AG30">
            <v>6.2058078010400006</v>
          </cell>
          <cell r="AH30">
            <v>6.5996676259999996</v>
          </cell>
          <cell r="AI30">
            <v>6.9283651099000005</v>
          </cell>
          <cell r="AJ30">
            <v>7.2657620593000001</v>
          </cell>
          <cell r="AK30">
            <v>7.6007563397000011</v>
          </cell>
        </row>
        <row r="31">
          <cell r="E31">
            <v>0.23051244000000001</v>
          </cell>
          <cell r="F31">
            <v>0.50493096000000004</v>
          </cell>
          <cell r="G31">
            <v>0.50493096000000004</v>
          </cell>
          <cell r="H31">
            <v>0.50493096000000004</v>
          </cell>
          <cell r="I31">
            <v>1.3044312000000002</v>
          </cell>
          <cell r="J31">
            <v>8.8062451200000016</v>
          </cell>
          <cell r="K31">
            <v>10.12718244</v>
          </cell>
          <cell r="L31">
            <v>11.249876319999998</v>
          </cell>
          <cell r="M31">
            <v>11.804931080000001</v>
          </cell>
          <cell r="N31">
            <v>12.161792740000001</v>
          </cell>
          <cell r="O31">
            <v>12.329056919999999</v>
          </cell>
          <cell r="P31">
            <v>11.991262679999998</v>
          </cell>
          <cell r="Q31">
            <v>11.571599699999998</v>
          </cell>
          <cell r="R31">
            <v>11.1569875</v>
          </cell>
          <cell r="S31">
            <v>10.666782960000001</v>
          </cell>
          <cell r="T31">
            <v>10.175936419999999</v>
          </cell>
          <cell r="U31">
            <v>10.89978372</v>
          </cell>
          <cell r="V31">
            <v>11.7735906</v>
          </cell>
          <cell r="W31">
            <v>12.54446748</v>
          </cell>
          <cell r="X31">
            <v>14.037360079999999</v>
          </cell>
          <cell r="Y31">
            <v>15.597268</v>
          </cell>
          <cell r="Z31">
            <v>16.69992002</v>
          </cell>
          <cell r="AA31">
            <v>17.50924491</v>
          </cell>
          <cell r="AB31">
            <v>18.305030800000001</v>
          </cell>
          <cell r="AC31">
            <v>19.025741670000002</v>
          </cell>
          <cell r="AD31">
            <v>19.694944899999996</v>
          </cell>
          <cell r="AE31">
            <v>18.665525850000002</v>
          </cell>
          <cell r="AF31">
            <v>17.711663850000001</v>
          </cell>
          <cell r="AG31">
            <v>16.695425880000002</v>
          </cell>
          <cell r="AH31">
            <v>17.014575400000002</v>
          </cell>
          <cell r="AI31">
            <v>17.339892519999999</v>
          </cell>
          <cell r="AJ31">
            <v>17.671530189999999</v>
          </cell>
          <cell r="AK31">
            <v>17.037062899999999</v>
          </cell>
        </row>
        <row r="32">
          <cell r="E32">
            <v>6.6005399999999994E-3</v>
          </cell>
          <cell r="F32">
            <v>1.042731E-2</v>
          </cell>
          <cell r="G32">
            <v>1.462424E-2</v>
          </cell>
          <cell r="H32">
            <v>1.9202400000000001E-2</v>
          </cell>
          <cell r="I32">
            <v>2.0728329999999996E-2</v>
          </cell>
          <cell r="J32">
            <v>3.7883840000000002E-2</v>
          </cell>
          <cell r="K32">
            <v>9.0234410000000001E-2</v>
          </cell>
          <cell r="L32">
            <v>0.14526262000000001</v>
          </cell>
          <cell r="M32">
            <v>0.20348839999999999</v>
          </cell>
          <cell r="N32">
            <v>0.26429135999999998</v>
          </cell>
          <cell r="O32">
            <v>0.28380374999999997</v>
          </cell>
          <cell r="P32">
            <v>0.33718076999999996</v>
          </cell>
          <cell r="Q32">
            <v>1.4770172679999998</v>
          </cell>
          <cell r="R32">
            <v>2.8082169273999997</v>
          </cell>
          <cell r="S32">
            <v>3.1446500626000002</v>
          </cell>
          <cell r="T32">
            <v>3.4888586672000002</v>
          </cell>
          <cell r="U32">
            <v>3.8472202741999997</v>
          </cell>
          <cell r="V32">
            <v>4.2187536218000004</v>
          </cell>
          <cell r="W32">
            <v>4.5812939928</v>
          </cell>
          <cell r="X32">
            <v>6.1407729106</v>
          </cell>
          <cell r="Y32">
            <v>7.8990071527999977</v>
          </cell>
          <cell r="Z32">
            <v>8.568231836999999</v>
          </cell>
          <cell r="AA32">
            <v>9.2271569862000007</v>
          </cell>
          <cell r="AB32">
            <v>9.9380876129999987</v>
          </cell>
          <cell r="AC32">
            <v>10.701001959599999</v>
          </cell>
          <cell r="AD32">
            <v>12.148485258799999</v>
          </cell>
          <cell r="AE32">
            <v>13.061289361200002</v>
          </cell>
          <cell r="AF32">
            <v>13.815900991199996</v>
          </cell>
          <cell r="AG32">
            <v>14.173388369400003</v>
          </cell>
          <cell r="AH32">
            <v>14.1360476226</v>
          </cell>
          <cell r="AI32">
            <v>13.699476005200001</v>
          </cell>
          <cell r="AJ32">
            <v>10.779920445200004</v>
          </cell>
          <cell r="AK32">
            <v>11.687077275200004</v>
          </cell>
        </row>
        <row r="33">
          <cell r="E33">
            <v>0</v>
          </cell>
          <cell r="F33">
            <v>0</v>
          </cell>
          <cell r="G33">
            <v>0</v>
          </cell>
          <cell r="H33">
            <v>0</v>
          </cell>
          <cell r="I33">
            <v>0</v>
          </cell>
          <cell r="J33">
            <v>1.0745442999999999</v>
          </cell>
          <cell r="K33">
            <v>2.3593679000000005</v>
          </cell>
          <cell r="L33">
            <v>2.5772776999999998</v>
          </cell>
          <cell r="M33">
            <v>2.6288144999999998</v>
          </cell>
          <cell r="N33">
            <v>2.6814</v>
          </cell>
          <cell r="O33">
            <v>2.4297576999999997</v>
          </cell>
          <cell r="P33">
            <v>2.1670322</v>
          </cell>
          <cell r="Q33">
            <v>1.8928444999999998</v>
          </cell>
          <cell r="R33">
            <v>1.6067034999999998</v>
          </cell>
          <cell r="S33">
            <v>1.6388847000000002</v>
          </cell>
          <cell r="T33">
            <v>1.6416810000000002</v>
          </cell>
          <cell r="U33">
            <v>1.6438683000000001</v>
          </cell>
          <cell r="V33">
            <v>1.6456378</v>
          </cell>
          <cell r="W33">
            <v>1.6467686999999998</v>
          </cell>
          <cell r="X33">
            <v>1.6472775</v>
          </cell>
          <cell r="Y33">
            <v>1.6802280000000001</v>
          </cell>
          <cell r="Z33">
            <v>1.713822</v>
          </cell>
          <cell r="AA33">
            <v>1.7481089999999999</v>
          </cell>
          <cell r="AB33">
            <v>1.7830725000000001</v>
          </cell>
          <cell r="AC33">
            <v>1.8187289999999998</v>
          </cell>
          <cell r="AD33">
            <v>1.8550949999999999</v>
          </cell>
          <cell r="AE33">
            <v>1.8922034999999999</v>
          </cell>
          <cell r="AF33">
            <v>1.9300545</v>
          </cell>
          <cell r="AG33">
            <v>1.968648</v>
          </cell>
          <cell r="AH33">
            <v>2.0080334999999998</v>
          </cell>
          <cell r="AI33">
            <v>2.0481945000000001</v>
          </cell>
          <cell r="AJ33">
            <v>2.0891640000000002</v>
          </cell>
          <cell r="AK33">
            <v>2.1309420000000001</v>
          </cell>
        </row>
        <row r="34">
          <cell r="E34">
            <v>0</v>
          </cell>
          <cell r="F34">
            <v>0</v>
          </cell>
          <cell r="G34">
            <v>0</v>
          </cell>
          <cell r="H34">
            <v>0</v>
          </cell>
          <cell r="I34">
            <v>3.8343680000000008E-3</v>
          </cell>
          <cell r="J34">
            <v>3.2672908000000001E-2</v>
          </cell>
          <cell r="K34">
            <v>8.0576975999999995E-2</v>
          </cell>
          <cell r="L34">
            <v>0.16343964800000002</v>
          </cell>
          <cell r="M34">
            <v>0.27634993399999996</v>
          </cell>
          <cell r="N34">
            <v>0.43368956800000003</v>
          </cell>
          <cell r="O34">
            <v>0.58844067399999989</v>
          </cell>
          <cell r="P34">
            <v>0.73975122399999993</v>
          </cell>
          <cell r="Q34">
            <v>0.88723732200000005</v>
          </cell>
          <cell r="R34">
            <v>1.00320199</v>
          </cell>
          <cell r="S34">
            <v>1.1098995280000001</v>
          </cell>
          <cell r="T34">
            <v>1.2058041080000002</v>
          </cell>
          <cell r="U34">
            <v>1.301335846</v>
          </cell>
          <cell r="V34">
            <v>1.3957860959999999</v>
          </cell>
          <cell r="W34">
            <v>1.4886024520000001</v>
          </cell>
          <cell r="X34">
            <v>1.5799768720000005</v>
          </cell>
          <cell r="Y34">
            <v>1.6717140079999999</v>
          </cell>
          <cell r="Z34">
            <v>1.7634979400000002</v>
          </cell>
          <cell r="AA34">
            <v>1.8552742700000002</v>
          </cell>
          <cell r="AB34">
            <v>1.9465832460000001</v>
          </cell>
          <cell r="AC34">
            <v>2.0373414679999997</v>
          </cell>
          <cell r="AD34">
            <v>2.1273369799999995</v>
          </cell>
          <cell r="AE34">
            <v>2.2160628099999999</v>
          </cell>
          <cell r="AF34">
            <v>2.30331245</v>
          </cell>
          <cell r="AG34">
            <v>2.3889430579999997</v>
          </cell>
          <cell r="AH34">
            <v>2.4728295379999996</v>
          </cell>
          <cell r="AI34">
            <v>2.52815089</v>
          </cell>
          <cell r="AJ34">
            <v>2.5844474119999998</v>
          </cell>
          <cell r="AK34">
            <v>2.6420306999999998</v>
          </cell>
        </row>
        <row r="35">
          <cell r="E35">
            <v>0.25279935600000003</v>
          </cell>
          <cell r="F35">
            <v>0.53192605640000001</v>
          </cell>
          <cell r="G35">
            <v>1.6297154976000003</v>
          </cell>
          <cell r="H35">
            <v>5.5101341163999997</v>
          </cell>
          <cell r="I35">
            <v>13.459616899200002</v>
          </cell>
          <cell r="J35">
            <v>29.444980390800001</v>
          </cell>
          <cell r="K35">
            <v>41.133374674200013</v>
          </cell>
          <cell r="L35">
            <v>52.185807386599997</v>
          </cell>
          <cell r="M35">
            <v>60.074830394400003</v>
          </cell>
          <cell r="N35">
            <v>68.288139065999999</v>
          </cell>
          <cell r="O35">
            <v>75.242527997200014</v>
          </cell>
          <cell r="P35">
            <v>81.900619032500032</v>
          </cell>
          <cell r="Q35">
            <v>86.745880255599999</v>
          </cell>
          <cell r="R35">
            <v>91.192278678899996</v>
          </cell>
          <cell r="S35">
            <v>95.006416046600009</v>
          </cell>
          <cell r="T35">
            <v>99.480508027300004</v>
          </cell>
          <cell r="U35">
            <v>105.84841204099997</v>
          </cell>
          <cell r="V35">
            <v>113.09027460990001</v>
          </cell>
          <cell r="W35">
            <v>121.09996757229997</v>
          </cell>
          <cell r="X35">
            <v>130.352421147</v>
          </cell>
          <cell r="Y35">
            <v>137.79817484270001</v>
          </cell>
          <cell r="Z35">
            <v>140.87847972709997</v>
          </cell>
          <cell r="AA35">
            <v>143.31116863110003</v>
          </cell>
          <cell r="AB35">
            <v>145.44265562759998</v>
          </cell>
          <cell r="AC35">
            <v>149.61388097149998</v>
          </cell>
          <cell r="AD35">
            <v>154.08804442000002</v>
          </cell>
          <cell r="AE35">
            <v>155.85320398050001</v>
          </cell>
          <cell r="AF35">
            <v>156.20339483113997</v>
          </cell>
          <cell r="AG35">
            <v>157.89375641047999</v>
          </cell>
          <cell r="AH35">
            <v>162.10125039108001</v>
          </cell>
          <cell r="AI35">
            <v>166.22876739310001</v>
          </cell>
          <cell r="AJ35">
            <v>172.67113793484</v>
          </cell>
          <cell r="AK35">
            <v>178.13406703141999</v>
          </cell>
        </row>
      </sheetData>
      <sheetData sheetId="6"/>
      <sheetData sheetId="7">
        <row r="5">
          <cell r="E5">
            <v>1990</v>
          </cell>
          <cell r="F5">
            <v>1991</v>
          </cell>
          <cell r="G5">
            <v>1992</v>
          </cell>
          <cell r="H5">
            <v>1993</v>
          </cell>
          <cell r="I5">
            <v>1994</v>
          </cell>
          <cell r="J5">
            <v>1995</v>
          </cell>
          <cell r="K5">
            <v>1996</v>
          </cell>
          <cell r="L5">
            <v>1997</v>
          </cell>
          <cell r="M5">
            <v>1998</v>
          </cell>
          <cell r="N5">
            <v>1999</v>
          </cell>
          <cell r="O5">
            <v>2000</v>
          </cell>
          <cell r="P5">
            <v>2001</v>
          </cell>
          <cell r="Q5">
            <v>2002</v>
          </cell>
          <cell r="R5">
            <v>2003</v>
          </cell>
          <cell r="S5">
            <v>2004</v>
          </cell>
          <cell r="T5">
            <v>2005</v>
          </cell>
          <cell r="U5">
            <v>2006</v>
          </cell>
          <cell r="V5">
            <v>2007</v>
          </cell>
          <cell r="W5">
            <v>2008</v>
          </cell>
          <cell r="X5">
            <v>2009</v>
          </cell>
          <cell r="Y5">
            <v>2010</v>
          </cell>
          <cell r="Z5">
            <v>2011</v>
          </cell>
          <cell r="AA5">
            <v>2012</v>
          </cell>
          <cell r="AB5">
            <v>2013</v>
          </cell>
          <cell r="AC5">
            <v>2014</v>
          </cell>
          <cell r="AD5">
            <v>2015</v>
          </cell>
          <cell r="AE5">
            <v>2016</v>
          </cell>
          <cell r="AF5">
            <v>2017</v>
          </cell>
          <cell r="AG5">
            <v>2018</v>
          </cell>
          <cell r="AH5">
            <v>2019</v>
          </cell>
          <cell r="AI5">
            <v>2020</v>
          </cell>
          <cell r="AJ5">
            <v>2021</v>
          </cell>
          <cell r="AK5">
            <v>2022</v>
          </cell>
        </row>
        <row r="6">
          <cell r="C6" t="str">
            <v>CFC-11</v>
          </cell>
          <cell r="E6">
            <v>28591.696000000007</v>
          </cell>
          <cell r="F6">
            <v>29146.780400000003</v>
          </cell>
          <cell r="G6">
            <v>15059.986699999999</v>
          </cell>
          <cell r="H6">
            <v>14586.732999999998</v>
          </cell>
          <cell r="I6">
            <v>14049.127400000001</v>
          </cell>
          <cell r="J6">
            <v>13445.083700000001</v>
          </cell>
          <cell r="K6">
            <v>12838.890000000001</v>
          </cell>
          <cell r="L6">
            <v>12660.5663</v>
          </cell>
          <cell r="M6">
            <v>12520.624</v>
          </cell>
          <cell r="N6">
            <v>12572.613000000003</v>
          </cell>
          <cell r="O6">
            <v>12951.373300000001</v>
          </cell>
          <cell r="P6">
            <v>12773.6337</v>
          </cell>
          <cell r="Q6">
            <v>12783.061400000002</v>
          </cell>
          <cell r="R6">
            <v>12647.811</v>
          </cell>
          <cell r="S6">
            <v>12359.077399999995</v>
          </cell>
          <cell r="T6">
            <v>12110.505999999999</v>
          </cell>
          <cell r="U6">
            <v>12488.831799999998</v>
          </cell>
          <cell r="V6">
            <v>11546.577500000001</v>
          </cell>
          <cell r="W6">
            <v>10516.785900000001</v>
          </cell>
          <cell r="X6">
            <v>9353.4223999999995</v>
          </cell>
          <cell r="Y6">
            <v>8878.7084999999988</v>
          </cell>
          <cell r="Z6">
            <v>8373.5468999999994</v>
          </cell>
          <cell r="AA6">
            <v>7851.9914000000008</v>
          </cell>
          <cell r="AB6">
            <v>7266.9494000000004</v>
          </cell>
          <cell r="AC6">
            <v>6671.1600000000008</v>
          </cell>
          <cell r="AD6">
            <v>6094.19</v>
          </cell>
          <cell r="AE6">
            <v>5746.8499999999995</v>
          </cell>
          <cell r="AF6">
            <v>6047.82</v>
          </cell>
          <cell r="AG6">
            <v>5756.2</v>
          </cell>
          <cell r="AH6">
            <v>5657.62</v>
          </cell>
          <cell r="AI6">
            <v>5561.92</v>
          </cell>
          <cell r="AJ6">
            <v>5115.67</v>
          </cell>
          <cell r="AK6">
            <v>4662.5300000000007</v>
          </cell>
        </row>
        <row r="7">
          <cell r="C7" t="str">
            <v>CFC-12</v>
          </cell>
          <cell r="E7">
            <v>135602.46400000001</v>
          </cell>
          <cell r="F7">
            <v>136007.266</v>
          </cell>
          <cell r="G7">
            <v>135561.8732</v>
          </cell>
          <cell r="H7">
            <v>131100.495</v>
          </cell>
          <cell r="I7">
            <v>104949.37459999998</v>
          </cell>
          <cell r="J7">
            <v>82976.915400000013</v>
          </cell>
          <cell r="K7">
            <v>75744.989199999982</v>
          </cell>
          <cell r="L7">
            <v>68332.125400000004</v>
          </cell>
          <cell r="M7">
            <v>61329.075400000002</v>
          </cell>
          <cell r="N7">
            <v>54764.117400000003</v>
          </cell>
          <cell r="O7">
            <v>48907.467399999987</v>
          </cell>
          <cell r="P7">
            <v>43205.307499999995</v>
          </cell>
          <cell r="Q7">
            <v>38108.172499999986</v>
          </cell>
          <cell r="R7">
            <v>32966.989200000004</v>
          </cell>
          <cell r="S7">
            <v>28265.063600000001</v>
          </cell>
          <cell r="T7">
            <v>23180.215</v>
          </cell>
          <cell r="U7">
            <v>18539.078399999999</v>
          </cell>
          <cell r="V7">
            <v>13920.117100000001</v>
          </cell>
          <cell r="W7">
            <v>9250.199700000001</v>
          </cell>
          <cell r="X7">
            <v>4902.7218000000012</v>
          </cell>
          <cell r="Y7">
            <v>6321.1758999999993</v>
          </cell>
          <cell r="Z7">
            <v>6061.0785000000005</v>
          </cell>
          <cell r="AA7">
            <v>5832.3504000000003</v>
          </cell>
          <cell r="AB7">
            <v>5572.4376000000002</v>
          </cell>
          <cell r="AC7">
            <v>4742.143</v>
          </cell>
          <cell r="AD7">
            <v>3956.7268000000004</v>
          </cell>
          <cell r="AE7">
            <v>3141.241</v>
          </cell>
          <cell r="AF7">
            <v>2269.9484000000002</v>
          </cell>
          <cell r="AG7">
            <v>1391.0074</v>
          </cell>
          <cell r="AH7">
            <v>508.81740000000002</v>
          </cell>
          <cell r="AI7">
            <v>463.29999999999995</v>
          </cell>
          <cell r="AJ7">
            <v>433.77</v>
          </cell>
          <cell r="AK7">
            <v>433.77</v>
          </cell>
        </row>
        <row r="8">
          <cell r="C8" t="str">
            <v>CFC-113</v>
          </cell>
          <cell r="E8">
            <v>59352.63</v>
          </cell>
          <cell r="F8">
            <v>60539.69</v>
          </cell>
          <cell r="G8">
            <v>60124.900000000009</v>
          </cell>
          <cell r="H8">
            <v>59669.31</v>
          </cell>
          <cell r="I8">
            <v>46828.729999999996</v>
          </cell>
          <cell r="J8">
            <v>32215.79</v>
          </cell>
          <cell r="K8">
            <v>29840.959999999999</v>
          </cell>
          <cell r="L8">
            <v>28647.32</v>
          </cell>
          <cell r="M8">
            <v>27394.010000000002</v>
          </cell>
          <cell r="N8">
            <v>26079.09</v>
          </cell>
          <cell r="O8">
            <v>24700.62</v>
          </cell>
          <cell r="P8">
            <v>23256.590000000004</v>
          </cell>
          <cell r="Q8">
            <v>21744.9</v>
          </cell>
          <cell r="R8">
            <v>20163.45</v>
          </cell>
          <cell r="S8">
            <v>18510.060000000001</v>
          </cell>
          <cell r="T8">
            <v>16782.460000000003</v>
          </cell>
          <cell r="U8">
            <v>14978.34</v>
          </cell>
          <cell r="V8">
            <v>13095.35</v>
          </cell>
          <cell r="W8">
            <v>11131.05</v>
          </cell>
          <cell r="X8">
            <v>9082.93</v>
          </cell>
          <cell r="Y8">
            <v>6948.45</v>
          </cell>
          <cell r="Z8">
            <v>4724.9399999999996</v>
          </cell>
          <cell r="AA8">
            <v>2409.7200000000003</v>
          </cell>
          <cell r="AB8">
            <v>0</v>
          </cell>
          <cell r="AC8">
            <v>0</v>
          </cell>
          <cell r="AD8">
            <v>0</v>
          </cell>
          <cell r="AE8">
            <v>0</v>
          </cell>
          <cell r="AF8">
            <v>0</v>
          </cell>
          <cell r="AG8">
            <v>0</v>
          </cell>
          <cell r="AH8">
            <v>0</v>
          </cell>
          <cell r="AI8">
            <v>0</v>
          </cell>
          <cell r="AJ8">
            <v>0</v>
          </cell>
          <cell r="AK8">
            <v>0</v>
          </cell>
        </row>
        <row r="9">
          <cell r="C9" t="str">
            <v>CFC-114</v>
          </cell>
          <cell r="E9">
            <v>3879.1820000000002</v>
          </cell>
          <cell r="F9">
            <v>3435.9728</v>
          </cell>
          <cell r="G9">
            <v>2925.4369000000002</v>
          </cell>
          <cell r="H9">
            <v>2334.9409999999998</v>
          </cell>
          <cell r="I9">
            <v>2354.6918000000005</v>
          </cell>
          <cell r="J9">
            <v>2374.8359</v>
          </cell>
          <cell r="K9">
            <v>2394.9800000000005</v>
          </cell>
          <cell r="L9">
            <v>2376.8341</v>
          </cell>
          <cell r="M9">
            <v>2352.7780000000002</v>
          </cell>
          <cell r="N9">
            <v>2328.471</v>
          </cell>
          <cell r="O9">
            <v>1772.9223000000002</v>
          </cell>
          <cell r="P9">
            <v>1730.7832000000001</v>
          </cell>
          <cell r="Q9">
            <v>1688.0743000000002</v>
          </cell>
          <cell r="R9">
            <v>1644.8368</v>
          </cell>
          <cell r="S9">
            <v>1601.2972000000002</v>
          </cell>
          <cell r="T9">
            <v>1350.4443999999999</v>
          </cell>
          <cell r="U9">
            <v>1111.5798</v>
          </cell>
          <cell r="V9">
            <v>862.11</v>
          </cell>
          <cell r="W9">
            <v>618.8836</v>
          </cell>
          <cell r="X9">
            <v>414.89959999999996</v>
          </cell>
          <cell r="Y9">
            <v>251.01400000000001</v>
          </cell>
          <cell r="Z9">
            <v>128.9376</v>
          </cell>
          <cell r="AA9">
            <v>55.315600000000003</v>
          </cell>
          <cell r="AB9">
            <v>22.7376</v>
          </cell>
          <cell r="AC9">
            <v>0</v>
          </cell>
          <cell r="AD9">
            <v>0</v>
          </cell>
          <cell r="AE9">
            <v>0</v>
          </cell>
          <cell r="AF9">
            <v>0</v>
          </cell>
          <cell r="AG9">
            <v>0</v>
          </cell>
          <cell r="AH9">
            <v>0</v>
          </cell>
          <cell r="AI9">
            <v>0</v>
          </cell>
          <cell r="AJ9">
            <v>0</v>
          </cell>
          <cell r="AK9">
            <v>0</v>
          </cell>
        </row>
        <row r="10">
          <cell r="C10" t="str">
            <v>CFC-115</v>
          </cell>
          <cell r="E10">
            <v>7533.3884999999991</v>
          </cell>
          <cell r="F10">
            <v>7446.326399999999</v>
          </cell>
          <cell r="G10">
            <v>7185.0176999999994</v>
          </cell>
          <cell r="H10">
            <v>6665.1593999999996</v>
          </cell>
          <cell r="I10">
            <v>6161.8046999999997</v>
          </cell>
          <cell r="J10">
            <v>5671.8272999999999</v>
          </cell>
          <cell r="K10">
            <v>5195.1354000000001</v>
          </cell>
          <cell r="L10">
            <v>4733.7230999999992</v>
          </cell>
          <cell r="M10">
            <v>4382.5830000000005</v>
          </cell>
          <cell r="N10">
            <v>4036.0430999999999</v>
          </cell>
          <cell r="O10">
            <v>3689.5032000000006</v>
          </cell>
          <cell r="P10">
            <v>3342.9632999999999</v>
          </cell>
          <cell r="Q10">
            <v>2996.4285</v>
          </cell>
          <cell r="R10">
            <v>2649.8528999999999</v>
          </cell>
          <cell r="S10">
            <v>2294.6634000000004</v>
          </cell>
          <cell r="T10">
            <v>1948.8069</v>
          </cell>
          <cell r="U10">
            <v>1604.7762000000002</v>
          </cell>
          <cell r="V10">
            <v>1159.2147</v>
          </cell>
          <cell r="W10">
            <v>692.04960000000005</v>
          </cell>
          <cell r="X10">
            <v>357.21929999999998</v>
          </cell>
          <cell r="Y10">
            <v>149.4555</v>
          </cell>
          <cell r="Z10">
            <v>73.246200000000002</v>
          </cell>
          <cell r="AA10">
            <v>64.729199999999992</v>
          </cell>
          <cell r="AB10">
            <v>55.355400000000003</v>
          </cell>
          <cell r="AC10">
            <v>45.196199999999997</v>
          </cell>
          <cell r="AD10">
            <v>35.047199999999997</v>
          </cell>
          <cell r="AE10">
            <v>25.739699999999999</v>
          </cell>
          <cell r="AF10">
            <v>17.314500000000002</v>
          </cell>
          <cell r="AG10">
            <v>10.067400000000001</v>
          </cell>
          <cell r="AH10">
            <v>4.9215</v>
          </cell>
          <cell r="AI10">
            <v>1.5402</v>
          </cell>
          <cell r="AJ10">
            <v>0</v>
          </cell>
          <cell r="AK10">
            <v>0</v>
          </cell>
        </row>
        <row r="11">
          <cell r="C11" t="str">
            <v>Carbon Tetrachloride</v>
          </cell>
          <cell r="E11">
            <v>4281.13</v>
          </cell>
          <cell r="F11">
            <v>4366.75</v>
          </cell>
          <cell r="G11">
            <v>3563.27</v>
          </cell>
          <cell r="H11">
            <v>2725.9</v>
          </cell>
          <cell r="I11">
            <v>1853.61</v>
          </cell>
          <cell r="J11">
            <v>945.34</v>
          </cell>
          <cell r="K11">
            <v>0</v>
          </cell>
          <cell r="L11">
            <v>0</v>
          </cell>
          <cell r="M11">
            <v>0</v>
          </cell>
          <cell r="N11">
            <v>0</v>
          </cell>
          <cell r="O11">
            <v>0</v>
          </cell>
          <cell r="P11">
            <v>0</v>
          </cell>
          <cell r="Q11">
            <v>0</v>
          </cell>
          <cell r="R11">
            <v>0</v>
          </cell>
          <cell r="S11">
            <v>0</v>
          </cell>
          <cell r="T11">
            <v>0</v>
          </cell>
          <cell r="U11">
            <v>0</v>
          </cell>
          <cell r="V11">
            <v>0</v>
          </cell>
          <cell r="W11">
            <v>0</v>
          </cell>
          <cell r="X11">
            <v>0</v>
          </cell>
          <cell r="Y11">
            <v>0</v>
          </cell>
          <cell r="Z11">
            <v>0</v>
          </cell>
          <cell r="AA11">
            <v>0</v>
          </cell>
          <cell r="AB11">
            <v>0</v>
          </cell>
          <cell r="AC11">
            <v>0</v>
          </cell>
          <cell r="AD11">
            <v>0</v>
          </cell>
          <cell r="AE11">
            <v>0</v>
          </cell>
          <cell r="AF11">
            <v>0</v>
          </cell>
          <cell r="AG11">
            <v>0</v>
          </cell>
          <cell r="AH11">
            <v>0</v>
          </cell>
          <cell r="AI11">
            <v>0</v>
          </cell>
          <cell r="AJ11">
            <v>0</v>
          </cell>
          <cell r="AK11">
            <v>0</v>
          </cell>
        </row>
        <row r="12">
          <cell r="C12" t="str">
            <v>Methyl Chloroform</v>
          </cell>
          <cell r="E12">
            <v>222547.46</v>
          </cell>
          <cell r="F12">
            <v>226998.41</v>
          </cell>
          <cell r="G12">
            <v>209083.16000000003</v>
          </cell>
          <cell r="H12">
            <v>190360.5</v>
          </cell>
          <cell r="I12">
            <v>147702.40999999997</v>
          </cell>
          <cell r="J12">
            <v>72084.570000000007</v>
          </cell>
          <cell r="K12">
            <v>8709.59</v>
          </cell>
          <cell r="L12">
            <v>0</v>
          </cell>
          <cell r="M12">
            <v>0</v>
          </cell>
          <cell r="N12">
            <v>0</v>
          </cell>
          <cell r="O12">
            <v>0</v>
          </cell>
          <cell r="P12">
            <v>0</v>
          </cell>
          <cell r="Q12">
            <v>0</v>
          </cell>
          <cell r="R12">
            <v>0</v>
          </cell>
          <cell r="S12">
            <v>0</v>
          </cell>
          <cell r="T12">
            <v>0</v>
          </cell>
          <cell r="U12">
            <v>0</v>
          </cell>
          <cell r="V12">
            <v>0</v>
          </cell>
          <cell r="W12">
            <v>0</v>
          </cell>
          <cell r="X12">
            <v>0</v>
          </cell>
          <cell r="Y12">
            <v>0</v>
          </cell>
          <cell r="Z12">
            <v>0</v>
          </cell>
          <cell r="AA12">
            <v>0</v>
          </cell>
          <cell r="AB12">
            <v>0</v>
          </cell>
          <cell r="AC12">
            <v>0</v>
          </cell>
          <cell r="AD12">
            <v>0</v>
          </cell>
          <cell r="AE12">
            <v>0</v>
          </cell>
          <cell r="AF12">
            <v>0</v>
          </cell>
          <cell r="AG12">
            <v>0</v>
          </cell>
          <cell r="AH12">
            <v>0</v>
          </cell>
          <cell r="AI12">
            <v>0</v>
          </cell>
          <cell r="AJ12">
            <v>0</v>
          </cell>
          <cell r="AK12">
            <v>0</v>
          </cell>
        </row>
        <row r="13">
          <cell r="C13" t="str">
            <v>Halon 12111</v>
          </cell>
          <cell r="E13">
            <v>2258.87</v>
          </cell>
          <cell r="F13">
            <v>2424.96</v>
          </cell>
          <cell r="G13">
            <v>2195.81</v>
          </cell>
          <cell r="H13">
            <v>1849.68</v>
          </cell>
          <cell r="I13">
            <v>1432.06</v>
          </cell>
          <cell r="J13">
            <v>1166.57</v>
          </cell>
          <cell r="K13">
            <v>958.66</v>
          </cell>
          <cell r="L13">
            <v>844.23</v>
          </cell>
          <cell r="M13">
            <v>787.55</v>
          </cell>
          <cell r="N13">
            <v>763.04</v>
          </cell>
          <cell r="O13">
            <v>739.83</v>
          </cell>
          <cell r="P13">
            <v>713.52</v>
          </cell>
          <cell r="Q13">
            <v>687.44</v>
          </cell>
          <cell r="R13">
            <v>664.27</v>
          </cell>
          <cell r="S13">
            <v>644.17999999999995</v>
          </cell>
          <cell r="T13">
            <v>629.41999999999996</v>
          </cell>
          <cell r="U13">
            <v>617.45000000000005</v>
          </cell>
          <cell r="V13">
            <v>604.20000000000005</v>
          </cell>
          <cell r="W13">
            <v>589.6</v>
          </cell>
          <cell r="X13">
            <v>573.57000000000005</v>
          </cell>
          <cell r="Y13">
            <v>556.04999999999995</v>
          </cell>
          <cell r="Z13">
            <v>536.97</v>
          </cell>
          <cell r="AA13">
            <v>516.24</v>
          </cell>
          <cell r="AB13">
            <v>493.78</v>
          </cell>
          <cell r="AC13">
            <v>469.51</v>
          </cell>
          <cell r="AD13">
            <v>443.34</v>
          </cell>
          <cell r="AE13">
            <v>415.18</v>
          </cell>
          <cell r="AF13">
            <v>384.93</v>
          </cell>
          <cell r="AG13">
            <v>352.49</v>
          </cell>
          <cell r="AH13">
            <v>321.41000000000003</v>
          </cell>
          <cell r="AI13">
            <v>291.79000000000002</v>
          </cell>
          <cell r="AJ13">
            <v>263.75</v>
          </cell>
          <cell r="AK13">
            <v>237.41</v>
          </cell>
        </row>
        <row r="14">
          <cell r="C14" t="str">
            <v>Halon 1301</v>
          </cell>
          <cell r="E14">
            <v>1713.79</v>
          </cell>
          <cell r="F14">
            <v>1767.11</v>
          </cell>
          <cell r="G14">
            <v>1768.89</v>
          </cell>
          <cell r="H14">
            <v>1770.68</v>
          </cell>
          <cell r="I14">
            <v>479.14</v>
          </cell>
          <cell r="J14">
            <v>489.71</v>
          </cell>
          <cell r="K14">
            <v>499.02</v>
          </cell>
          <cell r="L14">
            <v>506.29</v>
          </cell>
          <cell r="M14">
            <v>510.63</v>
          </cell>
          <cell r="N14">
            <v>511.31</v>
          </cell>
          <cell r="O14">
            <v>510.52</v>
          </cell>
          <cell r="P14">
            <v>508.4</v>
          </cell>
          <cell r="Q14">
            <v>505.06</v>
          </cell>
          <cell r="R14">
            <v>500.31</v>
          </cell>
          <cell r="S14">
            <v>495.01</v>
          </cell>
          <cell r="T14">
            <v>489.13</v>
          </cell>
          <cell r="U14">
            <v>482.64</v>
          </cell>
          <cell r="V14">
            <v>476.18</v>
          </cell>
          <cell r="W14">
            <v>469.75</v>
          </cell>
          <cell r="X14">
            <v>463.36</v>
          </cell>
          <cell r="Y14">
            <v>457.03</v>
          </cell>
          <cell r="Z14">
            <v>450.77</v>
          </cell>
          <cell r="AA14">
            <v>444.2</v>
          </cell>
          <cell r="AB14">
            <v>437.69</v>
          </cell>
          <cell r="AC14">
            <v>431.23</v>
          </cell>
          <cell r="AD14">
            <v>424.84</v>
          </cell>
          <cell r="AE14">
            <v>418.52</v>
          </cell>
          <cell r="AF14">
            <v>412.27</v>
          </cell>
          <cell r="AG14">
            <v>400.8</v>
          </cell>
          <cell r="AH14">
            <v>349.53</v>
          </cell>
          <cell r="AI14">
            <v>298.02999999999997</v>
          </cell>
          <cell r="AJ14">
            <v>241.47</v>
          </cell>
          <cell r="AK14">
            <v>195.71</v>
          </cell>
        </row>
        <row r="15">
          <cell r="C15" t="str">
            <v>HCFC-22</v>
          </cell>
          <cell r="E15">
            <v>30557.383499999993</v>
          </cell>
          <cell r="F15">
            <v>32009.659599999995</v>
          </cell>
          <cell r="G15">
            <v>33349.8923</v>
          </cell>
          <cell r="H15">
            <v>35430.988899999989</v>
          </cell>
          <cell r="I15">
            <v>39846.459700000007</v>
          </cell>
          <cell r="J15">
            <v>43109.744599999998</v>
          </cell>
          <cell r="K15">
            <v>46263.920900000012</v>
          </cell>
          <cell r="L15">
            <v>49657.693700000003</v>
          </cell>
          <cell r="M15">
            <v>53790.393199999999</v>
          </cell>
          <cell r="N15">
            <v>57721.176199999994</v>
          </cell>
          <cell r="O15">
            <v>61625.237799999988</v>
          </cell>
          <cell r="P15">
            <v>64708.382900000004</v>
          </cell>
          <cell r="Q15">
            <v>67755.808500000028</v>
          </cell>
          <cell r="R15">
            <v>69727.962599999999</v>
          </cell>
          <cell r="S15">
            <v>72221.118199999997</v>
          </cell>
          <cell r="T15">
            <v>74264.955300000001</v>
          </cell>
          <cell r="U15">
            <v>75057.258500000025</v>
          </cell>
          <cell r="V15">
            <v>76566.407700000011</v>
          </cell>
          <cell r="W15">
            <v>78101.258299999987</v>
          </cell>
          <cell r="X15">
            <v>76403.127399999983</v>
          </cell>
          <cell r="Y15">
            <v>71747.88370000002</v>
          </cell>
          <cell r="Z15">
            <v>70339.066199999987</v>
          </cell>
          <cell r="AA15">
            <v>66743.403200000015</v>
          </cell>
          <cell r="AB15">
            <v>64827.935800000007</v>
          </cell>
          <cell r="AC15">
            <v>61291.930000000015</v>
          </cell>
          <cell r="AD15">
            <v>57612.5573</v>
          </cell>
          <cell r="AE15">
            <v>54387.688900000008</v>
          </cell>
          <cell r="AF15">
            <v>50730.554900000003</v>
          </cell>
          <cell r="AG15">
            <v>46995.122599999995</v>
          </cell>
          <cell r="AH15">
            <v>42877.296199999997</v>
          </cell>
          <cell r="AI15">
            <v>40102.435000000019</v>
          </cell>
          <cell r="AJ15">
            <v>33672.944200000005</v>
          </cell>
          <cell r="AK15">
            <v>28255.990500000004</v>
          </cell>
        </row>
        <row r="16">
          <cell r="C16" t="str">
            <v>HCFC-123</v>
          </cell>
          <cell r="E16">
            <v>0</v>
          </cell>
          <cell r="F16">
            <v>0</v>
          </cell>
          <cell r="G16">
            <v>56.999999999999993</v>
          </cell>
          <cell r="H16">
            <v>127.72</v>
          </cell>
          <cell r="I16">
            <v>198.8237</v>
          </cell>
          <cell r="J16">
            <v>265.99969999999996</v>
          </cell>
          <cell r="K16">
            <v>332.07590000000005</v>
          </cell>
          <cell r="L16">
            <v>397.26319999999998</v>
          </cell>
          <cell r="M16">
            <v>461.58109999999994</v>
          </cell>
          <cell r="N16">
            <v>525.28120000000001</v>
          </cell>
          <cell r="O16">
            <v>588.36860000000001</v>
          </cell>
          <cell r="P16">
            <v>648.70710000000008</v>
          </cell>
          <cell r="Q16">
            <v>704.40879999999993</v>
          </cell>
          <cell r="R16">
            <v>755.32349999999997</v>
          </cell>
          <cell r="S16">
            <v>801.39820000000009</v>
          </cell>
          <cell r="T16">
            <v>808.5127</v>
          </cell>
          <cell r="U16">
            <v>810.47539999999992</v>
          </cell>
          <cell r="V16">
            <v>812.91390000000001</v>
          </cell>
          <cell r="W16">
            <v>815.75680000000011</v>
          </cell>
          <cell r="X16">
            <v>819.11480000000006</v>
          </cell>
          <cell r="Y16">
            <v>829.13720000000001</v>
          </cell>
          <cell r="Z16">
            <v>831.30400000000009</v>
          </cell>
          <cell r="AA16">
            <v>828.28449999999998</v>
          </cell>
          <cell r="AB16">
            <v>821.31939999999997</v>
          </cell>
          <cell r="AC16">
            <v>812.27870000000007</v>
          </cell>
          <cell r="AD16">
            <v>801.82100000000014</v>
          </cell>
          <cell r="AE16">
            <v>787.77699999999993</v>
          </cell>
          <cell r="AF16">
            <v>768.24600000000009</v>
          </cell>
          <cell r="AG16">
            <v>789.6187000000001</v>
          </cell>
          <cell r="AH16">
            <v>789.90370000000007</v>
          </cell>
          <cell r="AI16">
            <v>764.26800000000003</v>
          </cell>
          <cell r="AJ16">
            <v>739.89980000000003</v>
          </cell>
          <cell r="AK16">
            <v>710.05049999999994</v>
          </cell>
        </row>
        <row r="17">
          <cell r="C17" t="str">
            <v>HCFC-124</v>
          </cell>
          <cell r="E17">
            <v>0</v>
          </cell>
          <cell r="F17">
            <v>0</v>
          </cell>
          <cell r="G17">
            <v>0</v>
          </cell>
          <cell r="H17">
            <v>657.17848000000004</v>
          </cell>
          <cell r="I17">
            <v>1331.85814</v>
          </cell>
          <cell r="J17">
            <v>1442.47056</v>
          </cell>
          <cell r="K17">
            <v>1539.95832</v>
          </cell>
          <cell r="L17">
            <v>1636.9494</v>
          </cell>
          <cell r="M17">
            <v>1651.0461</v>
          </cell>
          <cell r="N17">
            <v>1659.5351599999999</v>
          </cell>
          <cell r="O17">
            <v>1666.7772199999999</v>
          </cell>
          <cell r="P17">
            <v>1676.5159200000001</v>
          </cell>
          <cell r="Q17">
            <v>1673.48596</v>
          </cell>
          <cell r="R17">
            <v>1664.64582</v>
          </cell>
          <cell r="S17">
            <v>1657.8626399999998</v>
          </cell>
          <cell r="T17">
            <v>1650.84292</v>
          </cell>
          <cell r="U17">
            <v>1648.77988</v>
          </cell>
          <cell r="V17">
            <v>1645.21038</v>
          </cell>
          <cell r="W17">
            <v>1648.13166</v>
          </cell>
          <cell r="X17">
            <v>1661.83194</v>
          </cell>
          <cell r="Y17">
            <v>697.99858000000006</v>
          </cell>
          <cell r="Z17">
            <v>711.96029999999996</v>
          </cell>
          <cell r="AA17">
            <v>729.63706000000002</v>
          </cell>
          <cell r="AB17">
            <v>747.76167999999996</v>
          </cell>
          <cell r="AC17">
            <v>766.3433</v>
          </cell>
          <cell r="AD17">
            <v>4.7158000000000007</v>
          </cell>
          <cell r="AE17">
            <v>4.7362000000000002</v>
          </cell>
          <cell r="AF17">
            <v>4.7226000000000008</v>
          </cell>
          <cell r="AG17">
            <v>4.6614000000000004</v>
          </cell>
          <cell r="AH17">
            <v>4.5832000000000006</v>
          </cell>
          <cell r="AI17">
            <v>4.8654000000000002</v>
          </cell>
          <cell r="AJ17">
            <v>4.7362000000000002</v>
          </cell>
          <cell r="AK17">
            <v>3.5632000000000001</v>
          </cell>
        </row>
        <row r="18">
          <cell r="C18" t="str">
            <v>HCFC-141b</v>
          </cell>
          <cell r="E18">
            <v>968.67000000000007</v>
          </cell>
          <cell r="F18">
            <v>1208.2699999999998</v>
          </cell>
          <cell r="G18">
            <v>1043.0600000000002</v>
          </cell>
          <cell r="H18">
            <v>1636.1600000000003</v>
          </cell>
          <cell r="I18">
            <v>2297.5499999999993</v>
          </cell>
          <cell r="J18">
            <v>3045.34</v>
          </cell>
          <cell r="K18">
            <v>3747.2200000000003</v>
          </cell>
          <cell r="L18">
            <v>4101.9699999999993</v>
          </cell>
          <cell r="M18">
            <v>4472.6100000000015</v>
          </cell>
          <cell r="N18">
            <v>4830.1400000000003</v>
          </cell>
          <cell r="O18">
            <v>4948.2000000000016</v>
          </cell>
          <cell r="P18">
            <v>4972.7500000000009</v>
          </cell>
          <cell r="Q18">
            <v>4158.51</v>
          </cell>
          <cell r="R18">
            <v>3204.5999999999995</v>
          </cell>
          <cell r="S18">
            <v>3343.5399999999991</v>
          </cell>
          <cell r="T18">
            <v>3526.2499999999995</v>
          </cell>
          <cell r="U18">
            <v>3568.72</v>
          </cell>
          <cell r="V18">
            <v>4750.4900000000007</v>
          </cell>
          <cell r="W18">
            <v>6187.34</v>
          </cell>
          <cell r="X18">
            <v>7586.49</v>
          </cell>
          <cell r="Y18">
            <v>7886.7699999999995</v>
          </cell>
          <cell r="Z18">
            <v>8022.3099999999995</v>
          </cell>
          <cell r="AA18">
            <v>8570.9000000000015</v>
          </cell>
          <cell r="AB18">
            <v>8917</v>
          </cell>
          <cell r="AC18">
            <v>9062.1800000000021</v>
          </cell>
          <cell r="AD18">
            <v>8575.4700000000012</v>
          </cell>
          <cell r="AE18">
            <v>7947.0299999999988</v>
          </cell>
          <cell r="AF18">
            <v>7106.41</v>
          </cell>
          <cell r="AG18">
            <v>6884.72</v>
          </cell>
          <cell r="AH18">
            <v>6823.74</v>
          </cell>
          <cell r="AI18">
            <v>6714.7699999999995</v>
          </cell>
          <cell r="AJ18">
            <v>6607.7900000000018</v>
          </cell>
          <cell r="AK18">
            <v>6479.829999999999</v>
          </cell>
        </row>
        <row r="19">
          <cell r="C19" t="str">
            <v>HCFC-142b</v>
          </cell>
          <cell r="E19">
            <v>1268.298</v>
          </cell>
          <cell r="F19">
            <v>1991.174</v>
          </cell>
          <cell r="G19">
            <v>2775.9300000000003</v>
          </cell>
          <cell r="H19">
            <v>3624.8980000000001</v>
          </cell>
          <cell r="I19">
            <v>3798.6439999999998</v>
          </cell>
          <cell r="J19">
            <v>3406.09</v>
          </cell>
          <cell r="K19">
            <v>2976.7040000000002</v>
          </cell>
          <cell r="L19">
            <v>3197.3220000000001</v>
          </cell>
          <cell r="M19">
            <v>3448.826</v>
          </cell>
          <cell r="N19">
            <v>3594.2220000000002</v>
          </cell>
          <cell r="O19">
            <v>3731.4900000000002</v>
          </cell>
          <cell r="P19">
            <v>3828.4559999999997</v>
          </cell>
          <cell r="Q19">
            <v>3902.8400000000006</v>
          </cell>
          <cell r="R19">
            <v>3968.556</v>
          </cell>
          <cell r="S19">
            <v>4035.614</v>
          </cell>
          <cell r="T19">
            <v>4101.6039999999994</v>
          </cell>
          <cell r="U19">
            <v>4168.826</v>
          </cell>
          <cell r="V19">
            <v>4236.3179999999993</v>
          </cell>
          <cell r="W19">
            <v>4306.8999999999996</v>
          </cell>
          <cell r="X19">
            <v>2987.0779999999995</v>
          </cell>
          <cell r="Y19">
            <v>1521.818</v>
          </cell>
          <cell r="Z19">
            <v>1440.5819999999999</v>
          </cell>
          <cell r="AA19">
            <v>1343.932</v>
          </cell>
          <cell r="AB19">
            <v>1219.172</v>
          </cell>
          <cell r="AC19">
            <v>1695.9340000000002</v>
          </cell>
          <cell r="AD19">
            <v>2236.0300000000002</v>
          </cell>
          <cell r="AE19">
            <v>2840.6460000000002</v>
          </cell>
          <cell r="AF19">
            <v>3467.634</v>
          </cell>
          <cell r="AG19">
            <v>4114.1940000000004</v>
          </cell>
          <cell r="AH19">
            <v>4786.0919999999996</v>
          </cell>
          <cell r="AI19">
            <v>4830.87</v>
          </cell>
          <cell r="AJ19">
            <v>4866.1880000000001</v>
          </cell>
          <cell r="AK19">
            <v>4912.232</v>
          </cell>
        </row>
        <row r="20">
          <cell r="C20" t="str">
            <v>HCFC-225ca/cb</v>
          </cell>
          <cell r="E20">
            <v>0</v>
          </cell>
          <cell r="F20">
            <v>0</v>
          </cell>
          <cell r="G20">
            <v>0</v>
          </cell>
          <cell r="H20">
            <v>0</v>
          </cell>
          <cell r="I20">
            <v>46.65</v>
          </cell>
          <cell r="J20">
            <v>149.57999999999998</v>
          </cell>
          <cell r="K20">
            <v>208.07999999999998</v>
          </cell>
          <cell r="L20">
            <v>212.24</v>
          </cell>
          <cell r="M20">
            <v>216.48000000000002</v>
          </cell>
          <cell r="N20">
            <v>220.81</v>
          </cell>
          <cell r="O20">
            <v>225.23000000000002</v>
          </cell>
          <cell r="P20">
            <v>229.73</v>
          </cell>
          <cell r="Q20">
            <v>234.32999999999998</v>
          </cell>
          <cell r="R20">
            <v>239.01</v>
          </cell>
          <cell r="S20">
            <v>243.79</v>
          </cell>
          <cell r="T20">
            <v>248.67</v>
          </cell>
          <cell r="U20">
            <v>253.65</v>
          </cell>
          <cell r="V20">
            <v>258.71000000000004</v>
          </cell>
          <cell r="W20">
            <v>263.89999999999998</v>
          </cell>
          <cell r="X20">
            <v>269.17</v>
          </cell>
          <cell r="Y20">
            <v>274.54999999999995</v>
          </cell>
          <cell r="Z20">
            <v>280.03999999999996</v>
          </cell>
          <cell r="AA20">
            <v>285.64</v>
          </cell>
          <cell r="AB20">
            <v>291.36</v>
          </cell>
          <cell r="AC20">
            <v>297.19</v>
          </cell>
          <cell r="AD20">
            <v>303.13</v>
          </cell>
          <cell r="AE20">
            <v>309.19</v>
          </cell>
          <cell r="AF20">
            <v>315.37</v>
          </cell>
          <cell r="AG20">
            <v>321.68</v>
          </cell>
          <cell r="AH20">
            <v>328.12</v>
          </cell>
          <cell r="AI20">
            <v>334.68</v>
          </cell>
          <cell r="AJ20">
            <v>341.37</v>
          </cell>
          <cell r="AK20">
            <v>348.2</v>
          </cell>
        </row>
      </sheetData>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row r="8">
          <cell r="H8" t="str">
            <v>C3F8</v>
          </cell>
          <cell r="I8">
            <v>8900</v>
          </cell>
        </row>
        <row r="9">
          <cell r="H9" t="str">
            <v>C4F10</v>
          </cell>
          <cell r="I9">
            <v>9200</v>
          </cell>
        </row>
        <row r="10">
          <cell r="H10" t="str">
            <v>C6F14</v>
          </cell>
          <cell r="I10">
            <v>7910</v>
          </cell>
        </row>
        <row r="11">
          <cell r="H11" t="str">
            <v>Carbon Tetrachloride</v>
          </cell>
          <cell r="I11">
            <v>1730</v>
          </cell>
        </row>
        <row r="12">
          <cell r="H12" t="str">
            <v>c-C4F8</v>
          </cell>
          <cell r="I12">
            <v>9540</v>
          </cell>
        </row>
        <row r="13">
          <cell r="H13" t="str">
            <v>CFC-11</v>
          </cell>
          <cell r="I13">
            <v>4600</v>
          </cell>
        </row>
        <row r="14">
          <cell r="H14" t="str">
            <v>CFC-113</v>
          </cell>
          <cell r="I14">
            <v>5820</v>
          </cell>
        </row>
        <row r="15">
          <cell r="H15" t="str">
            <v>CFC-114</v>
          </cell>
          <cell r="I15">
            <v>8590</v>
          </cell>
        </row>
        <row r="16">
          <cell r="H16" t="str">
            <v>CFC-115</v>
          </cell>
          <cell r="I16">
            <v>7670</v>
          </cell>
        </row>
        <row r="17">
          <cell r="H17" t="str">
            <v>CFC-12</v>
          </cell>
          <cell r="I17">
            <v>10200</v>
          </cell>
        </row>
        <row r="18">
          <cell r="H18" t="str">
            <v>Halon 1211</v>
          </cell>
          <cell r="I18">
            <v>1750</v>
          </cell>
        </row>
        <row r="19">
          <cell r="H19" t="str">
            <v>Halon 1301</v>
          </cell>
          <cell r="I19">
            <v>6290</v>
          </cell>
        </row>
        <row r="20">
          <cell r="H20" t="str">
            <v>HCFC-123</v>
          </cell>
          <cell r="I20">
            <v>79</v>
          </cell>
        </row>
        <row r="21">
          <cell r="H21" t="str">
            <v>HCFC-124</v>
          </cell>
          <cell r="I21">
            <v>527</v>
          </cell>
        </row>
        <row r="22">
          <cell r="H22" t="str">
            <v>HCFC-141b</v>
          </cell>
          <cell r="I22">
            <v>782</v>
          </cell>
        </row>
        <row r="23">
          <cell r="H23" t="str">
            <v>HCFC-142b</v>
          </cell>
          <cell r="I23">
            <v>1980</v>
          </cell>
        </row>
        <row r="24">
          <cell r="H24" t="str">
            <v>HCFC-22</v>
          </cell>
          <cell r="I24">
            <v>1760</v>
          </cell>
        </row>
        <row r="25">
          <cell r="H25" t="str">
            <v>HCFC-225ca/cb</v>
          </cell>
          <cell r="I25">
            <v>326</v>
          </cell>
        </row>
        <row r="26">
          <cell r="H26" t="str">
            <v>HFC-125</v>
          </cell>
          <cell r="I26">
            <v>3170</v>
          </cell>
        </row>
        <row r="27">
          <cell r="H27" t="str">
            <v>HFC-134a</v>
          </cell>
          <cell r="I27">
            <v>1300</v>
          </cell>
        </row>
        <row r="28">
          <cell r="H28" t="str">
            <v>HFC-143a</v>
          </cell>
          <cell r="I28">
            <v>4800</v>
          </cell>
        </row>
        <row r="29">
          <cell r="H29" t="str">
            <v>HFC-152a</v>
          </cell>
          <cell r="I29">
            <v>138</v>
          </cell>
        </row>
        <row r="30">
          <cell r="H30" t="str">
            <v>HFC-227ea</v>
          </cell>
          <cell r="I30">
            <v>3350</v>
          </cell>
        </row>
        <row r="31">
          <cell r="H31" t="str">
            <v>HFC-23</v>
          </cell>
          <cell r="I31">
            <v>12400</v>
          </cell>
        </row>
        <row r="32">
          <cell r="H32" t="str">
            <v>HFC-236fa</v>
          </cell>
          <cell r="I32">
            <v>8060</v>
          </cell>
        </row>
        <row r="33">
          <cell r="H33" t="str">
            <v>HFC-245fa</v>
          </cell>
          <cell r="I33">
            <v>858</v>
          </cell>
        </row>
        <row r="34">
          <cell r="H34" t="str">
            <v>HFC-32</v>
          </cell>
          <cell r="I34">
            <v>677</v>
          </cell>
        </row>
        <row r="35">
          <cell r="H35" t="str">
            <v>HFC-365mfc</v>
          </cell>
          <cell r="I35">
            <v>804</v>
          </cell>
        </row>
        <row r="36">
          <cell r="H36" t="str">
            <v>HFC-4310mee</v>
          </cell>
          <cell r="I36">
            <v>1650</v>
          </cell>
        </row>
        <row r="37">
          <cell r="H37" t="str">
            <v>Methyl Chloroform</v>
          </cell>
          <cell r="I37">
            <v>160</v>
          </cell>
        </row>
        <row r="38">
          <cell r="H38" t="str">
            <v>PFC/PFPE</v>
          </cell>
          <cell r="I38">
            <v>7910</v>
          </cell>
        </row>
        <row r="39">
          <cell r="H39" t="str">
            <v>Sulfur Hexafluoride</v>
          </cell>
          <cell r="I39">
            <v>23500</v>
          </cell>
        </row>
        <row r="40">
          <cell r="H40" t="str">
            <v>HFO-1234yf</v>
          </cell>
          <cell r="I40">
            <v>1</v>
          </cell>
        </row>
      </sheetData>
      <sheetData sheetId="23"/>
      <sheetData sheetId="24"/>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CY MV-1 Publish"/>
    </sheetNames>
    <sheetDataSet>
      <sheetData sheetId="0">
        <row r="61">
          <cell r="D61">
            <v>102973881.03858075</v>
          </cell>
          <cell r="J61">
            <v>168560478.53889334</v>
          </cell>
        </row>
      </sheetData>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driveId="b!CstED6iED0KPgJlGH1b-3PArZ6nBQfRNvmFLNLT6IAYev1favuiKQpj2YdLpHEyu" itemId="014NKQ7BXP2ZA444NWLFFJUDJO5LHLVPZA">
      <xxl21:absoluteUrl r:id="rId2"/>
    </xxl21:alternateUrls>
    <sheetNames>
      <sheetName val="CY MV-1 Publish"/>
    </sheetNames>
    <sheetDataSet>
      <sheetData sheetId="0">
        <row r="61">
          <cell r="D61">
            <v>99946869.86114414</v>
          </cell>
          <cell r="J61">
            <v>172932333.63224709</v>
          </cell>
        </row>
      </sheetData>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driveId="b!CstED6iED0KPgJlGH1b-3PArZ6nBQfRNvmFLNLT6IAYev1favuiKQpj2YdLpHEyu" itemId="014NKQ7BXO2ZLQ7RPEEBBZ3PWK2WDNI2YP">
      <xxl21:absoluteUrl r:id="rId2"/>
    </xxl21:alternateUrls>
    <sheetNames>
      <sheetName val="2022"/>
    </sheetNames>
    <sheetDataSet>
      <sheetData sheetId="0">
        <row r="9">
          <cell r="C9">
            <v>1181148</v>
          </cell>
          <cell r="D9">
            <v>951170</v>
          </cell>
        </row>
        <row r="10">
          <cell r="C10">
            <v>1278233</v>
          </cell>
          <cell r="D10">
            <v>1033975</v>
          </cell>
        </row>
        <row r="11">
          <cell r="C11">
            <v>1341152</v>
          </cell>
          <cell r="D11">
            <v>1089709</v>
          </cell>
        </row>
        <row r="12">
          <cell r="C12">
            <v>1284193</v>
          </cell>
          <cell r="D12">
            <v>1042818</v>
          </cell>
        </row>
        <row r="13">
          <cell r="C13">
            <v>1233523</v>
          </cell>
          <cell r="D13">
            <v>1001879</v>
          </cell>
        </row>
        <row r="14">
          <cell r="C14">
            <v>1232731</v>
          </cell>
          <cell r="D14">
            <v>1000684</v>
          </cell>
        </row>
        <row r="15">
          <cell r="C15">
            <v>1259544</v>
          </cell>
          <cell r="D15">
            <v>1016088</v>
          </cell>
        </row>
        <row r="16">
          <cell r="C16">
            <v>1267136</v>
          </cell>
          <cell r="D16">
            <v>1023774</v>
          </cell>
        </row>
        <row r="17">
          <cell r="C17">
            <v>1279843</v>
          </cell>
          <cell r="D17">
            <v>1038642</v>
          </cell>
        </row>
        <row r="18">
          <cell r="C18">
            <v>1235139</v>
          </cell>
          <cell r="D18">
            <v>1000939</v>
          </cell>
        </row>
        <row r="19">
          <cell r="C19">
            <v>1233657</v>
          </cell>
          <cell r="D19">
            <v>1000511</v>
          </cell>
        </row>
        <row r="20">
          <cell r="C20">
            <v>1241543</v>
          </cell>
          <cell r="D20">
            <v>1008471</v>
          </cell>
        </row>
        <row r="25">
          <cell r="B25">
            <v>191850</v>
          </cell>
        </row>
        <row r="26">
          <cell r="B26">
            <v>200124</v>
          </cell>
        </row>
        <row r="27">
          <cell r="B27">
            <v>203790</v>
          </cell>
        </row>
        <row r="28">
          <cell r="B28">
            <v>196892</v>
          </cell>
        </row>
        <row r="29">
          <cell r="B29">
            <v>191984</v>
          </cell>
        </row>
        <row r="30">
          <cell r="B30">
            <v>194043</v>
          </cell>
        </row>
        <row r="31">
          <cell r="B31">
            <v>197005</v>
          </cell>
        </row>
        <row r="32">
          <cell r="B32">
            <v>195849</v>
          </cell>
        </row>
        <row r="33">
          <cell r="B33">
            <v>194263</v>
          </cell>
        </row>
        <row r="34">
          <cell r="B34">
            <v>189547</v>
          </cell>
        </row>
        <row r="35">
          <cell r="B35">
            <v>187927</v>
          </cell>
        </row>
        <row r="36">
          <cell r="B36">
            <v>186860</v>
          </cell>
        </row>
      </sheetData>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driveId="b!CstED6iED0KPgJlGH1b-3PArZ6nBQfRNvmFLNLT6IAYev1favuiKQpj2YdLpHEyu" itemId="014NKQ7BSBITXLGY3W3NH3QRMXPPJ7Y64A">
      <xxl21:absoluteUrl r:id="rId3"/>
    </xxl21:alternateUrls>
    <sheetNames>
      <sheetName val="Hawaii Pop by County"/>
      <sheetName val="2020 Data Download"/>
      <sheetName val="2022 Data Download"/>
    </sheetNames>
    <sheetDataSet>
      <sheetData sheetId="0" refreshError="1">
        <row r="2">
          <cell r="B2" t="str">
            <v>Compiled by Research &amp; Economic Analysis Division, State of Hawaii Department of Business, Economic Development and Tourism. For more information please visit: http://dbedt.hawaii.gov/economic</v>
          </cell>
          <cell r="D2"/>
          <cell r="E2"/>
          <cell r="F2"/>
        </row>
        <row r="3">
          <cell r="B3" t="str">
            <v>Source: Hawaii State, DBEDT</v>
          </cell>
          <cell r="D3"/>
          <cell r="E3"/>
          <cell r="F3"/>
        </row>
        <row r="4">
          <cell r="B4" t="str">
            <v>Downloaded 5/17/2024 from "DATAWAREHOUSE." Population and Vital Statistics --&gt; Population Total --&gt; De Facto Population. Website: http://dbedt.hawaii.gov/economic/datawarehouse/</v>
          </cell>
          <cell r="D4"/>
          <cell r="E4"/>
          <cell r="F4"/>
        </row>
        <row r="5">
          <cell r="B5" t="str">
            <v>De Facto Population</v>
          </cell>
          <cell r="C5"/>
          <cell r="D5"/>
          <cell r="E5"/>
          <cell r="F5"/>
        </row>
        <row r="6">
          <cell r="B6"/>
          <cell r="C6" t="str">
            <v>Hawaii County</v>
          </cell>
          <cell r="D6" t="str">
            <v>Honolulu County</v>
          </cell>
          <cell r="E6" t="str">
            <v>Kauai County</v>
          </cell>
          <cell r="F6" t="str">
            <v>Maui County</v>
          </cell>
          <cell r="I6" t="str">
            <v>Maui Island</v>
          </cell>
          <cell r="J6" t="str">
            <v>Lanai Island</v>
          </cell>
          <cell r="K6" t="str">
            <v>Molokai Island</v>
          </cell>
          <cell r="L6" t="str">
            <v>Kauai Island</v>
          </cell>
          <cell r="M6" t="str">
            <v>Niihau Island</v>
          </cell>
        </row>
        <row r="7">
          <cell r="B7">
            <v>1958</v>
          </cell>
        </row>
        <row r="8">
          <cell r="B8">
            <v>1959</v>
          </cell>
        </row>
        <row r="9">
          <cell r="B9">
            <v>1960</v>
          </cell>
        </row>
        <row r="10">
          <cell r="B10">
            <v>1961</v>
          </cell>
        </row>
        <row r="11">
          <cell r="B11">
            <v>1962</v>
          </cell>
        </row>
        <row r="12">
          <cell r="B12">
            <v>1963</v>
          </cell>
        </row>
        <row r="13">
          <cell r="B13">
            <v>1964</v>
          </cell>
        </row>
        <row r="14">
          <cell r="B14">
            <v>1965</v>
          </cell>
        </row>
        <row r="15">
          <cell r="B15">
            <v>1966</v>
          </cell>
        </row>
        <row r="16">
          <cell r="B16">
            <v>1967</v>
          </cell>
        </row>
        <row r="17">
          <cell r="B17">
            <v>1968</v>
          </cell>
        </row>
        <row r="18">
          <cell r="B18">
            <v>1969</v>
          </cell>
        </row>
        <row r="19">
          <cell r="B19">
            <v>1970</v>
          </cell>
        </row>
        <row r="20">
          <cell r="B20">
            <v>1971</v>
          </cell>
        </row>
        <row r="21">
          <cell r="B21">
            <v>1972</v>
          </cell>
        </row>
        <row r="22">
          <cell r="B22">
            <v>1973</v>
          </cell>
        </row>
        <row r="23">
          <cell r="B23">
            <v>1974</v>
          </cell>
        </row>
        <row r="24">
          <cell r="B24">
            <v>1975</v>
          </cell>
        </row>
        <row r="25">
          <cell r="B25">
            <v>1976</v>
          </cell>
        </row>
        <row r="26">
          <cell r="B26">
            <v>1977</v>
          </cell>
        </row>
        <row r="27">
          <cell r="B27">
            <v>1978</v>
          </cell>
        </row>
        <row r="28">
          <cell r="B28">
            <v>1979</v>
          </cell>
        </row>
        <row r="29">
          <cell r="B29">
            <v>1980</v>
          </cell>
          <cell r="C29">
            <v>99181</v>
          </cell>
          <cell r="D29">
            <v>822408</v>
          </cell>
          <cell r="E29">
            <v>46341</v>
          </cell>
          <cell r="F29">
            <v>86288</v>
          </cell>
        </row>
        <row r="30">
          <cell r="B30">
            <v>1981</v>
          </cell>
          <cell r="C30">
            <v>101597</v>
          </cell>
          <cell r="D30">
            <v>823849</v>
          </cell>
          <cell r="E30">
            <v>47246</v>
          </cell>
          <cell r="F30">
            <v>88895</v>
          </cell>
        </row>
        <row r="31">
          <cell r="B31">
            <v>1982</v>
          </cell>
          <cell r="C31">
            <v>104087</v>
          </cell>
          <cell r="D31">
            <v>835903</v>
          </cell>
          <cell r="E31">
            <v>48304</v>
          </cell>
          <cell r="F31">
            <v>94016</v>
          </cell>
        </row>
        <row r="32">
          <cell r="B32">
            <v>1983</v>
          </cell>
          <cell r="C32">
            <v>108331</v>
          </cell>
          <cell r="D32">
            <v>844984</v>
          </cell>
          <cell r="E32">
            <v>50419</v>
          </cell>
          <cell r="F32">
            <v>103829</v>
          </cell>
        </row>
        <row r="33">
          <cell r="B33">
            <v>1984</v>
          </cell>
          <cell r="C33">
            <v>109480</v>
          </cell>
          <cell r="D33">
            <v>851350</v>
          </cell>
          <cell r="E33">
            <v>54027</v>
          </cell>
          <cell r="F33">
            <v>114230</v>
          </cell>
        </row>
        <row r="34">
          <cell r="B34">
            <v>1985</v>
          </cell>
          <cell r="C34">
            <v>112343</v>
          </cell>
          <cell r="D34">
            <v>853605</v>
          </cell>
          <cell r="E34">
            <v>55086</v>
          </cell>
          <cell r="F34">
            <v>115125</v>
          </cell>
        </row>
        <row r="35">
          <cell r="B35">
            <v>1986</v>
          </cell>
          <cell r="C35">
            <v>116451</v>
          </cell>
          <cell r="D35">
            <v>869891</v>
          </cell>
          <cell r="E35">
            <v>59599</v>
          </cell>
          <cell r="F35">
            <v>119885</v>
          </cell>
        </row>
        <row r="36">
          <cell r="B36">
            <v>1987</v>
          </cell>
          <cell r="C36">
            <v>120289</v>
          </cell>
          <cell r="D36">
            <v>880191</v>
          </cell>
          <cell r="E36">
            <v>62007</v>
          </cell>
          <cell r="F36">
            <v>122906</v>
          </cell>
        </row>
        <row r="37">
          <cell r="B37">
            <v>1988</v>
          </cell>
          <cell r="C37">
            <v>122038</v>
          </cell>
          <cell r="D37">
            <v>887025</v>
          </cell>
          <cell r="E37">
            <v>64090</v>
          </cell>
          <cell r="F37">
            <v>125484</v>
          </cell>
        </row>
        <row r="38">
          <cell r="B38">
            <v>1989</v>
          </cell>
          <cell r="C38">
            <v>131153</v>
          </cell>
          <cell r="D38">
            <v>898727</v>
          </cell>
          <cell r="E38">
            <v>67300</v>
          </cell>
          <cell r="F38">
            <v>137460</v>
          </cell>
        </row>
        <row r="39">
          <cell r="B39">
            <v>1990</v>
          </cell>
          <cell r="C39">
            <v>137103</v>
          </cell>
          <cell r="D39">
            <v>913268</v>
          </cell>
          <cell r="E39">
            <v>68558</v>
          </cell>
          <cell r="F39">
            <v>138390</v>
          </cell>
          <cell r="G39">
            <v>1257319</v>
          </cell>
          <cell r="I39">
            <v>0.92493699835394505</v>
          </cell>
          <cell r="J39">
            <v>1.9148130344214774E-2</v>
          </cell>
          <cell r="K39">
            <v>5.5914871301839794E-2</v>
          </cell>
          <cell r="L39">
            <v>0.99667466121271864</v>
          </cell>
          <cell r="M39">
            <v>3.325338787281315E-3</v>
          </cell>
          <cell r="O39">
            <v>128002.03120220246</v>
          </cell>
          <cell r="P39">
            <v>2649.9097583358825</v>
          </cell>
          <cell r="Q39">
            <v>7738.0590394616092</v>
          </cell>
          <cell r="R39">
            <v>68330.021423421567</v>
          </cell>
          <cell r="S39">
            <v>227.97857657843238</v>
          </cell>
        </row>
        <row r="40">
          <cell r="B40">
            <v>1991</v>
          </cell>
          <cell r="C40">
            <v>141240</v>
          </cell>
          <cell r="D40">
            <v>901717</v>
          </cell>
          <cell r="E40">
            <v>69605</v>
          </cell>
          <cell r="F40">
            <v>139703</v>
          </cell>
          <cell r="I40">
            <v>0.92465418695018731</v>
          </cell>
          <cell r="J40">
            <v>1.9502922751167974E-2</v>
          </cell>
          <cell r="K40">
            <v>5.5842890298644726E-2</v>
          </cell>
          <cell r="L40">
            <v>0.9967789084964126</v>
          </cell>
          <cell r="M40">
            <v>3.2210915035873972E-3</v>
          </cell>
          <cell r="O40">
            <v>129176.96387950201</v>
          </cell>
          <cell r="P40">
            <v>2724.6168171064196</v>
          </cell>
          <cell r="Q40">
            <v>7801.4193033915644</v>
          </cell>
          <cell r="R40">
            <v>69380.795925892802</v>
          </cell>
          <cell r="S40">
            <v>224.20407410720077</v>
          </cell>
        </row>
        <row r="41">
          <cell r="B41">
            <v>1992</v>
          </cell>
          <cell r="C41">
            <v>146421</v>
          </cell>
          <cell r="D41">
            <v>912514</v>
          </cell>
          <cell r="E41">
            <v>66076</v>
          </cell>
          <cell r="F41">
            <v>146651</v>
          </cell>
          <cell r="I41">
            <v>0.924818021519899</v>
          </cell>
          <cell r="J41">
            <v>1.9720541805924429E-2</v>
          </cell>
          <cell r="K41">
            <v>5.5461436674176481E-2</v>
          </cell>
          <cell r="L41">
            <v>0.99691074900852006</v>
          </cell>
          <cell r="M41">
            <v>3.0892509914798695E-3</v>
          </cell>
          <cell r="O41">
            <v>135625.4876739147</v>
          </cell>
          <cell r="P41">
            <v>2892.0371763806234</v>
          </cell>
          <cell r="Q41">
            <v>8133.4751497046555</v>
          </cell>
          <cell r="R41">
            <v>65871.874651486971</v>
          </cell>
          <cell r="S41">
            <v>204.12534851302385</v>
          </cell>
        </row>
        <row r="42">
          <cell r="B42">
            <v>1993</v>
          </cell>
          <cell r="C42">
            <v>148014</v>
          </cell>
          <cell r="D42">
            <v>909506</v>
          </cell>
          <cell r="E42">
            <v>61262</v>
          </cell>
          <cell r="F42">
            <v>149067</v>
          </cell>
          <cell r="I42">
            <v>0.92350760650778085</v>
          </cell>
          <cell r="J42">
            <v>2.0430974187064983E-2</v>
          </cell>
          <cell r="K42">
            <v>5.6061419305154202E-2</v>
          </cell>
          <cell r="L42">
            <v>0.99693444705365597</v>
          </cell>
          <cell r="M42">
            <v>3.0655529463441194E-3</v>
          </cell>
          <cell r="O42">
            <v>137664.50837929538</v>
          </cell>
          <cell r="P42">
            <v>3045.584029143216</v>
          </cell>
          <cell r="Q42">
            <v>8356.9075915614212</v>
          </cell>
          <cell r="R42">
            <v>61074.198095401072</v>
          </cell>
          <cell r="S42">
            <v>187.80190459893345</v>
          </cell>
        </row>
        <row r="43">
          <cell r="B43">
            <v>1994</v>
          </cell>
          <cell r="C43">
            <v>150311</v>
          </cell>
          <cell r="D43">
            <v>919898</v>
          </cell>
          <cell r="E43">
            <v>67161</v>
          </cell>
          <cell r="F43">
            <v>152434</v>
          </cell>
          <cell r="I43">
            <v>0.92464280685673805</v>
          </cell>
          <cell r="J43">
            <v>2.0335011206218459E-2</v>
          </cell>
          <cell r="K43">
            <v>5.5022181937043599E-2</v>
          </cell>
          <cell r="L43">
            <v>0.99712306142334151</v>
          </cell>
          <cell r="M43">
            <v>2.8769385766584995E-3</v>
          </cell>
          <cell r="O43">
            <v>140947.0016204</v>
          </cell>
          <cell r="P43">
            <v>3099.7470982087048</v>
          </cell>
          <cell r="Q43">
            <v>8387.2512813913036</v>
          </cell>
          <cell r="R43">
            <v>66967.78192825304</v>
          </cell>
          <cell r="S43">
            <v>193.21807174696147</v>
          </cell>
        </row>
        <row r="44">
          <cell r="B44">
            <v>1995</v>
          </cell>
          <cell r="C44">
            <v>152482</v>
          </cell>
          <cell r="D44">
            <v>921626</v>
          </cell>
          <cell r="E44">
            <v>68844</v>
          </cell>
          <cell r="F44">
            <v>155144</v>
          </cell>
          <cell r="I44">
            <v>0.92498086070276164</v>
          </cell>
          <cell r="J44">
            <v>2.0504730731465366E-2</v>
          </cell>
          <cell r="K44">
            <v>5.4514408565772894E-2</v>
          </cell>
          <cell r="L44">
            <v>0.99725040963165468</v>
          </cell>
          <cell r="M44">
            <v>2.7495903683452606E-3</v>
          </cell>
          <cell r="O44">
            <v>143505.23065286924</v>
          </cell>
          <cell r="P44">
            <v>3181.1859446024628</v>
          </cell>
          <cell r="Q44">
            <v>8457.5834025282693</v>
          </cell>
          <cell r="R44">
            <v>68654.707200681631</v>
          </cell>
          <cell r="S44">
            <v>189.29279931836112</v>
          </cell>
        </row>
        <row r="45">
          <cell r="B45">
            <v>1996</v>
          </cell>
          <cell r="C45">
            <v>154364</v>
          </cell>
          <cell r="D45">
            <v>921609</v>
          </cell>
          <cell r="E45">
            <v>70474</v>
          </cell>
          <cell r="F45">
            <v>157468</v>
          </cell>
          <cell r="I45">
            <v>0.9253190791768342</v>
          </cell>
          <cell r="J45">
            <v>2.0675168391721982E-2</v>
          </cell>
          <cell r="K45">
            <v>5.4005752431443892E-2</v>
          </cell>
          <cell r="L45">
            <v>0.99737202675588221</v>
          </cell>
          <cell r="M45">
            <v>2.6279732441177647E-3</v>
          </cell>
          <cell r="O45">
            <v>145708.14475981772</v>
          </cell>
          <cell r="P45">
            <v>3255.677416307677</v>
          </cell>
          <cell r="Q45">
            <v>8504.1778238746065</v>
          </cell>
          <cell r="R45">
            <v>70288.796213594047</v>
          </cell>
          <cell r="S45">
            <v>185.20378640595536</v>
          </cell>
        </row>
        <row r="46">
          <cell r="B46">
            <v>1997</v>
          </cell>
          <cell r="C46">
            <v>161225</v>
          </cell>
          <cell r="D46">
            <v>932931</v>
          </cell>
          <cell r="E46">
            <v>71763</v>
          </cell>
          <cell r="F46">
            <v>162011</v>
          </cell>
          <cell r="I46">
            <v>0.92709573945462387</v>
          </cell>
          <cell r="J46">
            <v>2.0330361709660096E-2</v>
          </cell>
          <cell r="K46">
            <v>5.257389883571599E-2</v>
          </cell>
          <cell r="L46">
            <v>0.99757842506865113</v>
          </cell>
          <cell r="M46">
            <v>2.4215749313490072E-3</v>
          </cell>
          <cell r="O46">
            <v>150199.70784478306</v>
          </cell>
          <cell r="P46">
            <v>3293.742230943742</v>
          </cell>
          <cell r="Q46">
            <v>8517.5499242731839</v>
          </cell>
          <cell r="R46">
            <v>71589.220518201604</v>
          </cell>
          <cell r="S46">
            <v>173.77948179839879</v>
          </cell>
        </row>
        <row r="47">
          <cell r="B47">
            <v>1998</v>
          </cell>
          <cell r="C47">
            <v>165205</v>
          </cell>
          <cell r="D47">
            <v>931439</v>
          </cell>
          <cell r="E47">
            <v>73920</v>
          </cell>
          <cell r="F47">
            <v>163562</v>
          </cell>
          <cell r="I47">
            <v>0.92769567388254437</v>
          </cell>
          <cell r="J47">
            <v>2.0396595900576051E-2</v>
          </cell>
          <cell r="K47">
            <v>5.1907730216879715E-2</v>
          </cell>
          <cell r="L47">
            <v>0.99770315743339721</v>
          </cell>
          <cell r="M47">
            <v>2.2968425666028787E-3</v>
          </cell>
          <cell r="O47">
            <v>151735.75981157672</v>
          </cell>
          <cell r="P47">
            <v>3336.1080186900199</v>
          </cell>
          <cell r="Q47">
            <v>8490.1321697332805</v>
          </cell>
          <cell r="R47">
            <v>73750.217397476721</v>
          </cell>
          <cell r="S47">
            <v>169.78260252328479</v>
          </cell>
        </row>
        <row r="48">
          <cell r="B48">
            <v>1999</v>
          </cell>
          <cell r="C48">
            <v>164570</v>
          </cell>
          <cell r="D48">
            <v>927689</v>
          </cell>
          <cell r="E48">
            <v>74441</v>
          </cell>
          <cell r="F48">
            <v>165743</v>
          </cell>
          <cell r="I48">
            <v>0.92833085141591709</v>
          </cell>
          <cell r="J48">
            <v>2.0446483623675876E-2</v>
          </cell>
          <cell r="K48">
            <v>5.122266496040704E-2</v>
          </cell>
          <cell r="L48">
            <v>0.99782430653635523</v>
          </cell>
          <cell r="M48">
            <v>2.1756934636447964E-3</v>
          </cell>
          <cell r="O48">
            <v>153864.34030622835</v>
          </cell>
          <cell r="P48">
            <v>3388.8615352389106</v>
          </cell>
          <cell r="Q48">
            <v>8489.7981585327434</v>
          </cell>
          <cell r="R48">
            <v>74279.039202872824</v>
          </cell>
          <cell r="S48">
            <v>161.9607971271823</v>
          </cell>
        </row>
        <row r="49">
          <cell r="B49">
            <v>2000</v>
          </cell>
          <cell r="C49">
            <v>166429</v>
          </cell>
          <cell r="D49">
            <v>926192</v>
          </cell>
          <cell r="E49">
            <v>74734</v>
          </cell>
          <cell r="F49">
            <v>168650</v>
          </cell>
          <cell r="I49">
            <v>0.92658296943231444</v>
          </cell>
          <cell r="J49">
            <v>2.5174435162331497E-2</v>
          </cell>
          <cell r="K49">
            <v>4.824259540535409E-2</v>
          </cell>
          <cell r="L49">
            <v>0.99787234042553197</v>
          </cell>
          <cell r="M49">
            <v>2.1276595744680851E-3</v>
          </cell>
          <cell r="O49">
            <v>156268.21779475984</v>
          </cell>
          <cell r="P49">
            <v>4245.6684901272074</v>
          </cell>
          <cell r="Q49">
            <v>8136.1137151129669</v>
          </cell>
          <cell r="R49">
            <v>74574.99148936171</v>
          </cell>
          <cell r="S49">
            <v>159.00851063829788</v>
          </cell>
        </row>
        <row r="50">
          <cell r="B50">
            <v>2001</v>
          </cell>
          <cell r="C50">
            <v>168131</v>
          </cell>
          <cell r="D50">
            <v>926713</v>
          </cell>
          <cell r="E50">
            <v>73940</v>
          </cell>
          <cell r="F50">
            <v>168845</v>
          </cell>
          <cell r="I50">
            <v>0.92698904141168159</v>
          </cell>
          <cell r="J50">
            <v>2.5004152627943647E-2</v>
          </cell>
          <cell r="K50">
            <v>4.8006805960374779E-2</v>
          </cell>
          <cell r="L50">
            <v>0.99781084368818929</v>
          </cell>
          <cell r="M50">
            <v>2.1891563118106639E-3</v>
          </cell>
          <cell r="O50">
            <v>156517.46469715537</v>
          </cell>
          <cell r="P50">
            <v>4221.8261504651455</v>
          </cell>
          <cell r="Q50">
            <v>8105.7091523794797</v>
          </cell>
          <cell r="R50">
            <v>73778.133782304722</v>
          </cell>
          <cell r="S50">
            <v>161.86621769528048</v>
          </cell>
        </row>
        <row r="51">
          <cell r="B51">
            <v>2002</v>
          </cell>
          <cell r="C51">
            <v>171784</v>
          </cell>
          <cell r="D51">
            <v>934070</v>
          </cell>
          <cell r="E51">
            <v>74895</v>
          </cell>
          <cell r="F51">
            <v>172302</v>
          </cell>
          <cell r="I51">
            <v>0.92698413997641937</v>
          </cell>
          <cell r="J51">
            <v>2.5004098777618416E-2</v>
          </cell>
          <cell r="K51">
            <v>4.8011761245962251E-2</v>
          </cell>
          <cell r="L51">
            <v>0.99781300177159404</v>
          </cell>
          <cell r="M51">
            <v>2.1869982284060145E-3</v>
          </cell>
          <cell r="O51">
            <v>159721.22128621701</v>
          </cell>
          <cell r="P51">
            <v>4308.2562275812088</v>
          </cell>
          <cell r="Q51">
            <v>8272.5224862017876</v>
          </cell>
          <cell r="R51">
            <v>74731.204767683535</v>
          </cell>
          <cell r="S51">
            <v>163.79523231646846</v>
          </cell>
        </row>
        <row r="52">
          <cell r="B52">
            <v>2003</v>
          </cell>
          <cell r="C52">
            <v>174683</v>
          </cell>
          <cell r="D52">
            <v>931880</v>
          </cell>
          <cell r="E52">
            <v>76148</v>
          </cell>
          <cell r="F52">
            <v>176044</v>
          </cell>
          <cell r="I52">
            <v>0.92647516427162624</v>
          </cell>
          <cell r="J52">
            <v>2.4998506842650401E-2</v>
          </cell>
          <cell r="K52">
            <v>4.852632888572328E-2</v>
          </cell>
          <cell r="L52">
            <v>0.99778562593659936</v>
          </cell>
          <cell r="M52">
            <v>2.214374063400778E-3</v>
          </cell>
          <cell r="O52">
            <v>163100.39381903416</v>
          </cell>
          <cell r="P52">
            <v>4400.8371386075469</v>
          </cell>
          <cell r="Q52">
            <v>8542.7690423582699</v>
          </cell>
          <cell r="R52">
            <v>75979.379843820163</v>
          </cell>
          <cell r="S52">
            <v>168.62015617984244</v>
          </cell>
        </row>
        <row r="53">
          <cell r="B53">
            <v>2004</v>
          </cell>
          <cell r="C53">
            <v>180107</v>
          </cell>
          <cell r="D53">
            <v>949262</v>
          </cell>
          <cell r="E53">
            <v>78167</v>
          </cell>
          <cell r="F53">
            <v>180033</v>
          </cell>
          <cell r="I53">
            <v>0.92677852144556794</v>
          </cell>
          <cell r="J53">
            <v>2.5001839719981846E-2</v>
          </cell>
          <cell r="K53">
            <v>4.8219638834450115E-2</v>
          </cell>
          <cell r="L53">
            <v>0.99780581512521094</v>
          </cell>
          <cell r="M53">
            <v>2.1941848747891054E-3</v>
          </cell>
          <cell r="O53">
            <v>166850.71755140994</v>
          </cell>
          <cell r="P53">
            <v>4501.1562103074921</v>
          </cell>
          <cell r="Q53">
            <v>8681.1262382825571</v>
          </cell>
          <cell r="R53">
            <v>77995.487150892368</v>
          </cell>
          <cell r="S53">
            <v>171.51284910763999</v>
          </cell>
        </row>
        <row r="54">
          <cell r="B54">
            <v>2005</v>
          </cell>
          <cell r="C54">
            <v>188612</v>
          </cell>
          <cell r="D54">
            <v>959340</v>
          </cell>
          <cell r="E54">
            <v>79561</v>
          </cell>
          <cell r="F54">
            <v>184987</v>
          </cell>
          <cell r="G54">
            <v>1412500</v>
          </cell>
          <cell r="I54">
            <v>0.92702581819729812</v>
          </cell>
          <cell r="J54">
            <v>2.5004556681401526E-2</v>
          </cell>
          <cell r="K54">
            <v>4.7969625121300381E-2</v>
          </cell>
          <cell r="L54">
            <v>0.99782284375707275</v>
          </cell>
          <cell r="M54">
            <v>2.1771562429272421E-3</v>
          </cell>
          <cell r="O54">
            <v>171487.7250308636</v>
          </cell>
          <cell r="P54">
            <v>4625.5179268224238</v>
          </cell>
          <cell r="Q54">
            <v>8873.7570423139932</v>
          </cell>
          <cell r="R54">
            <v>79387.783272156463</v>
          </cell>
          <cell r="S54">
            <v>173.2167278435343</v>
          </cell>
        </row>
        <row r="55">
          <cell r="B55">
            <v>2006</v>
          </cell>
          <cell r="C55">
            <v>194008</v>
          </cell>
          <cell r="D55">
            <v>967400</v>
          </cell>
          <cell r="E55">
            <v>80887</v>
          </cell>
          <cell r="F55">
            <v>188221</v>
          </cell>
          <cell r="I55">
            <v>0.92697998922941327</v>
          </cell>
          <cell r="J55">
            <v>2.5004053174837955E-2</v>
          </cell>
          <cell r="K55">
            <v>4.801595759574883E-2</v>
          </cell>
          <cell r="L55">
            <v>0.99782145556038637</v>
          </cell>
          <cell r="M55">
            <v>2.1785444396135441E-3</v>
          </cell>
          <cell r="O55">
            <v>174477.10055274938</v>
          </cell>
          <cell r="P55">
            <v>4706.2878926211752</v>
          </cell>
          <cell r="Q55">
            <v>9037.6115546294404</v>
          </cell>
          <cell r="R55">
            <v>80710.784075912976</v>
          </cell>
          <cell r="S55">
            <v>176.21592408702074</v>
          </cell>
        </row>
        <row r="56">
          <cell r="B56">
            <v>2007</v>
          </cell>
          <cell r="C56">
            <v>196723</v>
          </cell>
          <cell r="D56">
            <v>963577</v>
          </cell>
          <cell r="E56">
            <v>83286</v>
          </cell>
          <cell r="F56">
            <v>189875</v>
          </cell>
          <cell r="G56">
            <v>1433461</v>
          </cell>
          <cell r="I56">
            <v>0.92699182401766211</v>
          </cell>
          <cell r="J56">
            <v>2.5004183199445459E-2</v>
          </cell>
          <cell r="K56">
            <v>4.8003992782892378E-2</v>
          </cell>
          <cell r="L56">
            <v>0.99782347804845051</v>
          </cell>
          <cell r="M56">
            <v>2.1765219515494905E-3</v>
          </cell>
          <cell r="O56">
            <v>176012.5725853536</v>
          </cell>
          <cell r="P56">
            <v>4747.6692849947067</v>
          </cell>
          <cell r="Q56">
            <v>9114.758129651691</v>
          </cell>
          <cell r="R56">
            <v>83104.726192743256</v>
          </cell>
          <cell r="S56">
            <v>181.27380725675087</v>
          </cell>
        </row>
        <row r="57">
          <cell r="B57">
            <v>2008</v>
          </cell>
          <cell r="C57">
            <v>198413</v>
          </cell>
          <cell r="D57">
            <v>962908</v>
          </cell>
          <cell r="E57">
            <v>81968</v>
          </cell>
          <cell r="F57">
            <v>189331</v>
          </cell>
          <cell r="I57">
            <v>0.92469745216973709</v>
          </cell>
          <cell r="J57">
            <v>2.499910218629629E-2</v>
          </cell>
          <cell r="K57">
            <v>5.0303445643966563E-2</v>
          </cell>
          <cell r="L57">
            <v>0.99772805971148082</v>
          </cell>
          <cell r="M57">
            <v>2.2719402885190733E-3</v>
          </cell>
          <cell r="O57">
            <v>175073.89331674849</v>
          </cell>
          <cell r="P57">
            <v>4733.1050160336627</v>
          </cell>
          <cell r="Q57">
            <v>9524.0016672178335</v>
          </cell>
          <cell r="R57">
            <v>81781.773598430664</v>
          </cell>
          <cell r="S57">
            <v>186.22640156933139</v>
          </cell>
        </row>
        <row r="58">
          <cell r="B58">
            <v>2009</v>
          </cell>
          <cell r="C58">
            <v>199047</v>
          </cell>
          <cell r="D58">
            <v>972202</v>
          </cell>
          <cell r="E58">
            <v>82101</v>
          </cell>
          <cell r="F58">
            <v>189206</v>
          </cell>
          <cell r="I58">
            <v>0.92469745216973731</v>
          </cell>
          <cell r="J58">
            <v>2.4999102186296276E-2</v>
          </cell>
          <cell r="K58">
            <v>5.0303445643966528E-2</v>
          </cell>
          <cell r="L58">
            <v>0.99772805971148082</v>
          </cell>
          <cell r="M58">
            <v>2.2719402885190729E-3</v>
          </cell>
          <cell r="O58">
            <v>174958.30613522732</v>
          </cell>
          <cell r="P58">
            <v>4729.980128260373</v>
          </cell>
          <cell r="Q58">
            <v>9517.7137365123308</v>
          </cell>
          <cell r="R58">
            <v>81914.471430372287</v>
          </cell>
          <cell r="S58">
            <v>186.5285696277044</v>
          </cell>
        </row>
        <row r="59">
          <cell r="B59">
            <v>2010</v>
          </cell>
          <cell r="C59">
            <v>202410</v>
          </cell>
          <cell r="D59">
            <v>988402</v>
          </cell>
          <cell r="E59">
            <v>83189</v>
          </cell>
          <cell r="F59">
            <v>194735</v>
          </cell>
          <cell r="G59">
            <v>1468736</v>
          </cell>
          <cell r="I59">
            <v>0.92469745216973742</v>
          </cell>
          <cell r="J59">
            <v>2.4999102186296272E-2</v>
          </cell>
          <cell r="K59">
            <v>5.0303445643966459E-2</v>
          </cell>
          <cell r="L59">
            <v>0.99772805971148082</v>
          </cell>
          <cell r="M59">
            <v>2.2719402885190746E-3</v>
          </cell>
          <cell r="O59">
            <v>180070.95834827382</v>
          </cell>
          <cell r="P59">
            <v>4868.2001642484047</v>
          </cell>
          <cell r="Q59">
            <v>9795.8414874778082</v>
          </cell>
          <cell r="R59">
            <v>82999.999559338379</v>
          </cell>
          <cell r="S59">
            <v>189.00044066161328</v>
          </cell>
        </row>
        <row r="60">
          <cell r="B60">
            <v>2011</v>
          </cell>
          <cell r="C60">
            <v>205498</v>
          </cell>
          <cell r="D60">
            <v>1006527</v>
          </cell>
          <cell r="E60">
            <v>85327</v>
          </cell>
          <cell r="F60">
            <v>198595</v>
          </cell>
          <cell r="I60">
            <v>0.9246974521697372</v>
          </cell>
          <cell r="J60">
            <v>2.4999102186296269E-2</v>
          </cell>
          <cell r="K60">
            <v>5.0303445643966514E-2</v>
          </cell>
          <cell r="L60">
            <v>0.99772805971148082</v>
          </cell>
          <cell r="M60">
            <v>2.2719402885190707E-3</v>
          </cell>
          <cell r="O60">
            <v>183640.29051364897</v>
          </cell>
          <cell r="P60">
            <v>4964.6966986875077</v>
          </cell>
          <cell r="Q60">
            <v>9990.0127876635306</v>
          </cell>
          <cell r="R60">
            <v>85133.142151001521</v>
          </cell>
          <cell r="S60">
            <v>193.85784899846675</v>
          </cell>
        </row>
        <row r="61">
          <cell r="B61">
            <v>2012</v>
          </cell>
          <cell r="C61">
            <v>209047</v>
          </cell>
          <cell r="D61">
            <v>1030914</v>
          </cell>
          <cell r="E61">
            <v>87547</v>
          </cell>
          <cell r="F61">
            <v>201958</v>
          </cell>
          <cell r="I61">
            <v>0.9246974521697372</v>
          </cell>
          <cell r="J61">
            <v>2.4999102186296269E-2</v>
          </cell>
          <cell r="K61">
            <v>5.03034456439665E-2</v>
          </cell>
          <cell r="L61">
            <v>0.99772805971148093</v>
          </cell>
          <cell r="M61">
            <v>2.2719402885190711E-3</v>
          </cell>
          <cell r="O61">
            <v>186750.04804529579</v>
          </cell>
          <cell r="P61">
            <v>5048.7686793400217</v>
          </cell>
          <cell r="Q61">
            <v>10159.183275364187</v>
          </cell>
          <cell r="R61">
            <v>87348.098443561015</v>
          </cell>
          <cell r="S61">
            <v>198.90155643897913</v>
          </cell>
        </row>
        <row r="62">
          <cell r="B62">
            <v>2013</v>
          </cell>
          <cell r="C62">
            <v>212011</v>
          </cell>
          <cell r="D62">
            <v>1047769</v>
          </cell>
          <cell r="E62">
            <v>89986</v>
          </cell>
          <cell r="F62">
            <v>206604</v>
          </cell>
          <cell r="I62">
            <v>0.9246974521697372</v>
          </cell>
          <cell r="J62">
            <v>2.4999102186296276E-2</v>
          </cell>
          <cell r="K62">
            <v>5.0303445643966486E-2</v>
          </cell>
          <cell r="L62">
            <v>0.99772805971148093</v>
          </cell>
          <cell r="M62">
            <v>2.271940288519072E-3</v>
          </cell>
          <cell r="O62">
            <v>191046.19240807637</v>
          </cell>
          <cell r="P62">
            <v>5164.9145080975559</v>
          </cell>
          <cell r="Q62">
            <v>10392.893083826051</v>
          </cell>
          <cell r="R62">
            <v>89781.55718119732</v>
          </cell>
          <cell r="S62">
            <v>204.44281880267721</v>
          </cell>
        </row>
        <row r="63">
          <cell r="B63">
            <v>2014</v>
          </cell>
          <cell r="C63">
            <v>215042</v>
          </cell>
          <cell r="D63">
            <v>1058783</v>
          </cell>
          <cell r="E63">
            <v>90942</v>
          </cell>
          <cell r="F63">
            <v>210099</v>
          </cell>
          <cell r="I63">
            <v>0.92469745216973731</v>
          </cell>
          <cell r="J63">
            <v>2.4999102186296269E-2</v>
          </cell>
          <cell r="K63">
            <v>5.0303445643966473E-2</v>
          </cell>
          <cell r="L63">
            <v>0.99772805971148104</v>
          </cell>
          <cell r="M63">
            <v>2.2719402885190724E-3</v>
          </cell>
          <cell r="O63">
            <v>194278.01000340964</v>
          </cell>
          <cell r="P63">
            <v>5252.2863702386594</v>
          </cell>
          <cell r="Q63">
            <v>10568.703626351711</v>
          </cell>
          <cell r="R63">
            <v>90735.385206281513</v>
          </cell>
          <cell r="S63">
            <v>206.61479371850149</v>
          </cell>
        </row>
        <row r="64">
          <cell r="B64">
            <v>2015</v>
          </cell>
          <cell r="C64">
            <v>218770</v>
          </cell>
          <cell r="D64">
            <v>1072517</v>
          </cell>
          <cell r="E64">
            <v>92964</v>
          </cell>
          <cell r="F64">
            <v>213199</v>
          </cell>
          <cell r="G64">
            <v>1597450</v>
          </cell>
          <cell r="I64">
            <v>0.9246974521697372</v>
          </cell>
          <cell r="J64">
            <v>2.4999102186296269E-2</v>
          </cell>
          <cell r="K64">
            <v>5.0303445643966452E-2</v>
          </cell>
          <cell r="L64">
            <v>0.99772805971148082</v>
          </cell>
          <cell r="M64">
            <v>2.2719402885190742E-3</v>
          </cell>
          <cell r="O64">
            <v>197144.5721051358</v>
          </cell>
          <cell r="P64">
            <v>5329.783587016178</v>
          </cell>
          <cell r="Q64">
            <v>10724.644307848004</v>
          </cell>
          <cell r="R64">
            <v>92752.791343018107</v>
          </cell>
          <cell r="S64">
            <v>211.2086569818872</v>
          </cell>
        </row>
        <row r="65">
          <cell r="B65">
            <v>2016</v>
          </cell>
          <cell r="C65">
            <v>221095</v>
          </cell>
          <cell r="D65">
            <v>1079640</v>
          </cell>
          <cell r="E65">
            <v>93979</v>
          </cell>
          <cell r="F65">
            <v>216337</v>
          </cell>
          <cell r="G65">
            <v>1611051</v>
          </cell>
          <cell r="I65">
            <v>0.92469745216973731</v>
          </cell>
          <cell r="J65">
            <v>2.4999102186296269E-2</v>
          </cell>
          <cell r="K65">
            <v>5.0303445643966438E-2</v>
          </cell>
          <cell r="L65">
            <v>0.99772805971148104</v>
          </cell>
          <cell r="M65">
            <v>2.2719402885190772E-3</v>
          </cell>
          <cell r="O65">
            <v>200046.27271004446</v>
          </cell>
          <cell r="P65">
            <v>5408.2307696767757</v>
          </cell>
          <cell r="Q65">
            <v>10882.496520278768</v>
          </cell>
          <cell r="R65">
            <v>93765.485323625282</v>
          </cell>
          <cell r="S65">
            <v>213.51467637473436</v>
          </cell>
        </row>
        <row r="66">
          <cell r="B66">
            <v>2017</v>
          </cell>
          <cell r="C66">
            <v>226372</v>
          </cell>
          <cell r="D66">
            <v>1082858</v>
          </cell>
          <cell r="E66">
            <v>95964</v>
          </cell>
          <cell r="F66">
            <v>218969</v>
          </cell>
          <cell r="G66">
            <v>1624163</v>
          </cell>
          <cell r="I66">
            <v>0.92469745216973731</v>
          </cell>
          <cell r="J66">
            <v>2.4999102186296272E-2</v>
          </cell>
          <cell r="K66">
            <v>5.0303445643966417E-2</v>
          </cell>
          <cell r="L66">
            <v>0.99772805971148093</v>
          </cell>
          <cell r="M66">
            <v>2.2719402885190772E-3</v>
          </cell>
          <cell r="O66">
            <v>202480.0764041552</v>
          </cell>
          <cell r="P66">
            <v>5474.0284066311087</v>
          </cell>
          <cell r="Q66">
            <v>11014.895189213683</v>
          </cell>
          <cell r="R66">
            <v>95745.975522152556</v>
          </cell>
          <cell r="S66">
            <v>218.02447784744473</v>
          </cell>
        </row>
        <row r="67">
          <cell r="B67">
            <v>2018</v>
          </cell>
          <cell r="C67">
            <v>226774</v>
          </cell>
          <cell r="D67">
            <v>1085816</v>
          </cell>
          <cell r="E67">
            <v>98348</v>
          </cell>
          <cell r="F67">
            <v>223299</v>
          </cell>
          <cell r="G67">
            <v>1634237</v>
          </cell>
          <cell r="I67">
            <v>0.92469745216973731</v>
          </cell>
          <cell r="J67">
            <v>2.4999102186296272E-2</v>
          </cell>
          <cell r="K67">
            <v>5.0303445643966417E-2</v>
          </cell>
          <cell r="L67">
            <v>0.99772805971148093</v>
          </cell>
          <cell r="M67">
            <v>2.2719402885190772E-3</v>
          </cell>
          <cell r="O67">
            <v>206484.01637205016</v>
          </cell>
          <cell r="P67">
            <v>5582.2745190977712</v>
          </cell>
          <cell r="Q67">
            <v>11232.709108852057</v>
          </cell>
          <cell r="R67">
            <v>98124.559216504727</v>
          </cell>
          <cell r="S67">
            <v>223.44078349527419</v>
          </cell>
        </row>
        <row r="68">
          <cell r="B68">
            <v>2019</v>
          </cell>
          <cell r="C68">
            <v>226688</v>
          </cell>
          <cell r="D68">
            <v>1083883</v>
          </cell>
          <cell r="E68">
            <v>97463</v>
          </cell>
          <cell r="F68">
            <v>224554</v>
          </cell>
          <cell r="G68">
            <v>1632588</v>
          </cell>
          <cell r="I68">
            <v>0.92469745216973731</v>
          </cell>
          <cell r="J68">
            <v>2.4999102186296272E-2</v>
          </cell>
          <cell r="K68">
            <v>5.0303445643966417E-2</v>
          </cell>
          <cell r="L68">
            <v>0.99772805971148093</v>
          </cell>
          <cell r="M68">
            <v>2.2719402885190772E-3</v>
          </cell>
          <cell r="O68">
            <v>207644.51167452318</v>
          </cell>
          <cell r="P68">
            <v>5613.6483923415735</v>
          </cell>
          <cell r="Q68">
            <v>11295.839933135236</v>
          </cell>
          <cell r="R68">
            <v>97241.569883660064</v>
          </cell>
          <cell r="S68">
            <v>221.43011633993481</v>
          </cell>
        </row>
        <row r="69">
          <cell r="B69">
            <v>2020</v>
          </cell>
          <cell r="C69">
            <v>207869</v>
          </cell>
          <cell r="D69">
            <v>1015488</v>
          </cell>
          <cell r="E69">
            <v>78951</v>
          </cell>
          <cell r="F69">
            <v>180482</v>
          </cell>
          <cell r="G69">
            <v>1482790</v>
          </cell>
          <cell r="I69">
            <v>0.92469745216973731</v>
          </cell>
          <cell r="J69">
            <v>2.4999102186296272E-2</v>
          </cell>
          <cell r="K69">
            <v>5.0303445643966417E-2</v>
          </cell>
          <cell r="L69">
            <v>0.99772805971148093</v>
          </cell>
          <cell r="M69">
            <v>2.2719402885190772E-3</v>
          </cell>
          <cell r="O69">
            <v>166891.24556249852</v>
          </cell>
          <cell r="P69">
            <v>4511.887960787124</v>
          </cell>
          <cell r="Q69">
            <v>9078.8664767143473</v>
          </cell>
          <cell r="R69">
            <v>78771.628042281125</v>
          </cell>
          <cell r="S69">
            <v>179.37195771886965</v>
          </cell>
        </row>
        <row r="70">
          <cell r="B70">
            <v>2021</v>
          </cell>
          <cell r="C70">
            <v>225471</v>
          </cell>
          <cell r="D70">
            <v>1036974</v>
          </cell>
          <cell r="E70">
            <v>89625</v>
          </cell>
          <cell r="F70">
            <v>212973</v>
          </cell>
          <cell r="G70">
            <v>1565043</v>
          </cell>
          <cell r="I70">
            <v>0.92469745216973731</v>
          </cell>
          <cell r="J70">
            <v>2.4999102186296272E-2</v>
          </cell>
          <cell r="K70">
            <v>5.0303445643966417E-2</v>
          </cell>
          <cell r="L70">
            <v>0.99772805971148093</v>
          </cell>
          <cell r="M70">
            <v>2.2719402885190772E-3</v>
          </cell>
          <cell r="O70">
            <v>196935.59048094545</v>
          </cell>
          <cell r="P70">
            <v>5324.1337899220762</v>
          </cell>
          <cell r="Q70">
            <v>10713.27572913246</v>
          </cell>
          <cell r="R70">
            <v>89421.37735164148</v>
          </cell>
          <cell r="S70">
            <v>203.6226483585223</v>
          </cell>
        </row>
        <row r="71">
          <cell r="B71">
            <v>2022</v>
          </cell>
          <cell r="C71">
            <v>233808</v>
          </cell>
          <cell r="D71">
            <v>1045329</v>
          </cell>
          <cell r="E71">
            <v>98182</v>
          </cell>
          <cell r="F71">
            <v>220256</v>
          </cell>
          <cell r="G71">
            <v>1597575</v>
          </cell>
          <cell r="I71">
            <v>0.92469745216973731</v>
          </cell>
          <cell r="J71">
            <v>2.4999102186296272E-2</v>
          </cell>
          <cell r="K71">
            <v>5.0303445643966417E-2</v>
          </cell>
          <cell r="L71">
            <v>0.99772805971148093</v>
          </cell>
          <cell r="M71">
            <v>2.2719402885190772E-3</v>
          </cell>
          <cell r="O71">
            <v>203670.16202509767</v>
          </cell>
          <cell r="P71">
            <v>5506.2022511448713</v>
          </cell>
          <cell r="Q71">
            <v>11079.635723757467</v>
          </cell>
          <cell r="R71">
            <v>97958.936358592618</v>
          </cell>
          <cell r="S71">
            <v>223.06364140738003</v>
          </cell>
        </row>
        <row r="72">
          <cell r="C72"/>
          <cell r="D72"/>
          <cell r="E72"/>
          <cell r="F72"/>
        </row>
        <row r="73">
          <cell r="C73">
            <v>0.14635181446880427</v>
          </cell>
          <cell r="D73">
            <v>0.65432233228486925</v>
          </cell>
          <cell r="E73">
            <v>6.1456895607404971E-2</v>
          </cell>
          <cell r="F73">
            <v>0.13786895763892149</v>
          </cell>
        </row>
        <row r="80">
          <cell r="D80"/>
          <cell r="E80"/>
          <cell r="F80"/>
          <cell r="I80"/>
          <cell r="J80"/>
          <cell r="K80"/>
          <cell r="L80"/>
          <cell r="M80"/>
        </row>
      </sheetData>
      <sheetData sheetId="1" refreshError="1"/>
      <sheetData sheetId="2">
        <row r="2">
          <cell r="C2" t="str">
            <v>Area</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Contents"/>
      <sheetName val="Source File - Summary Tab"/>
      <sheetName val="TSD Values"/>
      <sheetName val="IPPU Summary"/>
      <sheetName val="Summary by Island"/>
      <sheetName val="IPPU Summary by County"/>
      <sheetName val="Cement"/>
      <sheetName val="Electrical T&amp;D"/>
      <sheetName val="ODS Subs"/>
      <sheetName val="Cement Data"/>
      <sheetName val="ODS Subs Data"/>
      <sheetName val="Electrical T&amp;D Data"/>
      <sheetName val="ODS Emissions"/>
      <sheetName val="ODS and Subs"/>
      <sheetName val="Conversions_Constants"/>
      <sheetName val="Unc_Inputs"/>
      <sheetName val="Uncertainty Results"/>
      <sheetName val="RiskTemplate_IPPU"/>
    </sheetNames>
    <sheetDataSet>
      <sheetData sheetId="0"/>
      <sheetData sheetId="1"/>
      <sheetData sheetId="2"/>
      <sheetData sheetId="3">
        <row r="6">
          <cell r="B6">
            <v>0.10146173274</v>
          </cell>
          <cell r="C6">
            <v>0</v>
          </cell>
          <cell r="D6">
            <v>0</v>
          </cell>
          <cell r="E6">
            <v>0</v>
          </cell>
          <cell r="F6">
            <v>0</v>
          </cell>
          <cell r="G6">
            <v>0.10146173274</v>
          </cell>
          <cell r="H6">
            <v>0</v>
          </cell>
          <cell r="I6">
            <v>0</v>
          </cell>
          <cell r="J6">
            <v>0</v>
          </cell>
          <cell r="K6">
            <v>0</v>
          </cell>
          <cell r="L6">
            <v>0</v>
          </cell>
          <cell r="M6">
            <v>0</v>
          </cell>
          <cell r="N6">
            <v>0</v>
          </cell>
          <cell r="O6">
            <v>0</v>
          </cell>
          <cell r="P6">
            <v>0</v>
          </cell>
          <cell r="Q6">
            <v>0</v>
          </cell>
          <cell r="R6">
            <v>0</v>
          </cell>
          <cell r="S6">
            <v>0</v>
          </cell>
          <cell r="T6">
            <v>0</v>
          </cell>
          <cell r="U6">
            <v>0</v>
          </cell>
          <cell r="V6">
            <v>0</v>
          </cell>
          <cell r="W6">
            <v>0</v>
          </cell>
          <cell r="X6">
            <v>0</v>
          </cell>
          <cell r="Y6">
            <v>0</v>
          </cell>
          <cell r="Z6">
            <v>0</v>
          </cell>
          <cell r="AA6">
            <v>0</v>
          </cell>
          <cell r="AB6">
            <v>0</v>
          </cell>
          <cell r="AC6">
            <v>0</v>
          </cell>
          <cell r="AD6">
            <v>0</v>
          </cell>
          <cell r="AE6">
            <v>0</v>
          </cell>
          <cell r="AF6">
            <v>0</v>
          </cell>
          <cell r="AG6">
            <v>0</v>
          </cell>
          <cell r="AH6">
            <v>0</v>
          </cell>
          <cell r="AI6">
            <v>0</v>
          </cell>
          <cell r="AJ6">
            <v>0</v>
          </cell>
          <cell r="AK6">
            <v>0</v>
          </cell>
          <cell r="AL6">
            <v>0</v>
          </cell>
          <cell r="AM6">
            <v>0</v>
          </cell>
          <cell r="AN6">
            <v>0</v>
          </cell>
          <cell r="AO6">
            <v>0</v>
          </cell>
          <cell r="AP6">
            <v>0</v>
          </cell>
          <cell r="AQ6">
            <v>0</v>
          </cell>
          <cell r="AR6">
            <v>0</v>
          </cell>
          <cell r="AS6">
            <v>0</v>
          </cell>
          <cell r="AT6">
            <v>0</v>
          </cell>
          <cell r="AU6">
            <v>0</v>
          </cell>
          <cell r="AV6">
            <v>0</v>
          </cell>
          <cell r="AW6">
            <v>0</v>
          </cell>
          <cell r="AX6">
            <v>0</v>
          </cell>
          <cell r="AY6">
            <v>0</v>
          </cell>
          <cell r="AZ6">
            <v>0</v>
          </cell>
          <cell r="BA6">
            <v>0</v>
          </cell>
          <cell r="BB6">
            <v>0</v>
          </cell>
          <cell r="BC6">
            <v>0</v>
          </cell>
        </row>
        <row r="7">
          <cell r="B7">
            <v>0</v>
          </cell>
          <cell r="C7">
            <v>0</v>
          </cell>
          <cell r="D7">
            <v>0</v>
          </cell>
          <cell r="E7">
            <v>0</v>
          </cell>
          <cell r="F7">
            <v>7.0940507562555641E-2</v>
          </cell>
          <cell r="G7">
            <v>7.0940507562555641E-2</v>
          </cell>
          <cell r="H7">
            <v>0</v>
          </cell>
          <cell r="I7">
            <v>0</v>
          </cell>
          <cell r="J7">
            <v>0</v>
          </cell>
          <cell r="K7">
            <v>0</v>
          </cell>
          <cell r="L7">
            <v>2.4037404659134398E-2</v>
          </cell>
          <cell r="M7">
            <v>2.4037404659134398E-2</v>
          </cell>
          <cell r="N7">
            <v>0</v>
          </cell>
          <cell r="O7">
            <v>0</v>
          </cell>
          <cell r="P7">
            <v>0</v>
          </cell>
          <cell r="Q7">
            <v>0</v>
          </cell>
          <cell r="R7">
            <v>1.7580459677864584E-2</v>
          </cell>
          <cell r="S7">
            <v>1.7580459677864584E-2</v>
          </cell>
          <cell r="T7">
            <v>0</v>
          </cell>
          <cell r="U7">
            <v>0</v>
          </cell>
          <cell r="V7">
            <v>0</v>
          </cell>
          <cell r="W7">
            <v>0</v>
          </cell>
          <cell r="X7">
            <v>1.5103396306785177E-2</v>
          </cell>
          <cell r="Y7">
            <v>1.5103396306785177E-2</v>
          </cell>
          <cell r="Z7">
            <v>0</v>
          </cell>
          <cell r="AA7">
            <v>0</v>
          </cell>
          <cell r="AB7">
            <v>0</v>
          </cell>
          <cell r="AC7">
            <v>0</v>
          </cell>
          <cell r="AD7">
            <v>9.4014709309639399E-3</v>
          </cell>
          <cell r="AE7">
            <v>9.4014709309639399E-3</v>
          </cell>
          <cell r="AF7">
            <v>0</v>
          </cell>
          <cell r="AG7">
            <v>0</v>
          </cell>
          <cell r="AH7">
            <v>0</v>
          </cell>
          <cell r="AI7">
            <v>0</v>
          </cell>
          <cell r="AJ7">
            <v>9.9991874315088752E-3</v>
          </cell>
          <cell r="AK7">
            <v>9.9991874315088752E-3</v>
          </cell>
          <cell r="AL7">
            <v>0</v>
          </cell>
          <cell r="AM7">
            <v>0</v>
          </cell>
          <cell r="AN7">
            <v>0</v>
          </cell>
          <cell r="AO7">
            <v>0</v>
          </cell>
          <cell r="AP7">
            <v>1.0190399653916923E-2</v>
          </cell>
          <cell r="AQ7">
            <v>1.0190399653916923E-2</v>
          </cell>
          <cell r="AR7">
            <v>0</v>
          </cell>
          <cell r="AS7">
            <v>0</v>
          </cell>
          <cell r="AT7">
            <v>0</v>
          </cell>
          <cell r="AU7">
            <v>0</v>
          </cell>
          <cell r="AV7">
            <v>9.2480800370845252E-3</v>
          </cell>
          <cell r="AW7">
            <v>9.2480800370845252E-3</v>
          </cell>
          <cell r="AX7">
            <v>0</v>
          </cell>
          <cell r="AY7">
            <v>0</v>
          </cell>
          <cell r="AZ7">
            <v>0</v>
          </cell>
          <cell r="BA7">
            <v>0</v>
          </cell>
          <cell r="BB7">
            <v>1.0227980128119721E-2</v>
          </cell>
          <cell r="BC7">
            <v>1.0227980128119721E-2</v>
          </cell>
        </row>
        <row r="8">
          <cell r="B8">
            <v>0</v>
          </cell>
          <cell r="C8">
            <v>0</v>
          </cell>
          <cell r="D8">
            <v>0</v>
          </cell>
          <cell r="E8">
            <v>1.1543985223785318E-3</v>
          </cell>
          <cell r="F8">
            <v>0</v>
          </cell>
          <cell r="G8">
            <v>1.1543985223785318E-3</v>
          </cell>
          <cell r="H8">
            <v>0</v>
          </cell>
          <cell r="I8">
            <v>0</v>
          </cell>
          <cell r="J8">
            <v>0</v>
          </cell>
          <cell r="K8">
            <v>0.50118920665887601</v>
          </cell>
          <cell r="L8">
            <v>0</v>
          </cell>
          <cell r="M8">
            <v>0.50118920665887601</v>
          </cell>
          <cell r="N8">
            <v>0</v>
          </cell>
          <cell r="O8">
            <v>0</v>
          </cell>
          <cell r="P8">
            <v>0</v>
          </cell>
          <cell r="Q8">
            <v>0.56695424805171102</v>
          </cell>
          <cell r="R8">
            <v>0</v>
          </cell>
          <cell r="S8">
            <v>0.56695424805171102</v>
          </cell>
          <cell r="T8">
            <v>0</v>
          </cell>
          <cell r="U8">
            <v>0</v>
          </cell>
          <cell r="V8">
            <v>0</v>
          </cell>
          <cell r="W8">
            <v>0.69946988507453711</v>
          </cell>
          <cell r="X8">
            <v>0</v>
          </cell>
          <cell r="Y8">
            <v>0.69946988507453711</v>
          </cell>
          <cell r="Z8">
            <v>0</v>
          </cell>
          <cell r="AA8">
            <v>0</v>
          </cell>
          <cell r="AB8">
            <v>0</v>
          </cell>
          <cell r="AC8">
            <v>0.8232267119916773</v>
          </cell>
          <cell r="AD8">
            <v>0</v>
          </cell>
          <cell r="AE8">
            <v>0.8232267119916773</v>
          </cell>
          <cell r="AF8">
            <v>0</v>
          </cell>
          <cell r="AG8">
            <v>0</v>
          </cell>
          <cell r="AH8">
            <v>0</v>
          </cell>
          <cell r="AI8">
            <v>0.82145130718107162</v>
          </cell>
          <cell r="AJ8">
            <v>0</v>
          </cell>
          <cell r="AK8">
            <v>0.82145130718107162</v>
          </cell>
          <cell r="AL8">
            <v>0</v>
          </cell>
          <cell r="AM8">
            <v>0</v>
          </cell>
          <cell r="AN8">
            <v>0</v>
          </cell>
          <cell r="AO8">
            <v>0.8167602842574494</v>
          </cell>
          <cell r="AP8">
            <v>0</v>
          </cell>
          <cell r="AQ8">
            <v>0.8167602842574494</v>
          </cell>
          <cell r="AR8">
            <v>0</v>
          </cell>
          <cell r="AS8">
            <v>0</v>
          </cell>
          <cell r="AT8">
            <v>0</v>
          </cell>
          <cell r="AU8">
            <v>0.81877002187535275</v>
          </cell>
          <cell r="AV8">
            <v>0</v>
          </cell>
          <cell r="AW8">
            <v>0.81877002187535275</v>
          </cell>
          <cell r="AX8">
            <v>0</v>
          </cell>
          <cell r="AY8">
            <v>0</v>
          </cell>
          <cell r="AZ8">
            <v>0</v>
          </cell>
          <cell r="BA8">
            <v>0.83128889254987315</v>
          </cell>
          <cell r="BB8">
            <v>0</v>
          </cell>
          <cell r="BC8">
            <v>0.83128889254987315</v>
          </cell>
        </row>
        <row r="9">
          <cell r="B9">
            <v>0.10146173274</v>
          </cell>
          <cell r="C9">
            <v>0</v>
          </cell>
          <cell r="D9">
            <v>0</v>
          </cell>
          <cell r="E9">
            <v>1.1543985223785318E-3</v>
          </cell>
          <cell r="F9">
            <v>7.0940507562555641E-2</v>
          </cell>
          <cell r="G9">
            <v>0.17355663882493416</v>
          </cell>
          <cell r="H9">
            <v>0</v>
          </cell>
          <cell r="I9">
            <v>0</v>
          </cell>
          <cell r="J9">
            <v>0</v>
          </cell>
          <cell r="K9">
            <v>0.50118920665887601</v>
          </cell>
          <cell r="L9">
            <v>2.4037404659134398E-2</v>
          </cell>
          <cell r="M9">
            <v>0.52522661131801041</v>
          </cell>
          <cell r="N9">
            <v>0</v>
          </cell>
          <cell r="O9">
            <v>0</v>
          </cell>
          <cell r="P9">
            <v>0</v>
          </cell>
          <cell r="Q9">
            <v>0.56695424805171102</v>
          </cell>
          <cell r="R9">
            <v>1.7580459677864584E-2</v>
          </cell>
          <cell r="S9">
            <v>0.58453470772957561</v>
          </cell>
          <cell r="T9">
            <v>0</v>
          </cell>
          <cell r="U9">
            <v>0</v>
          </cell>
          <cell r="V9">
            <v>0</v>
          </cell>
          <cell r="W9">
            <v>0.69946988507453711</v>
          </cell>
          <cell r="X9">
            <v>1.5103396306785177E-2</v>
          </cell>
          <cell r="Y9">
            <v>0.71457328138132226</v>
          </cell>
          <cell r="Z9">
            <v>0</v>
          </cell>
          <cell r="AA9">
            <v>0</v>
          </cell>
          <cell r="AB9">
            <v>0</v>
          </cell>
          <cell r="AC9">
            <v>0.8232267119916773</v>
          </cell>
          <cell r="AD9">
            <v>9.4014709309639399E-3</v>
          </cell>
          <cell r="AE9">
            <v>0.83262818292264118</v>
          </cell>
          <cell r="AF9">
            <v>0</v>
          </cell>
          <cell r="AG9">
            <v>0</v>
          </cell>
          <cell r="AH9">
            <v>0</v>
          </cell>
          <cell r="AI9">
            <v>0.82145130718107162</v>
          </cell>
          <cell r="AJ9">
            <v>9.9991874315088752E-3</v>
          </cell>
          <cell r="AK9">
            <v>0.83145049461258047</v>
          </cell>
          <cell r="AL9">
            <v>0</v>
          </cell>
          <cell r="AM9">
            <v>0</v>
          </cell>
          <cell r="AN9">
            <v>0</v>
          </cell>
          <cell r="AO9">
            <v>0.8167602842574494</v>
          </cell>
          <cell r="AP9">
            <v>1.0190399653916923E-2</v>
          </cell>
          <cell r="AQ9">
            <v>0.82695068391136628</v>
          </cell>
          <cell r="AR9">
            <v>0</v>
          </cell>
          <cell r="AS9">
            <v>0</v>
          </cell>
          <cell r="AT9">
            <v>0</v>
          </cell>
          <cell r="AU9">
            <v>0.81877002187535275</v>
          </cell>
          <cell r="AV9">
            <v>9.2480800370845252E-3</v>
          </cell>
          <cell r="AW9">
            <v>0.8280181019124373</v>
          </cell>
          <cell r="AX9">
            <v>0</v>
          </cell>
          <cell r="AY9">
            <v>0</v>
          </cell>
          <cell r="AZ9">
            <v>0</v>
          </cell>
          <cell r="BA9">
            <v>0.83128889254987315</v>
          </cell>
          <cell r="BB9">
            <v>1.0227980128119721E-2</v>
          </cell>
          <cell r="BC9">
            <v>0.84151687267799291</v>
          </cell>
        </row>
      </sheetData>
      <sheetData sheetId="4"/>
      <sheetData sheetId="5"/>
      <sheetData sheetId="6"/>
      <sheetData sheetId="7"/>
      <sheetData sheetId="8">
        <row r="12">
          <cell r="D12">
            <v>0</v>
          </cell>
          <cell r="E12">
            <v>0.31446618104020041</v>
          </cell>
          <cell r="F12">
            <v>0.31883056450999175</v>
          </cell>
          <cell r="G12">
            <v>0.3064823288856936</v>
          </cell>
          <cell r="H12">
            <v>0.21768984125166199</v>
          </cell>
          <cell r="I12">
            <v>0.19961977497725719</v>
          </cell>
          <cell r="J12">
            <v>0.18529854180798669</v>
          </cell>
          <cell r="K12">
            <v>0.17771818896020883</v>
          </cell>
          <cell r="L12">
            <v>0.16972752631011873</v>
          </cell>
        </row>
        <row r="21">
          <cell r="D21">
            <v>4.5661432073268232E-5</v>
          </cell>
          <cell r="E21">
            <v>5.2490105415449934E-2</v>
          </cell>
          <cell r="F21">
            <v>7.8311091173055083E-2</v>
          </cell>
          <cell r="G21">
            <v>0.13463500624955266</v>
          </cell>
          <cell r="H21">
            <v>0.220797264096709</v>
          </cell>
          <cell r="I21">
            <v>0.22813333036352781</v>
          </cell>
          <cell r="J21">
            <v>0.23237392551926864</v>
          </cell>
          <cell r="K21">
            <v>0.23780542610729416</v>
          </cell>
          <cell r="L21">
            <v>0.24552041928738821</v>
          </cell>
        </row>
        <row r="27">
          <cell r="D27">
            <v>1.1087370903052635E-3</v>
          </cell>
          <cell r="E27">
            <v>0.13423292020322561</v>
          </cell>
          <cell r="F27">
            <v>0.16981259236866422</v>
          </cell>
          <cell r="G27">
            <v>0.25835254993929085</v>
          </cell>
          <cell r="H27">
            <v>0.38473960664330631</v>
          </cell>
          <cell r="I27">
            <v>0.39369820184028664</v>
          </cell>
          <cell r="J27">
            <v>0.39908781693019407</v>
          </cell>
          <cell r="K27">
            <v>0.40324640680784973</v>
          </cell>
          <cell r="L27">
            <v>0.41604094695236615</v>
          </cell>
        </row>
      </sheetData>
      <sheetData sheetId="9"/>
      <sheetData sheetId="10"/>
      <sheetData sheetId="11"/>
      <sheetData sheetId="12"/>
      <sheetData sheetId="13"/>
      <sheetData sheetId="14"/>
      <sheetData sheetId="15"/>
      <sheetData sheetId="16"/>
      <sheetData sheetId="17"/>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driveId="b!CstED6iED0KPgJlGH1b-3PArZ6nBQfRNvmFLNLT6IAYev1favuiKQpj2YdLpHEyu" itemId="014NKQ7BTSI5ZAU2IN5JCZX5ZPP3V3PQMJ">
      <xxl21:absoluteUrl r:id="rId2"/>
    </xxl21:alternateUrls>
    <sheetNames>
      <sheetName val="2022"/>
    </sheetNames>
    <sheetDataSet>
      <sheetData sheetId="0">
        <row r="9">
          <cell r="B9">
            <v>877756</v>
          </cell>
          <cell r="C9">
            <v>601239</v>
          </cell>
          <cell r="D9">
            <v>111624</v>
          </cell>
          <cell r="E9">
            <v>52364</v>
          </cell>
          <cell r="F9">
            <v>112529</v>
          </cell>
        </row>
        <row r="10">
          <cell r="B10">
            <v>884617</v>
          </cell>
          <cell r="C10">
            <v>598772</v>
          </cell>
          <cell r="D10">
            <v>115647</v>
          </cell>
          <cell r="E10">
            <v>52984</v>
          </cell>
          <cell r="F10">
            <v>117214</v>
          </cell>
        </row>
        <row r="11">
          <cell r="B11">
            <v>884267</v>
          </cell>
          <cell r="C11">
            <v>595121</v>
          </cell>
          <cell r="D11">
            <v>118364</v>
          </cell>
          <cell r="E11">
            <v>53904</v>
          </cell>
          <cell r="F11">
            <v>116878</v>
          </cell>
        </row>
        <row r="12">
          <cell r="B12">
            <v>893427</v>
          </cell>
          <cell r="C12">
            <v>594096</v>
          </cell>
          <cell r="D12">
            <v>121959</v>
          </cell>
          <cell r="E12">
            <v>56554</v>
          </cell>
          <cell r="F12">
            <v>120818</v>
          </cell>
        </row>
        <row r="13">
          <cell r="B13">
            <v>906935</v>
          </cell>
          <cell r="C13">
            <v>597610</v>
          </cell>
          <cell r="D13">
            <v>126039</v>
          </cell>
          <cell r="E13">
            <v>57882</v>
          </cell>
          <cell r="F13">
            <v>125404</v>
          </cell>
        </row>
        <row r="14">
          <cell r="B14">
            <v>941242</v>
          </cell>
          <cell r="C14">
            <v>614985</v>
          </cell>
          <cell r="D14">
            <v>132305</v>
          </cell>
          <cell r="E14">
            <v>61316</v>
          </cell>
          <cell r="F14">
            <v>132636</v>
          </cell>
        </row>
        <row r="15">
          <cell r="B15">
            <v>967146</v>
          </cell>
          <cell r="C15">
            <v>631232</v>
          </cell>
          <cell r="D15">
            <v>136786</v>
          </cell>
          <cell r="E15">
            <v>62655</v>
          </cell>
          <cell r="F15">
            <v>136473</v>
          </cell>
        </row>
        <row r="16">
          <cell r="B16">
            <v>987598</v>
          </cell>
          <cell r="C16">
            <v>643810</v>
          </cell>
          <cell r="D16">
            <v>142150</v>
          </cell>
          <cell r="E16">
            <v>63580</v>
          </cell>
          <cell r="F16">
            <v>138058</v>
          </cell>
        </row>
        <row r="17">
          <cell r="B17">
            <v>1030845</v>
          </cell>
          <cell r="C17">
            <v>667565</v>
          </cell>
          <cell r="D17">
            <v>150983</v>
          </cell>
          <cell r="E17">
            <v>67312</v>
          </cell>
          <cell r="F17">
            <v>144985</v>
          </cell>
        </row>
        <row r="18">
          <cell r="B18">
            <v>1072211</v>
          </cell>
          <cell r="C18">
            <v>688163</v>
          </cell>
          <cell r="D18">
            <v>159627</v>
          </cell>
          <cell r="E18">
            <v>71517</v>
          </cell>
          <cell r="F18">
            <v>152904</v>
          </cell>
        </row>
        <row r="19">
          <cell r="B19">
            <v>1119838</v>
          </cell>
          <cell r="C19">
            <v>714604</v>
          </cell>
          <cell r="D19">
            <v>169396</v>
          </cell>
          <cell r="E19">
            <v>75561</v>
          </cell>
          <cell r="F19">
            <v>160277</v>
          </cell>
        </row>
        <row r="20">
          <cell r="B20">
            <v>1127467</v>
          </cell>
          <cell r="C20">
            <v>719606</v>
          </cell>
          <cell r="D20">
            <v>173786</v>
          </cell>
          <cell r="E20">
            <v>74734</v>
          </cell>
          <cell r="F20">
            <v>159341</v>
          </cell>
        </row>
        <row r="21">
          <cell r="B21">
            <v>1134542</v>
          </cell>
          <cell r="C21">
            <v>722486</v>
          </cell>
          <cell r="D21">
            <v>176386</v>
          </cell>
          <cell r="E21">
            <v>75594</v>
          </cell>
          <cell r="F21">
            <v>160076</v>
          </cell>
        </row>
        <row r="22">
          <cell r="B22">
            <v>1127567</v>
          </cell>
          <cell r="C22">
            <v>719640</v>
          </cell>
          <cell r="D22">
            <v>175166</v>
          </cell>
          <cell r="E22">
            <v>74344</v>
          </cell>
          <cell r="F22">
            <v>158417</v>
          </cell>
        </row>
        <row r="23">
          <cell r="B23">
            <v>1117790</v>
          </cell>
          <cell r="C23">
            <v>718253</v>
          </cell>
          <cell r="D23">
            <v>172209</v>
          </cell>
          <cell r="E23">
            <v>73847</v>
          </cell>
          <cell r="F23">
            <v>153481</v>
          </cell>
        </row>
        <row r="24">
          <cell r="B24">
            <v>1120080</v>
          </cell>
          <cell r="C24">
            <v>720267</v>
          </cell>
          <cell r="D24">
            <v>171974</v>
          </cell>
          <cell r="E24">
            <v>73563</v>
          </cell>
          <cell r="F24">
            <v>154276</v>
          </cell>
        </row>
        <row r="25">
          <cell r="B25">
            <v>1181148</v>
          </cell>
          <cell r="C25">
            <v>755425</v>
          </cell>
          <cell r="D25">
            <v>181931</v>
          </cell>
          <cell r="E25">
            <v>78373</v>
          </cell>
          <cell r="F25">
            <v>165419</v>
          </cell>
        </row>
        <row r="26">
          <cell r="B26">
            <v>1278233</v>
          </cell>
          <cell r="C26">
            <v>814361</v>
          </cell>
          <cell r="D26">
            <v>197273</v>
          </cell>
          <cell r="E26">
            <v>85292</v>
          </cell>
          <cell r="F26">
            <v>181307</v>
          </cell>
        </row>
        <row r="27">
          <cell r="B27">
            <v>1341152</v>
          </cell>
          <cell r="C27">
            <v>848567</v>
          </cell>
          <cell r="D27">
            <v>208624</v>
          </cell>
          <cell r="E27">
            <v>90351</v>
          </cell>
          <cell r="F27">
            <v>193610</v>
          </cell>
        </row>
        <row r="28">
          <cell r="B28">
            <v>1284193</v>
          </cell>
          <cell r="C28">
            <v>816738</v>
          </cell>
          <cell r="D28">
            <v>199336</v>
          </cell>
          <cell r="E28">
            <v>85652</v>
          </cell>
          <cell r="F28">
            <v>182467</v>
          </cell>
        </row>
        <row r="29">
          <cell r="B29">
            <v>1233523</v>
          </cell>
          <cell r="C29">
            <v>780909</v>
          </cell>
          <cell r="D29">
            <v>194633</v>
          </cell>
          <cell r="E29">
            <v>81947</v>
          </cell>
          <cell r="F29">
            <v>176034</v>
          </cell>
        </row>
        <row r="30">
          <cell r="B30">
            <v>1232731</v>
          </cell>
          <cell r="C30">
            <v>776653</v>
          </cell>
          <cell r="D30">
            <v>196647</v>
          </cell>
          <cell r="E30">
            <v>81751</v>
          </cell>
          <cell r="F30">
            <v>177680</v>
          </cell>
        </row>
        <row r="31">
          <cell r="B31">
            <v>1259544</v>
          </cell>
          <cell r="C31">
            <v>791739</v>
          </cell>
          <cell r="D31">
            <v>202744</v>
          </cell>
          <cell r="E31">
            <v>84259</v>
          </cell>
          <cell r="F31">
            <v>180802</v>
          </cell>
        </row>
        <row r="32">
          <cell r="B32">
            <v>1267136</v>
          </cell>
          <cell r="C32">
            <v>793379</v>
          </cell>
          <cell r="D32">
            <v>205682</v>
          </cell>
          <cell r="E32">
            <v>85748</v>
          </cell>
          <cell r="F32">
            <v>182327</v>
          </cell>
        </row>
        <row r="33">
          <cell r="B33">
            <v>1279843</v>
          </cell>
          <cell r="C33">
            <v>795949</v>
          </cell>
          <cell r="D33">
            <v>210358</v>
          </cell>
          <cell r="E33">
            <v>86650</v>
          </cell>
          <cell r="F33">
            <v>186886</v>
          </cell>
        </row>
        <row r="34">
          <cell r="B34">
            <v>1235139</v>
          </cell>
          <cell r="C34">
            <v>769543</v>
          </cell>
          <cell r="D34">
            <v>204983</v>
          </cell>
          <cell r="E34">
            <v>82656</v>
          </cell>
          <cell r="F34">
            <v>177957</v>
          </cell>
        </row>
        <row r="35">
          <cell r="B35">
            <v>1233657</v>
          </cell>
          <cell r="C35">
            <v>770201</v>
          </cell>
          <cell r="D35">
            <v>204633</v>
          </cell>
          <cell r="E35">
            <v>81644</v>
          </cell>
          <cell r="F35">
            <v>177179</v>
          </cell>
        </row>
        <row r="36">
          <cell r="B36">
            <v>1254446</v>
          </cell>
          <cell r="C36">
            <v>776485</v>
          </cell>
          <cell r="D36">
            <v>210791</v>
          </cell>
          <cell r="E36">
            <v>84104</v>
          </cell>
          <cell r="F36">
            <v>183066</v>
          </cell>
        </row>
      </sheetData>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driveId="b!CstED6iED0KPgJlGH1b-3PArZ6nBQfRNvmFLNLT6IAYev1favuiKQpj2YdLpHEyu" itemId="014NKQ7BXHVKAQ7XVEUFCJAWANROXV6EAM">
      <xxl21:absoluteUrl r:id="rId2"/>
    </xxl21:alternateUrls>
    <sheetNames>
      <sheetName val="Table 1"/>
      <sheetName val="Reformat with Pop."/>
    </sheetNames>
    <sheetDataSet>
      <sheetData sheetId="0"/>
      <sheetData sheetId="1">
        <row r="3128">
          <cell r="F3128">
            <v>46321931</v>
          </cell>
          <cell r="G3128">
            <v>47220067</v>
          </cell>
          <cell r="H3128">
            <v>47994348</v>
          </cell>
          <cell r="I3128">
            <v>48698918</v>
          </cell>
          <cell r="J3128">
            <v>49603112</v>
          </cell>
          <cell r="K3128">
            <v>50522761</v>
          </cell>
          <cell r="L3128">
            <v>51223063</v>
          </cell>
          <cell r="M3128">
            <v>52046059</v>
          </cell>
          <cell r="N3128">
            <v>52801744</v>
          </cell>
          <cell r="O3128">
            <v>53518052</v>
          </cell>
          <cell r="P3128">
            <v>54099533</v>
          </cell>
          <cell r="Q3128">
            <v>54963000</v>
          </cell>
          <cell r="R3128">
            <v>55726407</v>
          </cell>
          <cell r="S3128">
            <v>56440752</v>
          </cell>
          <cell r="T3128">
            <v>57285825</v>
          </cell>
          <cell r="U3128">
            <v>58230809</v>
          </cell>
          <cell r="V3128">
            <v>59155345</v>
          </cell>
          <cell r="W3128">
            <v>59929232</v>
          </cell>
          <cell r="X3128">
            <v>60567077</v>
          </cell>
          <cell r="Y3128">
            <v>61191402</v>
          </cell>
          <cell r="Z3128">
            <v>61365245</v>
          </cell>
          <cell r="AA3128">
            <v>62027174</v>
          </cell>
          <cell r="AB3128">
            <v>62974091</v>
          </cell>
        </row>
      </sheetData>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Contents"/>
      <sheetName val="IPPU Summary"/>
      <sheetName val="2019-2021 Comparison"/>
      <sheetName val="IPPU Summary_old format"/>
      <sheetName val="Summary by Island"/>
      <sheetName val="IPPU Summary by County"/>
      <sheetName val="Cement"/>
      <sheetName val="Electrical T&amp;D"/>
      <sheetName val="ODS Subs"/>
      <sheetName val="Cement Data"/>
      <sheetName val="Electrical T&amp;D Data"/>
      <sheetName val="ODS Subs Data"/>
      <sheetName val="ODS Emissions"/>
      <sheetName val="ODS and Subs"/>
      <sheetName val="TSD Values"/>
      <sheetName val="Conversions_Constants"/>
      <sheetName val="Unc_Inputs"/>
      <sheetName val="Uncertainty Results"/>
      <sheetName val="RiskTemplate_IPPU"/>
    </sheetNames>
    <sheetDataSet>
      <sheetData sheetId="0"/>
      <sheetData sheetId="1">
        <row r="6">
          <cell r="D6">
            <v>1990</v>
          </cell>
          <cell r="E6">
            <v>2005</v>
          </cell>
          <cell r="F6">
            <v>2007</v>
          </cell>
          <cell r="G6">
            <v>2010</v>
          </cell>
          <cell r="H6">
            <v>2015</v>
          </cell>
          <cell r="I6">
            <v>2016</v>
          </cell>
          <cell r="J6">
            <v>2017</v>
          </cell>
          <cell r="K6">
            <v>2018</v>
          </cell>
          <cell r="L6">
            <v>2019</v>
          </cell>
          <cell r="M6">
            <v>2020</v>
          </cell>
          <cell r="N6">
            <v>2021</v>
          </cell>
        </row>
        <row r="30">
          <cell r="D30">
            <v>1.2849454664481742E-3</v>
          </cell>
          <cell r="E30">
            <v>0.4618870126810643</v>
          </cell>
          <cell r="F30">
            <v>0.52252346291908724</v>
          </cell>
          <cell r="G30">
            <v>0.65014393308814522</v>
          </cell>
          <cell r="H30">
            <v>0.77812772041938649</v>
          </cell>
          <cell r="I30">
            <v>0.78426294874045099</v>
          </cell>
          <cell r="J30">
            <v>0.7855082606264705</v>
          </cell>
          <cell r="K30">
            <v>0.79299632446640023</v>
          </cell>
          <cell r="L30">
            <v>0.81122135883688395</v>
          </cell>
          <cell r="M30">
            <v>0.75336873133585058</v>
          </cell>
          <cell r="N30">
            <v>0.80325703116229852</v>
          </cell>
        </row>
        <row r="38">
          <cell r="D38">
            <v>7.5674148266427654E-2</v>
          </cell>
          <cell r="E38">
            <v>3.3967615079021032E-2</v>
          </cell>
          <cell r="F38">
            <v>2.8679940794749486E-2</v>
          </cell>
          <cell r="G38">
            <v>2.080040184749557E-2</v>
          </cell>
          <cell r="H38">
            <v>1.3237445160031301E-2</v>
          </cell>
          <cell r="I38">
            <v>1.3818817964025322E-2</v>
          </cell>
          <cell r="J38">
            <v>1.3494659237086416E-2</v>
          </cell>
          <cell r="K38">
            <v>1.2315399133775868E-2</v>
          </cell>
          <cell r="L38">
            <v>1.4726322972019586E-2</v>
          </cell>
          <cell r="M38">
            <v>1.3545955997431502E-2</v>
          </cell>
          <cell r="N38">
            <v>1.3709741746950986E-2</v>
          </cell>
        </row>
        <row r="41">
          <cell r="D41">
            <v>0.17842082647287583</v>
          </cell>
          <cell r="E41">
            <v>0.49585462776008532</v>
          </cell>
          <cell r="F41">
            <v>0.55120340371383669</v>
          </cell>
          <cell r="G41">
            <v>0.67094433493564076</v>
          </cell>
          <cell r="H41">
            <v>0.79136516557941783</v>
          </cell>
          <cell r="I41">
            <v>0.79808176670447628</v>
          </cell>
          <cell r="J41">
            <v>0.79900291986355687</v>
          </cell>
          <cell r="K41">
            <v>0.80531172360017611</v>
          </cell>
          <cell r="L41">
            <v>0.82594768180890354</v>
          </cell>
          <cell r="M41">
            <v>0.76691468733328205</v>
          </cell>
          <cell r="N41">
            <v>0.81696677290924946</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3"/>
    </xxl21:alternateUrls>
    <sheetNames>
      <sheetName val="2019"/>
    </sheetNames>
    <sheetDataSet>
      <sheetData sheetId="0">
        <row r="8">
          <cell r="F8">
            <v>6563104.2369999997</v>
          </cell>
        </row>
        <row r="9">
          <cell r="F9">
            <v>1049541.723</v>
          </cell>
        </row>
        <row r="10">
          <cell r="F10">
            <v>460709.84100000001</v>
          </cell>
        </row>
        <row r="11">
          <cell r="F11">
            <v>32975.322</v>
          </cell>
        </row>
        <row r="12">
          <cell r="F12">
            <v>1064751.0759999999</v>
          </cell>
        </row>
        <row r="13">
          <cell r="F13">
            <v>29611.671999999999</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3"/>
    </xxl21:alternateUrls>
    <sheetNames>
      <sheetName val="2020"/>
    </sheetNames>
    <sheetDataSet>
      <sheetData sheetId="0">
        <row r="8">
          <cell r="F8">
            <v>6183093.3379999995</v>
          </cell>
        </row>
        <row r="9">
          <cell r="F9">
            <v>978428.09600000002</v>
          </cell>
        </row>
        <row r="10">
          <cell r="F10">
            <v>415290.69299999997</v>
          </cell>
        </row>
        <row r="11">
          <cell r="F11">
            <v>31367.362000000001</v>
          </cell>
        </row>
        <row r="12">
          <cell r="F12">
            <v>898268.272</v>
          </cell>
        </row>
        <row r="13">
          <cell r="F13">
            <v>29053.075000000001</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3"/>
    </xxl21:alternateUrls>
    <sheetNames>
      <sheetName val="2021"/>
    </sheetNames>
    <sheetDataSet>
      <sheetData sheetId="0">
        <row r="8">
          <cell r="F8">
            <v>6169654.1890000002</v>
          </cell>
        </row>
        <row r="9">
          <cell r="F9">
            <v>1043782.863</v>
          </cell>
        </row>
        <row r="10">
          <cell r="F10">
            <v>435155.64399999997</v>
          </cell>
        </row>
        <row r="11">
          <cell r="F11">
            <v>34698.858</v>
          </cell>
        </row>
        <row r="12">
          <cell r="F12">
            <v>983972.03899999999</v>
          </cell>
        </row>
        <row r="13">
          <cell r="F13">
            <v>28995.261999999999</v>
          </cell>
        </row>
      </sheetData>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3"/>
    </xxl21:alternateUrls>
    <sheetNames>
      <sheetName val="2022"/>
    </sheetNames>
    <sheetDataSet>
      <sheetData sheetId="0">
        <row r="8">
          <cell r="F8">
            <v>6213010.2189999996</v>
          </cell>
        </row>
        <row r="9">
          <cell r="F9">
            <v>1053833.202</v>
          </cell>
        </row>
        <row r="10">
          <cell r="F10">
            <v>458054.06300000002</v>
          </cell>
        </row>
        <row r="11">
          <cell r="F11">
            <v>34744.652999999998</v>
          </cell>
        </row>
        <row r="12">
          <cell r="F12">
            <v>1025929.804</v>
          </cell>
        </row>
        <row r="13">
          <cell r="F13">
            <v>28649.97</v>
          </cell>
        </row>
      </sheetData>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3"/>
    </xxl21:alternateUrls>
    <sheetNames>
      <sheetName val="2022"/>
    </sheetNames>
    <sheetDataSet>
      <sheetData sheetId="0">
        <row r="6">
          <cell r="F6">
            <v>9961653.2019999996</v>
          </cell>
        </row>
        <row r="7">
          <cell r="F7">
            <v>9639157.4859999977</v>
          </cell>
        </row>
        <row r="8">
          <cell r="F8">
            <v>9500990.307</v>
          </cell>
        </row>
        <row r="9">
          <cell r="F9">
            <v>9406165.5189999994</v>
          </cell>
        </row>
        <row r="10">
          <cell r="F10">
            <v>9388576.5319999997</v>
          </cell>
        </row>
        <row r="11">
          <cell r="F11">
            <v>9284423.6359999999</v>
          </cell>
        </row>
        <row r="12">
          <cell r="F12">
            <v>9135530.9249999989</v>
          </cell>
        </row>
        <row r="13">
          <cell r="F13">
            <v>9139885.9269999992</v>
          </cell>
        </row>
        <row r="14">
          <cell r="F14">
            <v>9200693.8709999993</v>
          </cell>
        </row>
        <row r="15">
          <cell r="F15">
            <v>8535500.8359999992</v>
          </cell>
        </row>
        <row r="16">
          <cell r="F16">
            <v>8696258.8550000004</v>
          </cell>
        </row>
        <row r="17">
          <cell r="F17">
            <v>8814222</v>
          </cell>
        </row>
      </sheetData>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3"/>
    </xxl21:alternateUrls>
    <sheetNames>
      <sheetName val="Total Electric Industry"/>
      <sheetName val="Full-Service Providers"/>
      <sheetName val="Energy Only Providers"/>
      <sheetName val="Delivery Only Providers"/>
      <sheetName val="Competitive Service Providers"/>
    </sheetNames>
    <sheetDataSet>
      <sheetData sheetId="0">
        <row r="1">
          <cell r="E1">
            <v>5</v>
          </cell>
          <cell r="I1">
            <v>9</v>
          </cell>
          <cell r="M1">
            <v>13</v>
          </cell>
          <cell r="Q1">
            <v>17</v>
          </cell>
          <cell r="U1">
            <v>21</v>
          </cell>
        </row>
        <row r="5">
          <cell r="A5" t="str">
            <v>2022AK</v>
          </cell>
          <cell r="B5">
            <v>2022</v>
          </cell>
          <cell r="C5" t="str">
            <v>AK</v>
          </cell>
          <cell r="D5">
            <v>473751</v>
          </cell>
          <cell r="E5">
            <v>2050472</v>
          </cell>
          <cell r="F5">
            <v>294370</v>
          </cell>
          <cell r="G5">
            <v>23.1</v>
          </cell>
          <cell r="H5">
            <v>516678</v>
          </cell>
          <cell r="I5">
            <v>2575918</v>
          </cell>
          <cell r="J5">
            <v>56372</v>
          </cell>
          <cell r="K5">
            <v>20.059999999999999</v>
          </cell>
          <cell r="L5">
            <v>253566</v>
          </cell>
          <cell r="M5">
            <v>1375690</v>
          </cell>
          <cell r="N5">
            <v>1149</v>
          </cell>
          <cell r="O5">
            <v>18.43</v>
          </cell>
          <cell r="P5">
            <v>0</v>
          </cell>
          <cell r="Q5">
            <v>0</v>
          </cell>
          <cell r="R5">
            <v>0</v>
          </cell>
          <cell r="S5">
            <v>0</v>
          </cell>
          <cell r="T5">
            <v>1243996</v>
          </cell>
          <cell r="U5">
            <v>6002080</v>
          </cell>
          <cell r="V5">
            <v>351891</v>
          </cell>
          <cell r="W5">
            <v>20.73</v>
          </cell>
        </row>
        <row r="6">
          <cell r="A6" t="str">
            <v>2022AL</v>
          </cell>
          <cell r="B6">
            <v>2022</v>
          </cell>
          <cell r="C6" t="str">
            <v>AL</v>
          </cell>
          <cell r="D6">
            <v>4690788</v>
          </cell>
          <cell r="E6">
            <v>32923573</v>
          </cell>
          <cell r="F6">
            <v>2329559</v>
          </cell>
          <cell r="G6">
            <v>14.25</v>
          </cell>
          <cell r="H6">
            <v>2946401</v>
          </cell>
          <cell r="I6">
            <v>22391068</v>
          </cell>
          <cell r="J6">
            <v>380269</v>
          </cell>
          <cell r="K6">
            <v>13.16</v>
          </cell>
          <cell r="L6">
            <v>2447353</v>
          </cell>
          <cell r="M6">
            <v>31712904</v>
          </cell>
          <cell r="N6">
            <v>7223</v>
          </cell>
          <cell r="O6">
            <v>7.72</v>
          </cell>
          <cell r="P6">
            <v>0</v>
          </cell>
          <cell r="Q6">
            <v>0</v>
          </cell>
          <cell r="R6">
            <v>0</v>
          </cell>
          <cell r="S6">
            <v>0</v>
          </cell>
          <cell r="T6">
            <v>10084542</v>
          </cell>
          <cell r="U6">
            <v>87027545</v>
          </cell>
          <cell r="V6">
            <v>2717051</v>
          </cell>
          <cell r="W6">
            <v>11.59</v>
          </cell>
        </row>
        <row r="7">
          <cell r="A7" t="str">
            <v>2022AR</v>
          </cell>
          <cell r="B7">
            <v>2022</v>
          </cell>
          <cell r="C7" t="str">
            <v>AR</v>
          </cell>
          <cell r="D7">
            <v>2320527</v>
          </cell>
          <cell r="E7">
            <v>19250661</v>
          </cell>
          <cell r="F7">
            <v>1445528</v>
          </cell>
          <cell r="G7">
            <v>12.05</v>
          </cell>
          <cell r="H7">
            <v>1208974</v>
          </cell>
          <cell r="I7">
            <v>11786525</v>
          </cell>
          <cell r="J7">
            <v>203432</v>
          </cell>
          <cell r="K7">
            <v>10.26</v>
          </cell>
          <cell r="L7">
            <v>1325498</v>
          </cell>
          <cell r="M7">
            <v>17960258</v>
          </cell>
          <cell r="N7">
            <v>35670</v>
          </cell>
          <cell r="O7">
            <v>7.38</v>
          </cell>
          <cell r="P7">
            <v>34</v>
          </cell>
          <cell r="Q7">
            <v>219</v>
          </cell>
          <cell r="R7">
            <v>2</v>
          </cell>
          <cell r="S7">
            <v>15.48</v>
          </cell>
          <cell r="T7">
            <v>4855033</v>
          </cell>
          <cell r="U7">
            <v>48997663</v>
          </cell>
          <cell r="V7">
            <v>1684632</v>
          </cell>
          <cell r="W7">
            <v>9.91</v>
          </cell>
        </row>
        <row r="8">
          <cell r="A8" t="str">
            <v>2022AZ</v>
          </cell>
          <cell r="B8">
            <v>2022</v>
          </cell>
          <cell r="C8" t="str">
            <v>AZ</v>
          </cell>
          <cell r="D8">
            <v>4994758</v>
          </cell>
          <cell r="E8">
            <v>38367633</v>
          </cell>
          <cell r="F8">
            <v>3013393</v>
          </cell>
          <cell r="G8">
            <v>13.02</v>
          </cell>
          <cell r="H8">
            <v>3403649</v>
          </cell>
          <cell r="I8">
            <v>31507070</v>
          </cell>
          <cell r="J8">
            <v>340035</v>
          </cell>
          <cell r="K8">
            <v>10.8</v>
          </cell>
          <cell r="L8">
            <v>1125540</v>
          </cell>
          <cell r="M8">
            <v>14311610</v>
          </cell>
          <cell r="N8">
            <v>7808</v>
          </cell>
          <cell r="O8">
            <v>7.86</v>
          </cell>
          <cell r="P8">
            <v>982</v>
          </cell>
          <cell r="Q8">
            <v>10204</v>
          </cell>
          <cell r="R8">
            <v>2</v>
          </cell>
          <cell r="S8">
            <v>9.6199999999999992</v>
          </cell>
          <cell r="T8">
            <v>9524928</v>
          </cell>
          <cell r="U8">
            <v>84196517</v>
          </cell>
          <cell r="V8">
            <v>3361238</v>
          </cell>
          <cell r="W8">
            <v>11.31</v>
          </cell>
        </row>
        <row r="9">
          <cell r="A9" t="str">
            <v>2022CA</v>
          </cell>
          <cell r="B9">
            <v>2022</v>
          </cell>
          <cell r="C9" t="str">
            <v>CA</v>
          </cell>
          <cell r="D9">
            <v>23136718</v>
          </cell>
          <cell r="E9">
            <v>89542208</v>
          </cell>
          <cell r="F9">
            <v>13942174</v>
          </cell>
          <cell r="G9">
            <v>25.84</v>
          </cell>
          <cell r="H9">
            <v>24896338</v>
          </cell>
          <cell r="I9">
            <v>114141384</v>
          </cell>
          <cell r="J9">
            <v>1767719</v>
          </cell>
          <cell r="K9">
            <v>21.81</v>
          </cell>
          <cell r="L9">
            <v>8116628</v>
          </cell>
          <cell r="M9">
            <v>47500423</v>
          </cell>
          <cell r="N9">
            <v>147928</v>
          </cell>
          <cell r="O9">
            <v>17.09</v>
          </cell>
          <cell r="P9">
            <v>94244</v>
          </cell>
          <cell r="Q9">
            <v>685121</v>
          </cell>
          <cell r="R9">
            <v>12</v>
          </cell>
          <cell r="S9">
            <v>13.76</v>
          </cell>
          <cell r="T9">
            <v>56243928</v>
          </cell>
          <cell r="U9">
            <v>251869136</v>
          </cell>
          <cell r="V9">
            <v>15857833</v>
          </cell>
          <cell r="W9">
            <v>22.33</v>
          </cell>
        </row>
        <row r="10">
          <cell r="A10" t="str">
            <v>2022CO</v>
          </cell>
          <cell r="B10">
            <v>2022</v>
          </cell>
          <cell r="C10" t="str">
            <v>CO</v>
          </cell>
          <cell r="D10">
            <v>2922469</v>
          </cell>
          <cell r="E10">
            <v>20593942</v>
          </cell>
          <cell r="F10">
            <v>2480555</v>
          </cell>
          <cell r="G10">
            <v>14.19</v>
          </cell>
          <cell r="H10">
            <v>2439656</v>
          </cell>
          <cell r="I10">
            <v>21059419</v>
          </cell>
          <cell r="J10">
            <v>390861</v>
          </cell>
          <cell r="K10">
            <v>11.58</v>
          </cell>
          <cell r="L10">
            <v>1296207</v>
          </cell>
          <cell r="M10">
            <v>15018320</v>
          </cell>
          <cell r="N10">
            <v>15078</v>
          </cell>
          <cell r="O10">
            <v>8.6300000000000008</v>
          </cell>
          <cell r="P10">
            <v>9057</v>
          </cell>
          <cell r="Q10">
            <v>91360</v>
          </cell>
          <cell r="R10">
            <v>1</v>
          </cell>
          <cell r="S10">
            <v>9.91</v>
          </cell>
          <cell r="T10">
            <v>6667389</v>
          </cell>
          <cell r="U10">
            <v>56763041</v>
          </cell>
          <cell r="V10">
            <v>2886495</v>
          </cell>
          <cell r="W10">
            <v>11.75</v>
          </cell>
        </row>
        <row r="11">
          <cell r="A11" t="str">
            <v>2022CT</v>
          </cell>
          <cell r="B11">
            <v>2022</v>
          </cell>
          <cell r="C11" t="str">
            <v>CT</v>
          </cell>
          <cell r="D11">
            <v>3246418</v>
          </cell>
          <cell r="E11">
            <v>13190687</v>
          </cell>
          <cell r="F11">
            <v>1536217</v>
          </cell>
          <cell r="G11">
            <v>24.61</v>
          </cell>
          <cell r="H11">
            <v>2155969</v>
          </cell>
          <cell r="I11">
            <v>11625823</v>
          </cell>
          <cell r="J11">
            <v>155784</v>
          </cell>
          <cell r="K11">
            <v>18.54</v>
          </cell>
          <cell r="L11">
            <v>418994</v>
          </cell>
          <cell r="M11">
            <v>2780106</v>
          </cell>
          <cell r="N11">
            <v>3976</v>
          </cell>
          <cell r="O11">
            <v>15.07</v>
          </cell>
          <cell r="P11">
            <v>30814</v>
          </cell>
          <cell r="Q11">
            <v>170530</v>
          </cell>
          <cell r="R11">
            <v>3</v>
          </cell>
          <cell r="S11">
            <v>18.07</v>
          </cell>
          <cell r="T11">
            <v>5852195</v>
          </cell>
          <cell r="U11">
            <v>27767146</v>
          </cell>
          <cell r="V11">
            <v>1695980</v>
          </cell>
          <cell r="W11">
            <v>21.08</v>
          </cell>
        </row>
        <row r="12">
          <cell r="A12" t="str">
            <v>2022DC</v>
          </cell>
          <cell r="B12">
            <v>2022</v>
          </cell>
          <cell r="C12" t="str">
            <v>DC</v>
          </cell>
          <cell r="D12">
            <v>357265</v>
          </cell>
          <cell r="E12">
            <v>2519079</v>
          </cell>
          <cell r="F12">
            <v>306464</v>
          </cell>
          <cell r="G12">
            <v>14.18</v>
          </cell>
          <cell r="H12">
            <v>1137041</v>
          </cell>
          <cell r="I12">
            <v>7290077</v>
          </cell>
          <cell r="J12">
            <v>27136</v>
          </cell>
          <cell r="K12">
            <v>15.6</v>
          </cell>
          <cell r="L12">
            <v>14061</v>
          </cell>
          <cell r="M12">
            <v>181716</v>
          </cell>
          <cell r="N12">
            <v>1</v>
          </cell>
          <cell r="O12">
            <v>7.74</v>
          </cell>
          <cell r="P12">
            <v>21319</v>
          </cell>
          <cell r="Q12">
            <v>250662</v>
          </cell>
          <cell r="R12">
            <v>3</v>
          </cell>
          <cell r="S12">
            <v>8.5</v>
          </cell>
          <cell r="T12">
            <v>1529685</v>
          </cell>
          <cell r="U12">
            <v>10241534</v>
          </cell>
          <cell r="V12">
            <v>333604</v>
          </cell>
          <cell r="W12">
            <v>14.94</v>
          </cell>
        </row>
        <row r="13">
          <cell r="A13" t="str">
            <v>2022DE</v>
          </cell>
          <cell r="B13">
            <v>2022</v>
          </cell>
          <cell r="C13" t="str">
            <v>DE</v>
          </cell>
          <cell r="D13">
            <v>714302</v>
          </cell>
          <cell r="E13">
            <v>5210069</v>
          </cell>
          <cell r="F13">
            <v>461484</v>
          </cell>
          <cell r="G13">
            <v>13.71</v>
          </cell>
          <cell r="H13">
            <v>472127</v>
          </cell>
          <cell r="I13">
            <v>4298806</v>
          </cell>
          <cell r="J13">
            <v>59162</v>
          </cell>
          <cell r="K13">
            <v>10.98</v>
          </cell>
          <cell r="L13">
            <v>178553</v>
          </cell>
          <cell r="M13">
            <v>2030396</v>
          </cell>
          <cell r="N13">
            <v>868</v>
          </cell>
          <cell r="O13">
            <v>8.7899999999999991</v>
          </cell>
          <cell r="P13">
            <v>0</v>
          </cell>
          <cell r="Q13">
            <v>0</v>
          </cell>
          <cell r="R13">
            <v>0</v>
          </cell>
          <cell r="S13">
            <v>0</v>
          </cell>
          <cell r="T13">
            <v>1364983</v>
          </cell>
          <cell r="U13">
            <v>11539271</v>
          </cell>
          <cell r="V13">
            <v>521514</v>
          </cell>
          <cell r="W13">
            <v>11.83</v>
          </cell>
        </row>
        <row r="14">
          <cell r="A14" t="str">
            <v>2022FL</v>
          </cell>
          <cell r="B14">
            <v>2022</v>
          </cell>
          <cell r="C14" t="str">
            <v>FL</v>
          </cell>
          <cell r="D14">
            <v>18664364</v>
          </cell>
          <cell r="E14">
            <v>134245975</v>
          </cell>
          <cell r="F14">
            <v>10066753</v>
          </cell>
          <cell r="G14">
            <v>13.9</v>
          </cell>
          <cell r="H14">
            <v>10842320</v>
          </cell>
          <cell r="I14">
            <v>96864074</v>
          </cell>
          <cell r="J14">
            <v>1282170</v>
          </cell>
          <cell r="K14">
            <v>11.19</v>
          </cell>
          <cell r="L14">
            <v>1614811</v>
          </cell>
          <cell r="M14">
            <v>17635655</v>
          </cell>
          <cell r="N14">
            <v>23673</v>
          </cell>
          <cell r="O14">
            <v>9.16</v>
          </cell>
          <cell r="P14">
            <v>7655</v>
          </cell>
          <cell r="Q14">
            <v>75099</v>
          </cell>
          <cell r="R14">
            <v>2</v>
          </cell>
          <cell r="S14">
            <v>10.19</v>
          </cell>
          <cell r="T14">
            <v>31129149</v>
          </cell>
          <cell r="U14">
            <v>248820803</v>
          </cell>
          <cell r="V14">
            <v>11372598</v>
          </cell>
          <cell r="W14">
            <v>12.51</v>
          </cell>
        </row>
        <row r="15">
          <cell r="A15" t="str">
            <v>2022GA</v>
          </cell>
          <cell r="B15">
            <v>2022</v>
          </cell>
          <cell r="C15" t="str">
            <v>GA</v>
          </cell>
          <cell r="D15">
            <v>8437884</v>
          </cell>
          <cell r="E15">
            <v>61140241</v>
          </cell>
          <cell r="F15">
            <v>4648898</v>
          </cell>
          <cell r="G15">
            <v>13.8</v>
          </cell>
          <cell r="H15">
            <v>5995224</v>
          </cell>
          <cell r="I15">
            <v>49540774</v>
          </cell>
          <cell r="J15">
            <v>607578</v>
          </cell>
          <cell r="K15">
            <v>12.1</v>
          </cell>
          <cell r="L15">
            <v>2959850</v>
          </cell>
          <cell r="M15">
            <v>34210498</v>
          </cell>
          <cell r="N15">
            <v>24135</v>
          </cell>
          <cell r="O15">
            <v>8.65</v>
          </cell>
          <cell r="P15">
            <v>13400</v>
          </cell>
          <cell r="Q15">
            <v>143691</v>
          </cell>
          <cell r="R15">
            <v>1</v>
          </cell>
          <cell r="S15">
            <v>9.33</v>
          </cell>
          <cell r="T15">
            <v>17406358</v>
          </cell>
          <cell r="U15">
            <v>145035204</v>
          </cell>
          <cell r="V15">
            <v>5280612</v>
          </cell>
          <cell r="W15">
            <v>12</v>
          </cell>
        </row>
        <row r="16">
          <cell r="A16" t="str">
            <v>2022HI</v>
          </cell>
          <cell r="B16">
            <v>2022</v>
          </cell>
          <cell r="C16" t="str">
            <v>HI</v>
          </cell>
          <cell r="D16">
            <v>1182559</v>
          </cell>
          <cell r="E16">
            <v>2748479</v>
          </cell>
          <cell r="F16">
            <v>444854</v>
          </cell>
          <cell r="G16">
            <v>43.03</v>
          </cell>
          <cell r="H16">
            <v>1140213</v>
          </cell>
          <cell r="I16">
            <v>2837850</v>
          </cell>
          <cell r="J16">
            <v>60136</v>
          </cell>
          <cell r="K16">
            <v>40.18</v>
          </cell>
          <cell r="L16">
            <v>1267578</v>
          </cell>
          <cell r="M16">
            <v>3452786</v>
          </cell>
          <cell r="N16">
            <v>822</v>
          </cell>
          <cell r="O16">
            <v>36.71</v>
          </cell>
          <cell r="P16">
            <v>0</v>
          </cell>
          <cell r="Q16">
            <v>0</v>
          </cell>
          <cell r="R16">
            <v>0</v>
          </cell>
          <cell r="S16">
            <v>0</v>
          </cell>
          <cell r="T16">
            <v>3590349</v>
          </cell>
          <cell r="U16">
            <v>9039115</v>
          </cell>
          <cell r="V16">
            <v>505812</v>
          </cell>
          <cell r="W16">
            <v>39.72</v>
          </cell>
        </row>
        <row r="17">
          <cell r="A17" t="str">
            <v>2022IA</v>
          </cell>
          <cell r="B17">
            <v>2022</v>
          </cell>
          <cell r="C17" t="str">
            <v>IA</v>
          </cell>
          <cell r="D17">
            <v>1997146</v>
          </cell>
          <cell r="E17">
            <v>15192859</v>
          </cell>
          <cell r="F17">
            <v>1426164</v>
          </cell>
          <cell r="G17">
            <v>13.15</v>
          </cell>
          <cell r="H17">
            <v>1315547</v>
          </cell>
          <cell r="I17">
            <v>12470072</v>
          </cell>
          <cell r="J17">
            <v>245328</v>
          </cell>
          <cell r="K17">
            <v>10.55</v>
          </cell>
          <cell r="L17">
            <v>1874715</v>
          </cell>
          <cell r="M17">
            <v>26541024</v>
          </cell>
          <cell r="N17">
            <v>9458</v>
          </cell>
          <cell r="O17">
            <v>7.06</v>
          </cell>
          <cell r="P17">
            <v>0</v>
          </cell>
          <cell r="Q17">
            <v>0</v>
          </cell>
          <cell r="R17">
            <v>0</v>
          </cell>
          <cell r="S17">
            <v>0</v>
          </cell>
          <cell r="T17">
            <v>5187408</v>
          </cell>
          <cell r="U17">
            <v>54203955</v>
          </cell>
          <cell r="V17">
            <v>1680950</v>
          </cell>
          <cell r="W17">
            <v>9.57</v>
          </cell>
        </row>
        <row r="18">
          <cell r="A18" t="str">
            <v>2022ID</v>
          </cell>
          <cell r="B18">
            <v>2022</v>
          </cell>
          <cell r="C18" t="str">
            <v>ID</v>
          </cell>
          <cell r="D18">
            <v>1033583</v>
          </cell>
          <cell r="E18">
            <v>9963653</v>
          </cell>
          <cell r="F18">
            <v>826329</v>
          </cell>
          <cell r="G18">
            <v>10.37</v>
          </cell>
          <cell r="H18">
            <v>565304</v>
          </cell>
          <cell r="I18">
            <v>6836725</v>
          </cell>
          <cell r="J18">
            <v>119688</v>
          </cell>
          <cell r="K18">
            <v>8.27</v>
          </cell>
          <cell r="L18">
            <v>630771</v>
          </cell>
          <cell r="M18">
            <v>9400753</v>
          </cell>
          <cell r="N18">
            <v>29155</v>
          </cell>
          <cell r="O18">
            <v>6.71</v>
          </cell>
          <cell r="P18">
            <v>0</v>
          </cell>
          <cell r="Q18">
            <v>0</v>
          </cell>
          <cell r="R18">
            <v>0</v>
          </cell>
          <cell r="S18">
            <v>0</v>
          </cell>
          <cell r="T18">
            <v>2229658</v>
          </cell>
          <cell r="U18">
            <v>26201131</v>
          </cell>
          <cell r="V18">
            <v>975172</v>
          </cell>
          <cell r="W18">
            <v>8.51</v>
          </cell>
        </row>
        <row r="19">
          <cell r="A19" t="str">
            <v>2022IL</v>
          </cell>
          <cell r="B19">
            <v>2022</v>
          </cell>
          <cell r="C19" t="str">
            <v>IL</v>
          </cell>
          <cell r="D19">
            <v>7274069</v>
          </cell>
          <cell r="E19">
            <v>46479195</v>
          </cell>
          <cell r="F19">
            <v>5376734</v>
          </cell>
          <cell r="G19">
            <v>15.65</v>
          </cell>
          <cell r="H19">
            <v>5332077</v>
          </cell>
          <cell r="I19">
            <v>47119806</v>
          </cell>
          <cell r="J19">
            <v>636011</v>
          </cell>
          <cell r="K19">
            <v>11.32</v>
          </cell>
          <cell r="L19">
            <v>3584548</v>
          </cell>
          <cell r="M19">
            <v>41817849</v>
          </cell>
          <cell r="N19">
            <v>5486</v>
          </cell>
          <cell r="O19">
            <v>8.57</v>
          </cell>
          <cell r="P19">
            <v>32783</v>
          </cell>
          <cell r="Q19">
            <v>454730</v>
          </cell>
          <cell r="R19">
            <v>4</v>
          </cell>
          <cell r="S19">
            <v>7.21</v>
          </cell>
          <cell r="T19">
            <v>16223477</v>
          </cell>
          <cell r="U19">
            <v>135871580</v>
          </cell>
          <cell r="V19">
            <v>6018235</v>
          </cell>
          <cell r="W19">
            <v>11.94</v>
          </cell>
        </row>
        <row r="20">
          <cell r="A20" t="str">
            <v>2022IN</v>
          </cell>
          <cell r="B20">
            <v>2022</v>
          </cell>
          <cell r="C20" t="str">
            <v>IN</v>
          </cell>
          <cell r="D20">
            <v>4970158</v>
          </cell>
          <cell r="E20">
            <v>34058498</v>
          </cell>
          <cell r="F20">
            <v>2988151</v>
          </cell>
          <cell r="G20">
            <v>14.59</v>
          </cell>
          <cell r="H20">
            <v>3020294</v>
          </cell>
          <cell r="I20">
            <v>23493759</v>
          </cell>
          <cell r="J20">
            <v>370420</v>
          </cell>
          <cell r="K20">
            <v>12.86</v>
          </cell>
          <cell r="L20">
            <v>3673894</v>
          </cell>
          <cell r="M20">
            <v>42479590</v>
          </cell>
          <cell r="N20">
            <v>19116</v>
          </cell>
          <cell r="O20">
            <v>8.65</v>
          </cell>
          <cell r="P20">
            <v>1631</v>
          </cell>
          <cell r="Q20">
            <v>12518</v>
          </cell>
          <cell r="R20">
            <v>1</v>
          </cell>
          <cell r="S20">
            <v>13.03</v>
          </cell>
          <cell r="T20">
            <v>11665978</v>
          </cell>
          <cell r="U20">
            <v>100044365</v>
          </cell>
          <cell r="V20">
            <v>3377688</v>
          </cell>
          <cell r="W20">
            <v>11.66</v>
          </cell>
        </row>
        <row r="21">
          <cell r="A21" t="str">
            <v>2022KS</v>
          </cell>
          <cell r="B21">
            <v>2022</v>
          </cell>
          <cell r="C21" t="str">
            <v>KS</v>
          </cell>
          <cell r="D21">
            <v>2020777</v>
          </cell>
          <cell r="E21">
            <v>14443522</v>
          </cell>
          <cell r="F21">
            <v>1297400</v>
          </cell>
          <cell r="G21">
            <v>13.99</v>
          </cell>
          <cell r="H21">
            <v>1816669</v>
          </cell>
          <cell r="I21">
            <v>15781384</v>
          </cell>
          <cell r="J21">
            <v>245577</v>
          </cell>
          <cell r="K21">
            <v>11.51</v>
          </cell>
          <cell r="L21">
            <v>974218</v>
          </cell>
          <cell r="M21">
            <v>11736159</v>
          </cell>
          <cell r="N21">
            <v>24109</v>
          </cell>
          <cell r="O21">
            <v>8.3000000000000007</v>
          </cell>
          <cell r="P21">
            <v>0</v>
          </cell>
          <cell r="Q21">
            <v>0</v>
          </cell>
          <cell r="R21">
            <v>0</v>
          </cell>
          <cell r="S21">
            <v>0</v>
          </cell>
          <cell r="T21">
            <v>4811665</v>
          </cell>
          <cell r="U21">
            <v>41961065</v>
          </cell>
          <cell r="V21">
            <v>1567086</v>
          </cell>
          <cell r="W21">
            <v>11.47</v>
          </cell>
        </row>
        <row r="22">
          <cell r="A22" t="str">
            <v>2022KY</v>
          </cell>
          <cell r="B22">
            <v>2022</v>
          </cell>
          <cell r="C22" t="str">
            <v>KY</v>
          </cell>
          <cell r="D22">
            <v>3466096</v>
          </cell>
          <cell r="E22">
            <v>26840186</v>
          </cell>
          <cell r="F22">
            <v>2045252</v>
          </cell>
          <cell r="G22">
            <v>12.91</v>
          </cell>
          <cell r="H22">
            <v>2317841</v>
          </cell>
          <cell r="I22">
            <v>19674006</v>
          </cell>
          <cell r="J22">
            <v>318516</v>
          </cell>
          <cell r="K22">
            <v>11.78</v>
          </cell>
          <cell r="L22">
            <v>2135730</v>
          </cell>
          <cell r="M22">
            <v>28824550</v>
          </cell>
          <cell r="N22">
            <v>5419</v>
          </cell>
          <cell r="O22">
            <v>7.41</v>
          </cell>
          <cell r="P22">
            <v>0</v>
          </cell>
          <cell r="Q22">
            <v>0</v>
          </cell>
          <cell r="R22">
            <v>0</v>
          </cell>
          <cell r="S22">
            <v>0</v>
          </cell>
          <cell r="T22">
            <v>7919668</v>
          </cell>
          <cell r="U22">
            <v>75338742</v>
          </cell>
          <cell r="V22">
            <v>2369187</v>
          </cell>
          <cell r="W22">
            <v>10.51</v>
          </cell>
        </row>
        <row r="23">
          <cell r="A23" t="str">
            <v>2022LA</v>
          </cell>
          <cell r="B23">
            <v>2022</v>
          </cell>
          <cell r="C23" t="str">
            <v>LA</v>
          </cell>
          <cell r="D23">
            <v>4067058</v>
          </cell>
          <cell r="E23">
            <v>31444708</v>
          </cell>
          <cell r="F23">
            <v>2128425</v>
          </cell>
          <cell r="G23">
            <v>12.93</v>
          </cell>
          <cell r="H23">
            <v>2809136</v>
          </cell>
          <cell r="I23">
            <v>23540241</v>
          </cell>
          <cell r="J23">
            <v>299424</v>
          </cell>
          <cell r="K23">
            <v>11.93</v>
          </cell>
          <cell r="L23">
            <v>3027439</v>
          </cell>
          <cell r="M23">
            <v>40143868</v>
          </cell>
          <cell r="N23">
            <v>19695</v>
          </cell>
          <cell r="O23">
            <v>7.54</v>
          </cell>
          <cell r="P23">
            <v>1267</v>
          </cell>
          <cell r="Q23">
            <v>10181</v>
          </cell>
          <cell r="R23">
            <v>1</v>
          </cell>
          <cell r="S23">
            <v>12.45</v>
          </cell>
          <cell r="T23">
            <v>9904900</v>
          </cell>
          <cell r="U23">
            <v>95138998</v>
          </cell>
          <cell r="V23">
            <v>2447545</v>
          </cell>
          <cell r="W23">
            <v>10.41</v>
          </cell>
        </row>
        <row r="24">
          <cell r="A24" t="str">
            <v>2022MA</v>
          </cell>
          <cell r="B24">
            <v>2022</v>
          </cell>
          <cell r="C24" t="str">
            <v>MA</v>
          </cell>
          <cell r="D24">
            <v>5196288</v>
          </cell>
          <cell r="E24">
            <v>20006891</v>
          </cell>
          <cell r="F24">
            <v>2888583</v>
          </cell>
          <cell r="G24">
            <v>25.97</v>
          </cell>
          <cell r="H24">
            <v>4562463</v>
          </cell>
          <cell r="I24">
            <v>24443659</v>
          </cell>
          <cell r="J24">
            <v>435521</v>
          </cell>
          <cell r="K24">
            <v>18.670000000000002</v>
          </cell>
          <cell r="L24">
            <v>1063201</v>
          </cell>
          <cell r="M24">
            <v>6233832</v>
          </cell>
          <cell r="N24">
            <v>10524</v>
          </cell>
          <cell r="O24">
            <v>17.059999999999999</v>
          </cell>
          <cell r="P24">
            <v>21180</v>
          </cell>
          <cell r="Q24">
            <v>299058</v>
          </cell>
          <cell r="R24">
            <v>2</v>
          </cell>
          <cell r="S24">
            <v>7.08</v>
          </cell>
          <cell r="T24">
            <v>10843132</v>
          </cell>
          <cell r="U24">
            <v>50983440</v>
          </cell>
          <cell r="V24">
            <v>3334630</v>
          </cell>
          <cell r="W24">
            <v>21.27</v>
          </cell>
        </row>
        <row r="25">
          <cell r="A25" t="str">
            <v>2022MD</v>
          </cell>
          <cell r="B25">
            <v>2022</v>
          </cell>
          <cell r="C25" t="str">
            <v>MD</v>
          </cell>
          <cell r="D25">
            <v>4057913</v>
          </cell>
          <cell r="E25">
            <v>28065379</v>
          </cell>
          <cell r="F25">
            <v>2415655</v>
          </cell>
          <cell r="G25">
            <v>14.46</v>
          </cell>
          <cell r="H25">
            <v>3494862</v>
          </cell>
          <cell r="I25">
            <v>27623358</v>
          </cell>
          <cell r="J25">
            <v>260799</v>
          </cell>
          <cell r="K25">
            <v>12.65</v>
          </cell>
          <cell r="L25">
            <v>360419</v>
          </cell>
          <cell r="M25">
            <v>3601623</v>
          </cell>
          <cell r="N25">
            <v>9156</v>
          </cell>
          <cell r="O25">
            <v>10.01</v>
          </cell>
          <cell r="P25">
            <v>37070</v>
          </cell>
          <cell r="Q25">
            <v>392359</v>
          </cell>
          <cell r="R25">
            <v>5</v>
          </cell>
          <cell r="S25">
            <v>9.4499999999999993</v>
          </cell>
          <cell r="T25">
            <v>7950263</v>
          </cell>
          <cell r="U25">
            <v>59682719</v>
          </cell>
          <cell r="V25">
            <v>2685615</v>
          </cell>
          <cell r="W25">
            <v>13.32</v>
          </cell>
        </row>
        <row r="26">
          <cell r="A26" t="str">
            <v>2022ME</v>
          </cell>
          <cell r="B26">
            <v>2022</v>
          </cell>
          <cell r="C26" t="str">
            <v>ME</v>
          </cell>
          <cell r="D26">
            <v>1142540</v>
          </cell>
          <cell r="E26">
            <v>5090874</v>
          </cell>
          <cell r="F26">
            <v>728053</v>
          </cell>
          <cell r="G26">
            <v>22.44</v>
          </cell>
          <cell r="H26">
            <v>636081</v>
          </cell>
          <cell r="I26">
            <v>4129399</v>
          </cell>
          <cell r="J26">
            <v>106211</v>
          </cell>
          <cell r="K26">
            <v>15.4</v>
          </cell>
          <cell r="L26">
            <v>292946</v>
          </cell>
          <cell r="M26">
            <v>2655435</v>
          </cell>
          <cell r="N26">
            <v>2155</v>
          </cell>
          <cell r="O26">
            <v>11.03</v>
          </cell>
          <cell r="P26">
            <v>0</v>
          </cell>
          <cell r="Q26">
            <v>0</v>
          </cell>
          <cell r="R26">
            <v>0</v>
          </cell>
          <cell r="S26">
            <v>0</v>
          </cell>
          <cell r="T26">
            <v>2071566</v>
          </cell>
          <cell r="U26">
            <v>11875708</v>
          </cell>
          <cell r="V26">
            <v>836419</v>
          </cell>
          <cell r="W26">
            <v>17.440000000000001</v>
          </cell>
        </row>
        <row r="27">
          <cell r="A27" t="str">
            <v>2022MI</v>
          </cell>
          <cell r="B27">
            <v>2022</v>
          </cell>
          <cell r="C27" t="str">
            <v>MI</v>
          </cell>
          <cell r="D27">
            <v>6255971</v>
          </cell>
          <cell r="E27">
            <v>35034971</v>
          </cell>
          <cell r="F27">
            <v>4475317</v>
          </cell>
          <cell r="G27">
            <v>17.86</v>
          </cell>
          <cell r="H27">
            <v>4657585</v>
          </cell>
          <cell r="I27">
            <v>37114401</v>
          </cell>
          <cell r="J27">
            <v>554487</v>
          </cell>
          <cell r="K27">
            <v>12.55</v>
          </cell>
          <cell r="L27">
            <v>2372266</v>
          </cell>
          <cell r="M27">
            <v>28485570</v>
          </cell>
          <cell r="N27">
            <v>5689</v>
          </cell>
          <cell r="O27">
            <v>8.33</v>
          </cell>
          <cell r="P27">
            <v>534</v>
          </cell>
          <cell r="Q27">
            <v>4320</v>
          </cell>
          <cell r="R27">
            <v>2</v>
          </cell>
          <cell r="S27">
            <v>12.35</v>
          </cell>
          <cell r="T27">
            <v>13286355</v>
          </cell>
          <cell r="U27">
            <v>100639262</v>
          </cell>
          <cell r="V27">
            <v>5035495</v>
          </cell>
          <cell r="W27">
            <v>13.2</v>
          </cell>
        </row>
        <row r="28">
          <cell r="A28" t="str">
            <v>2022MN</v>
          </cell>
          <cell r="B28">
            <v>2022</v>
          </cell>
          <cell r="C28" t="str">
            <v>MN</v>
          </cell>
          <cell r="D28">
            <v>3336372</v>
          </cell>
          <cell r="E28">
            <v>23418313</v>
          </cell>
          <cell r="F28">
            <v>2523110</v>
          </cell>
          <cell r="G28">
            <v>14.25</v>
          </cell>
          <cell r="H28">
            <v>2773158</v>
          </cell>
          <cell r="I28">
            <v>22548588</v>
          </cell>
          <cell r="J28">
            <v>308250</v>
          </cell>
          <cell r="K28">
            <v>12.3</v>
          </cell>
          <cell r="L28">
            <v>1911003</v>
          </cell>
          <cell r="M28">
            <v>20648588</v>
          </cell>
          <cell r="N28">
            <v>9234</v>
          </cell>
          <cell r="O28">
            <v>9.25</v>
          </cell>
          <cell r="P28">
            <v>2450</v>
          </cell>
          <cell r="Q28">
            <v>19941</v>
          </cell>
          <cell r="R28">
            <v>1</v>
          </cell>
          <cell r="S28">
            <v>12.29</v>
          </cell>
          <cell r="T28">
            <v>8022983</v>
          </cell>
          <cell r="U28">
            <v>66635430</v>
          </cell>
          <cell r="V28">
            <v>2840595</v>
          </cell>
          <cell r="W28">
            <v>12.04</v>
          </cell>
        </row>
        <row r="29">
          <cell r="A29" t="str">
            <v>2022MO</v>
          </cell>
          <cell r="B29">
            <v>2022</v>
          </cell>
          <cell r="C29" t="str">
            <v>MO</v>
          </cell>
          <cell r="D29">
            <v>4373898</v>
          </cell>
          <cell r="E29">
            <v>37244970</v>
          </cell>
          <cell r="F29">
            <v>2882259</v>
          </cell>
          <cell r="G29">
            <v>11.74</v>
          </cell>
          <cell r="H29">
            <v>2845815</v>
          </cell>
          <cell r="I29">
            <v>29790520</v>
          </cell>
          <cell r="J29">
            <v>398806</v>
          </cell>
          <cell r="K29">
            <v>9.5500000000000007</v>
          </cell>
          <cell r="L29">
            <v>1015285</v>
          </cell>
          <cell r="M29">
            <v>13245662</v>
          </cell>
          <cell r="N29">
            <v>9883</v>
          </cell>
          <cell r="O29">
            <v>7.67</v>
          </cell>
          <cell r="P29">
            <v>2252</v>
          </cell>
          <cell r="Q29">
            <v>25108</v>
          </cell>
          <cell r="R29">
            <v>2</v>
          </cell>
          <cell r="S29">
            <v>8.9700000000000006</v>
          </cell>
          <cell r="T29">
            <v>8237250</v>
          </cell>
          <cell r="U29">
            <v>80306260</v>
          </cell>
          <cell r="V29">
            <v>3290950</v>
          </cell>
          <cell r="W29">
            <v>10.26</v>
          </cell>
        </row>
        <row r="30">
          <cell r="A30" t="str">
            <v>2022MS</v>
          </cell>
          <cell r="B30">
            <v>2022</v>
          </cell>
          <cell r="C30" t="str">
            <v>MS</v>
          </cell>
          <cell r="D30">
            <v>2348630</v>
          </cell>
          <cell r="E30">
            <v>18917877</v>
          </cell>
          <cell r="F30">
            <v>1329184</v>
          </cell>
          <cell r="G30">
            <v>12.41</v>
          </cell>
          <cell r="H30">
            <v>1656441</v>
          </cell>
          <cell r="I30">
            <v>14089632</v>
          </cell>
          <cell r="J30">
            <v>245252</v>
          </cell>
          <cell r="K30">
            <v>11.76</v>
          </cell>
          <cell r="L30">
            <v>1071425</v>
          </cell>
          <cell r="M30">
            <v>15972024</v>
          </cell>
          <cell r="N30">
            <v>10911</v>
          </cell>
          <cell r="O30">
            <v>6.71</v>
          </cell>
          <cell r="P30">
            <v>0</v>
          </cell>
          <cell r="Q30">
            <v>0</v>
          </cell>
          <cell r="R30">
            <v>0</v>
          </cell>
          <cell r="S30">
            <v>0</v>
          </cell>
          <cell r="T30">
            <v>5076496</v>
          </cell>
          <cell r="U30">
            <v>48979533</v>
          </cell>
          <cell r="V30">
            <v>1585347</v>
          </cell>
          <cell r="W30">
            <v>10.36</v>
          </cell>
        </row>
        <row r="31">
          <cell r="A31" t="str">
            <v>2022MT</v>
          </cell>
          <cell r="B31">
            <v>2022</v>
          </cell>
          <cell r="C31" t="str">
            <v>MT</v>
          </cell>
          <cell r="D31">
            <v>667968</v>
          </cell>
          <cell r="E31">
            <v>5894499</v>
          </cell>
          <cell r="F31">
            <v>540745</v>
          </cell>
          <cell r="G31">
            <v>11.33</v>
          </cell>
          <cell r="H31">
            <v>535936</v>
          </cell>
          <cell r="I31">
            <v>5019659</v>
          </cell>
          <cell r="J31">
            <v>114645</v>
          </cell>
          <cell r="K31">
            <v>10.68</v>
          </cell>
          <cell r="L31">
            <v>349566</v>
          </cell>
          <cell r="M31">
            <v>4669625</v>
          </cell>
          <cell r="N31">
            <v>11917</v>
          </cell>
          <cell r="O31">
            <v>7.49</v>
          </cell>
          <cell r="P31">
            <v>0</v>
          </cell>
          <cell r="Q31">
            <v>0</v>
          </cell>
          <cell r="R31">
            <v>0</v>
          </cell>
          <cell r="S31">
            <v>0</v>
          </cell>
          <cell r="T31">
            <v>1553470</v>
          </cell>
          <cell r="U31">
            <v>15583783</v>
          </cell>
          <cell r="V31">
            <v>667307</v>
          </cell>
          <cell r="W31">
            <v>9.9700000000000006</v>
          </cell>
        </row>
        <row r="32">
          <cell r="A32" t="str">
            <v>2022NC</v>
          </cell>
          <cell r="B32">
            <v>2022</v>
          </cell>
          <cell r="C32" t="str">
            <v>NC</v>
          </cell>
          <cell r="D32">
            <v>7253470</v>
          </cell>
          <cell r="E32">
            <v>62443953</v>
          </cell>
          <cell r="F32">
            <v>4855658</v>
          </cell>
          <cell r="G32">
            <v>11.62</v>
          </cell>
          <cell r="H32">
            <v>4307722</v>
          </cell>
          <cell r="I32">
            <v>49228797</v>
          </cell>
          <cell r="J32">
            <v>739530</v>
          </cell>
          <cell r="K32">
            <v>8.75</v>
          </cell>
          <cell r="L32">
            <v>1801078</v>
          </cell>
          <cell r="M32">
            <v>27519330</v>
          </cell>
          <cell r="N32">
            <v>9152</v>
          </cell>
          <cell r="O32">
            <v>6.54</v>
          </cell>
          <cell r="P32">
            <v>1117</v>
          </cell>
          <cell r="Q32">
            <v>14681</v>
          </cell>
          <cell r="R32">
            <v>1</v>
          </cell>
          <cell r="S32">
            <v>7.61</v>
          </cell>
          <cell r="T32">
            <v>13363388</v>
          </cell>
          <cell r="U32">
            <v>139206761</v>
          </cell>
          <cell r="V32">
            <v>5604341</v>
          </cell>
          <cell r="W32">
            <v>9.6</v>
          </cell>
        </row>
        <row r="33">
          <cell r="A33" t="str">
            <v>2022ND</v>
          </cell>
          <cell r="B33">
            <v>2022</v>
          </cell>
          <cell r="C33" t="str">
            <v>ND</v>
          </cell>
          <cell r="D33">
            <v>575541</v>
          </cell>
          <cell r="E33">
            <v>5271904</v>
          </cell>
          <cell r="F33">
            <v>392470</v>
          </cell>
          <cell r="G33">
            <v>10.92</v>
          </cell>
          <cell r="H33">
            <v>709487</v>
          </cell>
          <cell r="I33">
            <v>8392425</v>
          </cell>
          <cell r="J33">
            <v>76800</v>
          </cell>
          <cell r="K33">
            <v>8.4499999999999993</v>
          </cell>
          <cell r="L33">
            <v>854283</v>
          </cell>
          <cell r="M33">
            <v>11728548</v>
          </cell>
          <cell r="N33">
            <v>9142</v>
          </cell>
          <cell r="O33">
            <v>7.28</v>
          </cell>
          <cell r="P33">
            <v>0</v>
          </cell>
          <cell r="Q33">
            <v>0</v>
          </cell>
          <cell r="R33">
            <v>0</v>
          </cell>
          <cell r="S33">
            <v>0</v>
          </cell>
          <cell r="T33">
            <v>2139310</v>
          </cell>
          <cell r="U33">
            <v>25392877</v>
          </cell>
          <cell r="V33">
            <v>478412</v>
          </cell>
          <cell r="W33">
            <v>8.42</v>
          </cell>
        </row>
        <row r="34">
          <cell r="A34" t="str">
            <v>2022NE</v>
          </cell>
          <cell r="B34">
            <v>2022</v>
          </cell>
          <cell r="C34" t="str">
            <v>NE</v>
          </cell>
          <cell r="D34">
            <v>1185532</v>
          </cell>
          <cell r="E34">
            <v>10983649</v>
          </cell>
          <cell r="F34">
            <v>877619</v>
          </cell>
          <cell r="G34">
            <v>10.79</v>
          </cell>
          <cell r="H34">
            <v>848420</v>
          </cell>
          <cell r="I34">
            <v>9618755</v>
          </cell>
          <cell r="J34">
            <v>158569</v>
          </cell>
          <cell r="K34">
            <v>8.82</v>
          </cell>
          <cell r="L34">
            <v>955199</v>
          </cell>
          <cell r="M34">
            <v>13241701</v>
          </cell>
          <cell r="N34">
            <v>63679</v>
          </cell>
          <cell r="O34">
            <v>7.21</v>
          </cell>
          <cell r="P34">
            <v>0</v>
          </cell>
          <cell r="Q34">
            <v>0</v>
          </cell>
          <cell r="R34">
            <v>0</v>
          </cell>
          <cell r="S34">
            <v>0</v>
          </cell>
          <cell r="T34">
            <v>2989152</v>
          </cell>
          <cell r="U34">
            <v>33844105</v>
          </cell>
          <cell r="V34">
            <v>1099867</v>
          </cell>
          <cell r="W34">
            <v>8.83</v>
          </cell>
        </row>
        <row r="35">
          <cell r="A35" t="str">
            <v>2022NH</v>
          </cell>
          <cell r="B35">
            <v>2022</v>
          </cell>
          <cell r="C35" t="str">
            <v>NH</v>
          </cell>
          <cell r="D35">
            <v>1224085</v>
          </cell>
          <cell r="E35">
            <v>4808322</v>
          </cell>
          <cell r="F35">
            <v>642870</v>
          </cell>
          <cell r="G35">
            <v>25.46</v>
          </cell>
          <cell r="H35">
            <v>763434</v>
          </cell>
          <cell r="I35">
            <v>4084625</v>
          </cell>
          <cell r="J35">
            <v>110915</v>
          </cell>
          <cell r="K35">
            <v>18.690000000000001</v>
          </cell>
          <cell r="L35">
            <v>291573</v>
          </cell>
          <cell r="M35">
            <v>1925183</v>
          </cell>
          <cell r="N35">
            <v>3167</v>
          </cell>
          <cell r="O35">
            <v>15.15</v>
          </cell>
          <cell r="P35">
            <v>0</v>
          </cell>
          <cell r="Q35">
            <v>0</v>
          </cell>
          <cell r="R35">
            <v>0</v>
          </cell>
          <cell r="S35">
            <v>0</v>
          </cell>
          <cell r="T35">
            <v>2279091</v>
          </cell>
          <cell r="U35">
            <v>10818130</v>
          </cell>
          <cell r="V35">
            <v>756952</v>
          </cell>
          <cell r="W35">
            <v>21.07</v>
          </cell>
        </row>
        <row r="36">
          <cell r="A36" t="str">
            <v>2022NJ</v>
          </cell>
          <cell r="B36">
            <v>2022</v>
          </cell>
          <cell r="C36" t="str">
            <v>NJ</v>
          </cell>
          <cell r="D36">
            <v>5031557</v>
          </cell>
          <cell r="E36">
            <v>30062192</v>
          </cell>
          <cell r="F36">
            <v>3675569</v>
          </cell>
          <cell r="G36">
            <v>16.739999999999998</v>
          </cell>
          <cell r="H36">
            <v>5138269</v>
          </cell>
          <cell r="I36">
            <v>37374037</v>
          </cell>
          <cell r="J36">
            <v>532838</v>
          </cell>
          <cell r="K36">
            <v>13.75</v>
          </cell>
          <cell r="L36">
            <v>818454</v>
          </cell>
          <cell r="M36">
            <v>6753844</v>
          </cell>
          <cell r="N36">
            <v>11427</v>
          </cell>
          <cell r="O36">
            <v>12.12</v>
          </cell>
          <cell r="P36">
            <v>32598</v>
          </cell>
          <cell r="Q36">
            <v>252662</v>
          </cell>
          <cell r="R36">
            <v>7</v>
          </cell>
          <cell r="S36">
            <v>12.9</v>
          </cell>
          <cell r="T36">
            <v>11020878</v>
          </cell>
          <cell r="U36">
            <v>74442735</v>
          </cell>
          <cell r="V36">
            <v>4219841</v>
          </cell>
          <cell r="W36">
            <v>14.8</v>
          </cell>
        </row>
        <row r="37">
          <cell r="A37" t="str">
            <v>2022NM</v>
          </cell>
          <cell r="B37">
            <v>2022</v>
          </cell>
          <cell r="C37" t="str">
            <v>NM</v>
          </cell>
          <cell r="D37">
            <v>1008182</v>
          </cell>
          <cell r="E37">
            <v>7282636</v>
          </cell>
          <cell r="F37">
            <v>921109</v>
          </cell>
          <cell r="G37">
            <v>13.84</v>
          </cell>
          <cell r="H37">
            <v>1006037</v>
          </cell>
          <cell r="I37">
            <v>9084022</v>
          </cell>
          <cell r="J37">
            <v>147142</v>
          </cell>
          <cell r="K37">
            <v>11.07</v>
          </cell>
          <cell r="L37">
            <v>707421</v>
          </cell>
          <cell r="M37">
            <v>10789520</v>
          </cell>
          <cell r="N37">
            <v>9278</v>
          </cell>
          <cell r="O37">
            <v>6.56</v>
          </cell>
          <cell r="P37">
            <v>0</v>
          </cell>
          <cell r="Q37">
            <v>0</v>
          </cell>
          <cell r="R37">
            <v>0</v>
          </cell>
          <cell r="S37">
            <v>0</v>
          </cell>
          <cell r="T37">
            <v>2721640</v>
          </cell>
          <cell r="U37">
            <v>27156178</v>
          </cell>
          <cell r="V37">
            <v>1077529</v>
          </cell>
          <cell r="W37">
            <v>10.02</v>
          </cell>
        </row>
        <row r="38">
          <cell r="A38" t="str">
            <v>2022NV</v>
          </cell>
          <cell r="B38">
            <v>2022</v>
          </cell>
          <cell r="C38" t="str">
            <v>NV</v>
          </cell>
          <cell r="D38">
            <v>1971542</v>
          </cell>
          <cell r="E38">
            <v>14306529</v>
          </cell>
          <cell r="F38">
            <v>1270155</v>
          </cell>
          <cell r="G38">
            <v>13.78</v>
          </cell>
          <cell r="H38">
            <v>1260723</v>
          </cell>
          <cell r="I38">
            <v>12427663</v>
          </cell>
          <cell r="J38">
            <v>173757</v>
          </cell>
          <cell r="K38">
            <v>10.14</v>
          </cell>
          <cell r="L38">
            <v>1068731</v>
          </cell>
          <cell r="M38">
            <v>12578639</v>
          </cell>
          <cell r="N38">
            <v>3386</v>
          </cell>
          <cell r="O38">
            <v>8.5</v>
          </cell>
          <cell r="P38">
            <v>699</v>
          </cell>
          <cell r="Q38">
            <v>7176</v>
          </cell>
          <cell r="R38">
            <v>1</v>
          </cell>
          <cell r="S38">
            <v>9.74</v>
          </cell>
          <cell r="T38">
            <v>4301694</v>
          </cell>
          <cell r="U38">
            <v>39320007</v>
          </cell>
          <cell r="V38">
            <v>1447299</v>
          </cell>
          <cell r="W38">
            <v>10.94</v>
          </cell>
        </row>
        <row r="39">
          <cell r="A39" t="str">
            <v>2022NY</v>
          </cell>
          <cell r="B39">
            <v>2022</v>
          </cell>
          <cell r="C39" t="str">
            <v>NY</v>
          </cell>
          <cell r="D39">
            <v>11531652</v>
          </cell>
          <cell r="E39">
            <v>52227413</v>
          </cell>
          <cell r="F39">
            <v>7346236</v>
          </cell>
          <cell r="G39">
            <v>22.08</v>
          </cell>
          <cell r="H39">
            <v>13132991</v>
          </cell>
          <cell r="I39">
            <v>72205589</v>
          </cell>
          <cell r="J39">
            <v>1166974</v>
          </cell>
          <cell r="K39">
            <v>18.190000000000001</v>
          </cell>
          <cell r="L39">
            <v>1221472</v>
          </cell>
          <cell r="M39">
            <v>16177769</v>
          </cell>
          <cell r="N39">
            <v>7333</v>
          </cell>
          <cell r="O39">
            <v>7.55</v>
          </cell>
          <cell r="P39">
            <v>359708</v>
          </cell>
          <cell r="Q39">
            <v>2599746</v>
          </cell>
          <cell r="R39">
            <v>8</v>
          </cell>
          <cell r="S39">
            <v>13.84</v>
          </cell>
          <cell r="T39">
            <v>26245822</v>
          </cell>
          <cell r="U39">
            <v>143210517</v>
          </cell>
          <cell r="V39">
            <v>8520551</v>
          </cell>
          <cell r="W39">
            <v>18.329999999999998</v>
          </cell>
        </row>
        <row r="40">
          <cell r="A40" t="str">
            <v>2022OH</v>
          </cell>
          <cell r="B40">
            <v>2022</v>
          </cell>
          <cell r="C40" t="str">
            <v>OH</v>
          </cell>
          <cell r="D40">
            <v>7384055</v>
          </cell>
          <cell r="E40">
            <v>53312216</v>
          </cell>
          <cell r="F40">
            <v>5082414</v>
          </cell>
          <cell r="G40">
            <v>13.85</v>
          </cell>
          <cell r="H40">
            <v>4789696</v>
          </cell>
          <cell r="I40">
            <v>46090803</v>
          </cell>
          <cell r="J40">
            <v>631665</v>
          </cell>
          <cell r="K40">
            <v>10.39</v>
          </cell>
          <cell r="L40">
            <v>3729572</v>
          </cell>
          <cell r="M40">
            <v>50062730</v>
          </cell>
          <cell r="N40">
            <v>19383</v>
          </cell>
          <cell r="O40">
            <v>7.45</v>
          </cell>
          <cell r="P40">
            <v>2907</v>
          </cell>
          <cell r="Q40">
            <v>34034</v>
          </cell>
          <cell r="R40">
            <v>3</v>
          </cell>
          <cell r="S40">
            <v>8.5399999999999991</v>
          </cell>
          <cell r="T40">
            <v>15906229</v>
          </cell>
          <cell r="U40">
            <v>149499783</v>
          </cell>
          <cell r="V40">
            <v>5733465</v>
          </cell>
          <cell r="W40">
            <v>10.64</v>
          </cell>
        </row>
        <row r="41">
          <cell r="A41" t="str">
            <v>2022OK</v>
          </cell>
          <cell r="B41">
            <v>2022</v>
          </cell>
          <cell r="C41" t="str">
            <v>OK</v>
          </cell>
          <cell r="D41">
            <v>3170141</v>
          </cell>
          <cell r="E41">
            <v>25479144</v>
          </cell>
          <cell r="F41">
            <v>1839083</v>
          </cell>
          <cell r="G41">
            <v>12.44</v>
          </cell>
          <cell r="H41">
            <v>2296387</v>
          </cell>
          <cell r="I41">
            <v>22211526</v>
          </cell>
          <cell r="J41">
            <v>300361</v>
          </cell>
          <cell r="K41">
            <v>10.34</v>
          </cell>
          <cell r="L41">
            <v>1516985</v>
          </cell>
          <cell r="M41">
            <v>21796272</v>
          </cell>
          <cell r="N41">
            <v>20064</v>
          </cell>
          <cell r="O41">
            <v>6.96</v>
          </cell>
          <cell r="P41">
            <v>0</v>
          </cell>
          <cell r="Q41">
            <v>0</v>
          </cell>
          <cell r="R41">
            <v>0</v>
          </cell>
          <cell r="S41">
            <v>0</v>
          </cell>
          <cell r="T41">
            <v>6983513</v>
          </cell>
          <cell r="U41">
            <v>69486942</v>
          </cell>
          <cell r="V41">
            <v>2159508</v>
          </cell>
          <cell r="W41">
            <v>10.050000000000001</v>
          </cell>
        </row>
        <row r="42">
          <cell r="A42" t="str">
            <v>2022OR</v>
          </cell>
          <cell r="B42">
            <v>2022</v>
          </cell>
          <cell r="C42" t="str">
            <v>OR</v>
          </cell>
          <cell r="D42">
            <v>2367526</v>
          </cell>
          <cell r="E42">
            <v>20725899</v>
          </cell>
          <cell r="F42">
            <v>1826286</v>
          </cell>
          <cell r="G42">
            <v>11.42</v>
          </cell>
          <cell r="H42">
            <v>1557988</v>
          </cell>
          <cell r="I42">
            <v>16654576</v>
          </cell>
          <cell r="J42">
            <v>244617</v>
          </cell>
          <cell r="K42">
            <v>9.35</v>
          </cell>
          <cell r="L42">
            <v>1288904</v>
          </cell>
          <cell r="M42">
            <v>18923722</v>
          </cell>
          <cell r="N42">
            <v>26560</v>
          </cell>
          <cell r="O42">
            <v>6.81</v>
          </cell>
          <cell r="P42">
            <v>2372</v>
          </cell>
          <cell r="Q42">
            <v>22699</v>
          </cell>
          <cell r="R42">
            <v>2</v>
          </cell>
          <cell r="S42">
            <v>10.45</v>
          </cell>
          <cell r="T42">
            <v>5216790</v>
          </cell>
          <cell r="U42">
            <v>56326896</v>
          </cell>
          <cell r="V42">
            <v>2097465</v>
          </cell>
          <cell r="W42">
            <v>9.26</v>
          </cell>
        </row>
        <row r="43">
          <cell r="A43" t="str">
            <v>2022PA</v>
          </cell>
          <cell r="B43">
            <v>2022</v>
          </cell>
          <cell r="C43" t="str">
            <v>PA</v>
          </cell>
          <cell r="D43">
            <v>8994501</v>
          </cell>
          <cell r="E43">
            <v>56413218</v>
          </cell>
          <cell r="F43">
            <v>5504325</v>
          </cell>
          <cell r="G43">
            <v>15.94</v>
          </cell>
          <cell r="H43">
            <v>3995009</v>
          </cell>
          <cell r="I43">
            <v>37219047</v>
          </cell>
          <cell r="J43">
            <v>730432</v>
          </cell>
          <cell r="K43">
            <v>10.73</v>
          </cell>
          <cell r="L43">
            <v>4178366</v>
          </cell>
          <cell r="M43">
            <v>50882779</v>
          </cell>
          <cell r="N43">
            <v>15351</v>
          </cell>
          <cell r="O43">
            <v>8.2100000000000009</v>
          </cell>
          <cell r="P43">
            <v>41358</v>
          </cell>
          <cell r="Q43">
            <v>529548</v>
          </cell>
          <cell r="R43">
            <v>7</v>
          </cell>
          <cell r="S43">
            <v>7.81</v>
          </cell>
          <cell r="T43">
            <v>17209234</v>
          </cell>
          <cell r="U43">
            <v>145044592</v>
          </cell>
          <cell r="V43">
            <v>6250115</v>
          </cell>
          <cell r="W43">
            <v>11.86</v>
          </cell>
        </row>
        <row r="44">
          <cell r="A44" t="str">
            <v>2022RI</v>
          </cell>
          <cell r="B44">
            <v>2022</v>
          </cell>
          <cell r="C44" t="str">
            <v>RI</v>
          </cell>
          <cell r="D44">
            <v>735413</v>
          </cell>
          <cell r="E44">
            <v>3168339</v>
          </cell>
          <cell r="F44">
            <v>448184</v>
          </cell>
          <cell r="G44">
            <v>23.21</v>
          </cell>
          <cell r="H44">
            <v>607915</v>
          </cell>
          <cell r="I44">
            <v>3745633</v>
          </cell>
          <cell r="J44">
            <v>60133</v>
          </cell>
          <cell r="K44">
            <v>16.23</v>
          </cell>
          <cell r="L44">
            <v>114833</v>
          </cell>
          <cell r="M44">
            <v>639343</v>
          </cell>
          <cell r="N44">
            <v>1628</v>
          </cell>
          <cell r="O44">
            <v>17.96</v>
          </cell>
          <cell r="P44">
            <v>4025</v>
          </cell>
          <cell r="Q44">
            <v>22969</v>
          </cell>
          <cell r="R44">
            <v>1</v>
          </cell>
          <cell r="S44">
            <v>17.52</v>
          </cell>
          <cell r="T44">
            <v>1462185</v>
          </cell>
          <cell r="U44">
            <v>7576284</v>
          </cell>
          <cell r="V44">
            <v>509946</v>
          </cell>
          <cell r="W44">
            <v>19.3</v>
          </cell>
        </row>
        <row r="45">
          <cell r="A45" t="str">
            <v>2022SC</v>
          </cell>
          <cell r="B45">
            <v>2022</v>
          </cell>
          <cell r="C45" t="str">
            <v>SC</v>
          </cell>
          <cell r="D45">
            <v>4386983</v>
          </cell>
          <cell r="E45">
            <v>32287075</v>
          </cell>
          <cell r="F45">
            <v>2472265</v>
          </cell>
          <cell r="G45">
            <v>13.59</v>
          </cell>
          <cell r="H45">
            <v>2619552</v>
          </cell>
          <cell r="I45">
            <v>24130625</v>
          </cell>
          <cell r="J45">
            <v>403966</v>
          </cell>
          <cell r="K45">
            <v>10.86</v>
          </cell>
          <cell r="L45">
            <v>1878229</v>
          </cell>
          <cell r="M45">
            <v>26340732</v>
          </cell>
          <cell r="N45">
            <v>3635</v>
          </cell>
          <cell r="O45">
            <v>7.13</v>
          </cell>
          <cell r="P45">
            <v>0</v>
          </cell>
          <cell r="Q45">
            <v>0</v>
          </cell>
          <cell r="R45">
            <v>0</v>
          </cell>
          <cell r="S45">
            <v>0</v>
          </cell>
          <cell r="T45">
            <v>8884763</v>
          </cell>
          <cell r="U45">
            <v>82758432</v>
          </cell>
          <cell r="V45">
            <v>2879866</v>
          </cell>
          <cell r="W45">
            <v>10.74</v>
          </cell>
        </row>
        <row r="46">
          <cell r="A46" t="str">
            <v>2022SD</v>
          </cell>
          <cell r="B46">
            <v>2022</v>
          </cell>
          <cell r="C46" t="str">
            <v>SD</v>
          </cell>
          <cell r="D46">
            <v>643720</v>
          </cell>
          <cell r="E46">
            <v>5322906</v>
          </cell>
          <cell r="F46">
            <v>419358</v>
          </cell>
          <cell r="G46">
            <v>12.09</v>
          </cell>
          <cell r="H46">
            <v>503834</v>
          </cell>
          <cell r="I46">
            <v>4936093</v>
          </cell>
          <cell r="J46">
            <v>76157</v>
          </cell>
          <cell r="K46">
            <v>10.210000000000001</v>
          </cell>
          <cell r="L46">
            <v>257919</v>
          </cell>
          <cell r="M46">
            <v>3208065</v>
          </cell>
          <cell r="N46">
            <v>4201</v>
          </cell>
          <cell r="O46">
            <v>8.0399999999999991</v>
          </cell>
          <cell r="P46">
            <v>0</v>
          </cell>
          <cell r="Q46">
            <v>0</v>
          </cell>
          <cell r="R46">
            <v>0</v>
          </cell>
          <cell r="S46">
            <v>0</v>
          </cell>
          <cell r="T46">
            <v>1405474</v>
          </cell>
          <cell r="U46">
            <v>13467064</v>
          </cell>
          <cell r="V46">
            <v>499716</v>
          </cell>
          <cell r="W46">
            <v>10.44</v>
          </cell>
        </row>
        <row r="47">
          <cell r="A47" t="str">
            <v>2022TN</v>
          </cell>
          <cell r="B47">
            <v>2022</v>
          </cell>
          <cell r="C47" t="str">
            <v>TN</v>
          </cell>
          <cell r="D47">
            <v>5339495</v>
          </cell>
          <cell r="E47">
            <v>43603987</v>
          </cell>
          <cell r="F47">
            <v>3058391</v>
          </cell>
          <cell r="G47">
            <v>12.25</v>
          </cell>
          <cell r="H47">
            <v>4293143</v>
          </cell>
          <cell r="I47">
            <v>35719452</v>
          </cell>
          <cell r="J47">
            <v>528291</v>
          </cell>
          <cell r="K47">
            <v>12.02</v>
          </cell>
          <cell r="L47">
            <v>1491695</v>
          </cell>
          <cell r="M47">
            <v>22788612</v>
          </cell>
          <cell r="N47">
            <v>1023</v>
          </cell>
          <cell r="O47">
            <v>6.55</v>
          </cell>
          <cell r="P47">
            <v>0</v>
          </cell>
          <cell r="Q47">
            <v>0</v>
          </cell>
          <cell r="R47">
            <v>0</v>
          </cell>
          <cell r="S47">
            <v>0</v>
          </cell>
          <cell r="T47">
            <v>11124332</v>
          </cell>
          <cell r="U47">
            <v>102112051</v>
          </cell>
          <cell r="V47">
            <v>3587705</v>
          </cell>
          <cell r="W47">
            <v>10.89</v>
          </cell>
        </row>
        <row r="48">
          <cell r="A48" t="str">
            <v>2022TX</v>
          </cell>
          <cell r="B48">
            <v>2022</v>
          </cell>
          <cell r="C48" t="str">
            <v>TX</v>
          </cell>
          <cell r="D48">
            <v>23474681</v>
          </cell>
          <cell r="E48">
            <v>170596460</v>
          </cell>
          <cell r="F48">
            <v>12063147</v>
          </cell>
          <cell r="G48">
            <v>13.76</v>
          </cell>
          <cell r="H48">
            <v>14538636</v>
          </cell>
          <cell r="I48">
            <v>160719198</v>
          </cell>
          <cell r="J48">
            <v>1574976</v>
          </cell>
          <cell r="K48">
            <v>9.0500000000000007</v>
          </cell>
          <cell r="L48">
            <v>10259466</v>
          </cell>
          <cell r="M48">
            <v>143905882</v>
          </cell>
          <cell r="N48">
            <v>322120</v>
          </cell>
          <cell r="O48">
            <v>7.13</v>
          </cell>
          <cell r="P48">
            <v>12259</v>
          </cell>
          <cell r="Q48">
            <v>179652</v>
          </cell>
          <cell r="R48">
            <v>3</v>
          </cell>
          <cell r="S48">
            <v>6.82</v>
          </cell>
          <cell r="T48">
            <v>48285042</v>
          </cell>
          <cell r="U48">
            <v>475401192</v>
          </cell>
          <cell r="V48">
            <v>13960246</v>
          </cell>
          <cell r="W48">
            <v>10.16</v>
          </cell>
        </row>
        <row r="49">
          <cell r="A49" t="str">
            <v>2022UT</v>
          </cell>
          <cell r="B49">
            <v>2022</v>
          </cell>
          <cell r="C49" t="str">
            <v>UT</v>
          </cell>
          <cell r="D49">
            <v>1230161</v>
          </cell>
          <cell r="E49">
            <v>11344265</v>
          </cell>
          <cell r="F49">
            <v>1207878</v>
          </cell>
          <cell r="G49">
            <v>10.84</v>
          </cell>
          <cell r="H49">
            <v>1079393</v>
          </cell>
          <cell r="I49">
            <v>12870552</v>
          </cell>
          <cell r="J49">
            <v>141960</v>
          </cell>
          <cell r="K49">
            <v>8.39</v>
          </cell>
          <cell r="L49">
            <v>622535</v>
          </cell>
          <cell r="M49">
            <v>9104680</v>
          </cell>
          <cell r="N49">
            <v>10380</v>
          </cell>
          <cell r="O49">
            <v>6.84</v>
          </cell>
          <cell r="P49">
            <v>5694</v>
          </cell>
          <cell r="Q49">
            <v>46004</v>
          </cell>
          <cell r="R49">
            <v>1</v>
          </cell>
          <cell r="S49">
            <v>12.38</v>
          </cell>
          <cell r="T49">
            <v>2937783</v>
          </cell>
          <cell r="U49">
            <v>33365501</v>
          </cell>
          <cell r="V49">
            <v>1360219</v>
          </cell>
          <cell r="W49">
            <v>8.8000000000000007</v>
          </cell>
        </row>
        <row r="50">
          <cell r="A50" t="str">
            <v>2022VA</v>
          </cell>
          <cell r="B50">
            <v>2022</v>
          </cell>
          <cell r="C50" t="str">
            <v>VA</v>
          </cell>
          <cell r="D50">
            <v>6233144</v>
          </cell>
          <cell r="E50">
            <v>46717547</v>
          </cell>
          <cell r="F50">
            <v>3583371</v>
          </cell>
          <cell r="G50">
            <v>13.34</v>
          </cell>
          <cell r="H50">
            <v>6620629</v>
          </cell>
          <cell r="I50">
            <v>68556082</v>
          </cell>
          <cell r="J50">
            <v>437391</v>
          </cell>
          <cell r="K50">
            <v>9.66</v>
          </cell>
          <cell r="L50">
            <v>1347186</v>
          </cell>
          <cell r="M50">
            <v>16861186</v>
          </cell>
          <cell r="N50">
            <v>3663</v>
          </cell>
          <cell r="O50">
            <v>7.99</v>
          </cell>
          <cell r="P50">
            <v>14087</v>
          </cell>
          <cell r="Q50">
            <v>129802</v>
          </cell>
          <cell r="R50">
            <v>1</v>
          </cell>
          <cell r="S50">
            <v>10.85</v>
          </cell>
          <cell r="T50">
            <v>14215046</v>
          </cell>
          <cell r="U50">
            <v>132264617</v>
          </cell>
          <cell r="V50">
            <v>4024426</v>
          </cell>
          <cell r="W50">
            <v>10.75</v>
          </cell>
        </row>
        <row r="51">
          <cell r="A51" t="str">
            <v>2022VT</v>
          </cell>
          <cell r="B51">
            <v>2022</v>
          </cell>
          <cell r="C51" t="str">
            <v>VT</v>
          </cell>
          <cell r="D51">
            <v>435861</v>
          </cell>
          <cell r="E51">
            <v>2186667</v>
          </cell>
          <cell r="F51">
            <v>320849</v>
          </cell>
          <cell r="G51">
            <v>19.93</v>
          </cell>
          <cell r="H51">
            <v>331274</v>
          </cell>
          <cell r="I51">
            <v>1916375</v>
          </cell>
          <cell r="J51">
            <v>61583</v>
          </cell>
          <cell r="K51">
            <v>17.29</v>
          </cell>
          <cell r="L51">
            <v>162496</v>
          </cell>
          <cell r="M51">
            <v>1367429</v>
          </cell>
          <cell r="N51">
            <v>253</v>
          </cell>
          <cell r="O51">
            <v>11.88</v>
          </cell>
          <cell r="P51">
            <v>0</v>
          </cell>
          <cell r="Q51">
            <v>0</v>
          </cell>
          <cell r="R51">
            <v>0</v>
          </cell>
          <cell r="S51">
            <v>0</v>
          </cell>
          <cell r="T51">
            <v>929631</v>
          </cell>
          <cell r="U51">
            <v>5470471</v>
          </cell>
          <cell r="V51">
            <v>382685</v>
          </cell>
          <cell r="W51">
            <v>16.989999999999998</v>
          </cell>
        </row>
        <row r="52">
          <cell r="A52" t="str">
            <v>2022WA</v>
          </cell>
          <cell r="B52">
            <v>2022</v>
          </cell>
          <cell r="C52" t="str">
            <v>WA</v>
          </cell>
          <cell r="D52">
            <v>4079234</v>
          </cell>
          <cell r="E52">
            <v>39775849</v>
          </cell>
          <cell r="F52">
            <v>3273505</v>
          </cell>
          <cell r="G52">
            <v>10.26</v>
          </cell>
          <cell r="H52">
            <v>2827193</v>
          </cell>
          <cell r="I52">
            <v>29780448</v>
          </cell>
          <cell r="J52">
            <v>398253</v>
          </cell>
          <cell r="K52">
            <v>9.49</v>
          </cell>
          <cell r="L52">
            <v>1309410</v>
          </cell>
          <cell r="M52">
            <v>21227090</v>
          </cell>
          <cell r="N52">
            <v>26379</v>
          </cell>
          <cell r="O52">
            <v>6.17</v>
          </cell>
          <cell r="P52">
            <v>11447</v>
          </cell>
          <cell r="Q52">
            <v>113933</v>
          </cell>
          <cell r="R52">
            <v>5</v>
          </cell>
          <cell r="S52">
            <v>10.050000000000001</v>
          </cell>
          <cell r="T52">
            <v>8227285</v>
          </cell>
          <cell r="U52">
            <v>90897320</v>
          </cell>
          <cell r="V52">
            <v>3698142</v>
          </cell>
          <cell r="W52">
            <v>9.0500000000000007</v>
          </cell>
        </row>
        <row r="53">
          <cell r="A53" t="str">
            <v>2022WI</v>
          </cell>
          <cell r="B53">
            <v>2022</v>
          </cell>
          <cell r="C53" t="str">
            <v>WI</v>
          </cell>
          <cell r="D53">
            <v>3575870</v>
          </cell>
          <cell r="E53">
            <v>22887928</v>
          </cell>
          <cell r="F53">
            <v>2786457</v>
          </cell>
          <cell r="G53">
            <v>15.62</v>
          </cell>
          <cell r="H53">
            <v>2775141</v>
          </cell>
          <cell r="I53">
            <v>23426668</v>
          </cell>
          <cell r="J53">
            <v>363517</v>
          </cell>
          <cell r="K53">
            <v>11.85</v>
          </cell>
          <cell r="L53">
            <v>1999968</v>
          </cell>
          <cell r="M53">
            <v>23560174</v>
          </cell>
          <cell r="N53">
            <v>5587</v>
          </cell>
          <cell r="O53">
            <v>8.49</v>
          </cell>
          <cell r="P53">
            <v>182</v>
          </cell>
          <cell r="Q53">
            <v>1101</v>
          </cell>
          <cell r="R53">
            <v>2</v>
          </cell>
          <cell r="S53">
            <v>16.55</v>
          </cell>
          <cell r="T53">
            <v>8351161</v>
          </cell>
          <cell r="U53">
            <v>69875871</v>
          </cell>
          <cell r="V53">
            <v>3155563</v>
          </cell>
          <cell r="W53">
            <v>11.95</v>
          </cell>
        </row>
        <row r="54">
          <cell r="A54" t="str">
            <v>2022WV</v>
          </cell>
          <cell r="B54">
            <v>2022</v>
          </cell>
          <cell r="C54" t="str">
            <v>WV</v>
          </cell>
          <cell r="D54">
            <v>1473398</v>
          </cell>
          <cell r="E54">
            <v>11136970</v>
          </cell>
          <cell r="F54">
            <v>863905</v>
          </cell>
          <cell r="G54">
            <v>13.23</v>
          </cell>
          <cell r="H54">
            <v>758145</v>
          </cell>
          <cell r="I54">
            <v>7275035</v>
          </cell>
          <cell r="J54">
            <v>149706</v>
          </cell>
          <cell r="K54">
            <v>10.42</v>
          </cell>
          <cell r="L54">
            <v>981970</v>
          </cell>
          <cell r="M54">
            <v>14574283</v>
          </cell>
          <cell r="N54">
            <v>11224</v>
          </cell>
          <cell r="O54">
            <v>6.74</v>
          </cell>
          <cell r="P54">
            <v>0</v>
          </cell>
          <cell r="Q54">
            <v>0</v>
          </cell>
          <cell r="R54">
            <v>0</v>
          </cell>
          <cell r="S54">
            <v>0</v>
          </cell>
          <cell r="T54">
            <v>3213512</v>
          </cell>
          <cell r="U54">
            <v>32986288</v>
          </cell>
          <cell r="V54">
            <v>1024835</v>
          </cell>
          <cell r="W54">
            <v>9.74</v>
          </cell>
        </row>
        <row r="55">
          <cell r="A55" t="str">
            <v>2022WY</v>
          </cell>
          <cell r="B55">
            <v>2022</v>
          </cell>
          <cell r="C55" t="str">
            <v>WY</v>
          </cell>
          <cell r="D55">
            <v>333636</v>
          </cell>
          <cell r="E55">
            <v>3008680</v>
          </cell>
          <cell r="F55">
            <v>281464</v>
          </cell>
          <cell r="G55">
            <v>11.09</v>
          </cell>
          <cell r="H55">
            <v>344774</v>
          </cell>
          <cell r="I55">
            <v>3610790</v>
          </cell>
          <cell r="J55">
            <v>58407</v>
          </cell>
          <cell r="K55">
            <v>9.5500000000000007</v>
          </cell>
          <cell r="L55">
            <v>680771</v>
          </cell>
          <cell r="M55">
            <v>9879959</v>
          </cell>
          <cell r="N55">
            <v>11730</v>
          </cell>
          <cell r="O55">
            <v>6.89</v>
          </cell>
          <cell r="P55">
            <v>0</v>
          </cell>
          <cell r="Q55">
            <v>0</v>
          </cell>
          <cell r="R55">
            <v>0</v>
          </cell>
          <cell r="S55">
            <v>0</v>
          </cell>
          <cell r="T55">
            <v>1359181</v>
          </cell>
          <cell r="U55">
            <v>16499429</v>
          </cell>
          <cell r="V55">
            <v>351601</v>
          </cell>
          <cell r="W55">
            <v>8.24</v>
          </cell>
        </row>
        <row r="56">
          <cell r="A56" t="str">
            <v>2022US</v>
          </cell>
          <cell r="B56">
            <v>2022</v>
          </cell>
          <cell r="C56" t="str">
            <v>US</v>
          </cell>
          <cell r="D56">
            <v>226989647</v>
          </cell>
          <cell r="E56">
            <v>1509233162</v>
          </cell>
          <cell r="F56">
            <v>139854178</v>
          </cell>
          <cell r="G56">
            <v>15.04</v>
          </cell>
          <cell r="H56">
            <v>172599590</v>
          </cell>
          <cell r="I56">
            <v>1390872813</v>
          </cell>
          <cell r="J56">
            <v>19257529</v>
          </cell>
          <cell r="K56">
            <v>12.41</v>
          </cell>
          <cell r="L56">
            <v>84894579</v>
          </cell>
          <cell r="M56">
            <v>1020463986</v>
          </cell>
          <cell r="N56">
            <v>1049983</v>
          </cell>
          <cell r="O56">
            <v>8.32</v>
          </cell>
          <cell r="P56">
            <v>765121</v>
          </cell>
          <cell r="Q56">
            <v>6599108</v>
          </cell>
          <cell r="R56">
            <v>86</v>
          </cell>
          <cell r="S56">
            <v>11.59</v>
          </cell>
          <cell r="T56">
            <v>485248938</v>
          </cell>
          <cell r="U56">
            <v>3927169069</v>
          </cell>
          <cell r="V56">
            <v>160161776</v>
          </cell>
          <cell r="W56">
            <v>12.36</v>
          </cell>
        </row>
        <row r="57">
          <cell r="A57" t="str">
            <v>2021AK</v>
          </cell>
          <cell r="B57">
            <v>2021</v>
          </cell>
          <cell r="C57" t="str">
            <v>AK</v>
          </cell>
          <cell r="D57">
            <v>469886</v>
          </cell>
          <cell r="E57">
            <v>2083911</v>
          </cell>
          <cell r="F57">
            <v>292451</v>
          </cell>
          <cell r="G57">
            <v>22.55</v>
          </cell>
          <cell r="H57">
            <v>501658</v>
          </cell>
          <cell r="I57">
            <v>2558649</v>
          </cell>
          <cell r="J57">
            <v>56005</v>
          </cell>
          <cell r="K57">
            <v>19.61</v>
          </cell>
          <cell r="L57">
            <v>223588</v>
          </cell>
          <cell r="M57">
            <v>1326779</v>
          </cell>
          <cell r="N57">
            <v>1135</v>
          </cell>
          <cell r="O57">
            <v>16.850000000000001</v>
          </cell>
          <cell r="P57">
            <v>0</v>
          </cell>
          <cell r="Q57">
            <v>0</v>
          </cell>
          <cell r="R57">
            <v>0</v>
          </cell>
          <cell r="S57">
            <v>0</v>
          </cell>
          <cell r="T57">
            <v>1195132</v>
          </cell>
          <cell r="U57">
            <v>5969339</v>
          </cell>
          <cell r="V57">
            <v>349591</v>
          </cell>
          <cell r="W57">
            <v>20.02</v>
          </cell>
        </row>
        <row r="58">
          <cell r="A58" t="str">
            <v>2021AL</v>
          </cell>
          <cell r="B58">
            <v>2021</v>
          </cell>
          <cell r="C58" t="str">
            <v>AL</v>
          </cell>
          <cell r="D58">
            <v>4092368</v>
          </cell>
          <cell r="E58">
            <v>31585153</v>
          </cell>
          <cell r="F58">
            <v>2308226</v>
          </cell>
          <cell r="G58">
            <v>12.96</v>
          </cell>
          <cell r="H58">
            <v>2586968</v>
          </cell>
          <cell r="I58">
            <v>21844283</v>
          </cell>
          <cell r="J58">
            <v>376180</v>
          </cell>
          <cell r="K58">
            <v>11.84</v>
          </cell>
          <cell r="L58">
            <v>2034105</v>
          </cell>
          <cell r="M58">
            <v>32155730</v>
          </cell>
          <cell r="N58">
            <v>7233</v>
          </cell>
          <cell r="O58">
            <v>6.33</v>
          </cell>
          <cell r="P58">
            <v>0</v>
          </cell>
          <cell r="Q58">
            <v>0</v>
          </cell>
          <cell r="R58">
            <v>0</v>
          </cell>
          <cell r="S58">
            <v>0</v>
          </cell>
          <cell r="T58">
            <v>8713442</v>
          </cell>
          <cell r="U58">
            <v>85585166</v>
          </cell>
          <cell r="V58">
            <v>2691639</v>
          </cell>
          <cell r="W58">
            <v>10.18</v>
          </cell>
        </row>
        <row r="59">
          <cell r="A59" t="str">
            <v>2021AR</v>
          </cell>
          <cell r="B59">
            <v>2021</v>
          </cell>
          <cell r="C59" t="str">
            <v>AR</v>
          </cell>
          <cell r="D59">
            <v>2131723</v>
          </cell>
          <cell r="E59">
            <v>18918015</v>
          </cell>
          <cell r="F59">
            <v>1436246</v>
          </cell>
          <cell r="G59">
            <v>11.27</v>
          </cell>
          <cell r="H59">
            <v>1101412</v>
          </cell>
          <cell r="I59">
            <v>11516908</v>
          </cell>
          <cell r="J59">
            <v>201408</v>
          </cell>
          <cell r="K59">
            <v>9.56</v>
          </cell>
          <cell r="L59">
            <v>1196803</v>
          </cell>
          <cell r="M59">
            <v>18228014</v>
          </cell>
          <cell r="N59">
            <v>36628</v>
          </cell>
          <cell r="O59">
            <v>6.57</v>
          </cell>
          <cell r="P59">
            <v>28</v>
          </cell>
          <cell r="Q59">
            <v>205</v>
          </cell>
          <cell r="R59">
            <v>2</v>
          </cell>
          <cell r="S59">
            <v>13.56</v>
          </cell>
          <cell r="T59">
            <v>4429965</v>
          </cell>
          <cell r="U59">
            <v>48663142</v>
          </cell>
          <cell r="V59">
            <v>1674284</v>
          </cell>
          <cell r="W59">
            <v>9.1</v>
          </cell>
        </row>
        <row r="60">
          <cell r="A60" t="str">
            <v>2021AZ</v>
          </cell>
          <cell r="B60">
            <v>2021</v>
          </cell>
          <cell r="C60" t="str">
            <v>AZ</v>
          </cell>
          <cell r="D60">
            <v>4655903</v>
          </cell>
          <cell r="E60">
            <v>37130339</v>
          </cell>
          <cell r="F60">
            <v>2953823</v>
          </cell>
          <cell r="G60">
            <v>12.54</v>
          </cell>
          <cell r="H60">
            <v>3098754</v>
          </cell>
          <cell r="I60">
            <v>29990064</v>
          </cell>
          <cell r="J60">
            <v>335377</v>
          </cell>
          <cell r="K60">
            <v>10.33</v>
          </cell>
          <cell r="L60">
            <v>956213</v>
          </cell>
          <cell r="M60">
            <v>14089072</v>
          </cell>
          <cell r="N60">
            <v>7548</v>
          </cell>
          <cell r="O60">
            <v>6.79</v>
          </cell>
          <cell r="P60">
            <v>981</v>
          </cell>
          <cell r="Q60">
            <v>10515</v>
          </cell>
          <cell r="R60">
            <v>2</v>
          </cell>
          <cell r="S60">
            <v>9.33</v>
          </cell>
          <cell r="T60">
            <v>8711850</v>
          </cell>
          <cell r="U60">
            <v>81219990</v>
          </cell>
          <cell r="V60">
            <v>3296750</v>
          </cell>
          <cell r="W60">
            <v>10.73</v>
          </cell>
        </row>
        <row r="61">
          <cell r="A61" t="str">
            <v>2021CA</v>
          </cell>
          <cell r="B61">
            <v>2021</v>
          </cell>
          <cell r="C61" t="str">
            <v>CA</v>
          </cell>
          <cell r="D61">
            <v>20604392</v>
          </cell>
          <cell r="E61">
            <v>90284143</v>
          </cell>
          <cell r="F61">
            <v>13883994</v>
          </cell>
          <cell r="G61">
            <v>22.82</v>
          </cell>
          <cell r="H61">
            <v>20861069</v>
          </cell>
          <cell r="I61">
            <v>108761594</v>
          </cell>
          <cell r="J61">
            <v>1750923</v>
          </cell>
          <cell r="K61">
            <v>19.18</v>
          </cell>
          <cell r="L61">
            <v>7050423</v>
          </cell>
          <cell r="M61">
            <v>47583329</v>
          </cell>
          <cell r="N61">
            <v>149389</v>
          </cell>
          <cell r="O61">
            <v>14.82</v>
          </cell>
          <cell r="P61">
            <v>73215</v>
          </cell>
          <cell r="Q61">
            <v>620799</v>
          </cell>
          <cell r="R61">
            <v>12</v>
          </cell>
          <cell r="S61">
            <v>11.79</v>
          </cell>
          <cell r="T61">
            <v>48589099</v>
          </cell>
          <cell r="U61">
            <v>247249865</v>
          </cell>
          <cell r="V61">
            <v>15784318</v>
          </cell>
          <cell r="W61">
            <v>19.649999999999999</v>
          </cell>
        </row>
        <row r="62">
          <cell r="A62" t="str">
            <v>2021CO</v>
          </cell>
          <cell r="B62">
            <v>2021</v>
          </cell>
          <cell r="C62" t="str">
            <v>CO</v>
          </cell>
          <cell r="D62">
            <v>2696118</v>
          </cell>
          <cell r="E62">
            <v>20625005</v>
          </cell>
          <cell r="F62">
            <v>2443109</v>
          </cell>
          <cell r="G62">
            <v>13.07</v>
          </cell>
          <cell r="H62">
            <v>2232288</v>
          </cell>
          <cell r="I62">
            <v>20584470</v>
          </cell>
          <cell r="J62">
            <v>388601</v>
          </cell>
          <cell r="K62">
            <v>10.84</v>
          </cell>
          <cell r="L62">
            <v>1205161</v>
          </cell>
          <cell r="M62">
            <v>15053158</v>
          </cell>
          <cell r="N62">
            <v>15287</v>
          </cell>
          <cell r="O62">
            <v>8.01</v>
          </cell>
          <cell r="P62">
            <v>8362</v>
          </cell>
          <cell r="Q62">
            <v>88576</v>
          </cell>
          <cell r="R62">
            <v>1</v>
          </cell>
          <cell r="S62">
            <v>9.44</v>
          </cell>
          <cell r="T62">
            <v>6141929</v>
          </cell>
          <cell r="U62">
            <v>56351209</v>
          </cell>
          <cell r="V62">
            <v>2846998</v>
          </cell>
          <cell r="W62">
            <v>10.9</v>
          </cell>
        </row>
        <row r="63">
          <cell r="A63" t="str">
            <v>2021CT</v>
          </cell>
          <cell r="B63">
            <v>2021</v>
          </cell>
          <cell r="C63" t="str">
            <v>CT</v>
          </cell>
          <cell r="D63">
            <v>2868410</v>
          </cell>
          <cell r="E63">
            <v>13092128</v>
          </cell>
          <cell r="F63">
            <v>1530251</v>
          </cell>
          <cell r="G63">
            <v>21.91</v>
          </cell>
          <cell r="H63">
            <v>1926205</v>
          </cell>
          <cell r="I63">
            <v>11701168</v>
          </cell>
          <cell r="J63">
            <v>155791</v>
          </cell>
          <cell r="K63">
            <v>16.46</v>
          </cell>
          <cell r="L63">
            <v>269676</v>
          </cell>
          <cell r="M63">
            <v>2799194</v>
          </cell>
          <cell r="N63">
            <v>4049</v>
          </cell>
          <cell r="O63">
            <v>9.6300000000000008</v>
          </cell>
          <cell r="P63">
            <v>18136</v>
          </cell>
          <cell r="Q63">
            <v>145116</v>
          </cell>
          <cell r="R63">
            <v>3</v>
          </cell>
          <cell r="S63">
            <v>12.5</v>
          </cell>
          <cell r="T63">
            <v>5082427</v>
          </cell>
          <cell r="U63">
            <v>27737606</v>
          </cell>
          <cell r="V63">
            <v>1690094</v>
          </cell>
          <cell r="W63">
            <v>18.32</v>
          </cell>
        </row>
        <row r="64">
          <cell r="A64" t="str">
            <v>2021DC</v>
          </cell>
          <cell r="B64">
            <v>2021</v>
          </cell>
          <cell r="C64" t="str">
            <v>DC</v>
          </cell>
          <cell r="D64">
            <v>330851</v>
          </cell>
          <cell r="E64">
            <v>2528049</v>
          </cell>
          <cell r="F64">
            <v>298337</v>
          </cell>
          <cell r="G64">
            <v>13.09</v>
          </cell>
          <cell r="H64">
            <v>915415</v>
          </cell>
          <cell r="I64">
            <v>7043709</v>
          </cell>
          <cell r="J64">
            <v>26783</v>
          </cell>
          <cell r="K64">
            <v>13</v>
          </cell>
          <cell r="L64">
            <v>18839</v>
          </cell>
          <cell r="M64">
            <v>239501</v>
          </cell>
          <cell r="N64">
            <v>1</v>
          </cell>
          <cell r="O64">
            <v>7.87</v>
          </cell>
          <cell r="P64">
            <v>26547</v>
          </cell>
          <cell r="Q64">
            <v>272113</v>
          </cell>
          <cell r="R64">
            <v>3</v>
          </cell>
          <cell r="S64">
            <v>9.76</v>
          </cell>
          <cell r="T64">
            <v>1291653</v>
          </cell>
          <cell r="U64">
            <v>10083372</v>
          </cell>
          <cell r="V64">
            <v>325124</v>
          </cell>
          <cell r="W64">
            <v>12.81</v>
          </cell>
        </row>
        <row r="65">
          <cell r="A65" t="str">
            <v>2021DE</v>
          </cell>
          <cell r="B65">
            <v>2021</v>
          </cell>
          <cell r="C65" t="str">
            <v>DE</v>
          </cell>
          <cell r="D65">
            <v>647126</v>
          </cell>
          <cell r="E65">
            <v>5170380</v>
          </cell>
          <cell r="F65">
            <v>453758</v>
          </cell>
          <cell r="G65">
            <v>12.52</v>
          </cell>
          <cell r="H65">
            <v>397960</v>
          </cell>
          <cell r="I65">
            <v>4196263</v>
          </cell>
          <cell r="J65">
            <v>58353</v>
          </cell>
          <cell r="K65">
            <v>9.48</v>
          </cell>
          <cell r="L65">
            <v>160527</v>
          </cell>
          <cell r="M65">
            <v>2113012</v>
          </cell>
          <cell r="N65">
            <v>864</v>
          </cell>
          <cell r="O65">
            <v>7.6</v>
          </cell>
          <cell r="P65">
            <v>0</v>
          </cell>
          <cell r="Q65">
            <v>0</v>
          </cell>
          <cell r="R65">
            <v>0</v>
          </cell>
          <cell r="S65">
            <v>0</v>
          </cell>
          <cell r="T65">
            <v>1205613</v>
          </cell>
          <cell r="U65">
            <v>11479655</v>
          </cell>
          <cell r="V65">
            <v>512975</v>
          </cell>
          <cell r="W65">
            <v>10.5</v>
          </cell>
        </row>
        <row r="66">
          <cell r="A66" t="str">
            <v>2021FL</v>
          </cell>
          <cell r="B66">
            <v>2021</v>
          </cell>
          <cell r="C66" t="str">
            <v>FL</v>
          </cell>
          <cell r="D66">
            <v>15518174</v>
          </cell>
          <cell r="E66">
            <v>130412464</v>
          </cell>
          <cell r="F66">
            <v>9917113</v>
          </cell>
          <cell r="G66">
            <v>11.9</v>
          </cell>
          <cell r="H66">
            <v>8931651</v>
          </cell>
          <cell r="I66">
            <v>93965070</v>
          </cell>
          <cell r="J66">
            <v>1272939</v>
          </cell>
          <cell r="K66">
            <v>9.51</v>
          </cell>
          <cell r="L66">
            <v>1308516</v>
          </cell>
          <cell r="M66">
            <v>17112564</v>
          </cell>
          <cell r="N66">
            <v>23036</v>
          </cell>
          <cell r="O66">
            <v>7.65</v>
          </cell>
          <cell r="P66">
            <v>5985</v>
          </cell>
          <cell r="Q66">
            <v>71984</v>
          </cell>
          <cell r="R66">
            <v>2</v>
          </cell>
          <cell r="S66">
            <v>8.31</v>
          </cell>
          <cell r="T66">
            <v>25764326</v>
          </cell>
          <cell r="U66">
            <v>241562082</v>
          </cell>
          <cell r="V66">
            <v>11213090</v>
          </cell>
          <cell r="W66">
            <v>10.67</v>
          </cell>
        </row>
        <row r="67">
          <cell r="A67" t="str">
            <v>2021GA</v>
          </cell>
          <cell r="B67">
            <v>2021</v>
          </cell>
          <cell r="C67" t="str">
            <v>GA</v>
          </cell>
          <cell r="D67">
            <v>7339634</v>
          </cell>
          <cell r="E67">
            <v>58684962</v>
          </cell>
          <cell r="F67">
            <v>4560653</v>
          </cell>
          <cell r="G67">
            <v>12.51</v>
          </cell>
          <cell r="H67">
            <v>4858538</v>
          </cell>
          <cell r="I67">
            <v>45777026</v>
          </cell>
          <cell r="J67">
            <v>599964</v>
          </cell>
          <cell r="K67">
            <v>10.61</v>
          </cell>
          <cell r="L67">
            <v>2125605</v>
          </cell>
          <cell r="M67">
            <v>32758986</v>
          </cell>
          <cell r="N67">
            <v>24211</v>
          </cell>
          <cell r="O67">
            <v>6.49</v>
          </cell>
          <cell r="P67">
            <v>9449</v>
          </cell>
          <cell r="Q67">
            <v>142978</v>
          </cell>
          <cell r="R67">
            <v>1</v>
          </cell>
          <cell r="S67">
            <v>6.61</v>
          </cell>
          <cell r="T67">
            <v>14333226</v>
          </cell>
          <cell r="U67">
            <v>137363952</v>
          </cell>
          <cell r="V67">
            <v>5184829</v>
          </cell>
          <cell r="W67">
            <v>10.43</v>
          </cell>
        </row>
        <row r="68">
          <cell r="A68" t="str">
            <v>2021HI</v>
          </cell>
          <cell r="B68">
            <v>2021</v>
          </cell>
          <cell r="C68" t="str">
            <v>HI</v>
          </cell>
          <cell r="D68">
            <v>946210</v>
          </cell>
          <cell r="E68">
            <v>2825082</v>
          </cell>
          <cell r="F68">
            <v>443535</v>
          </cell>
          <cell r="G68">
            <v>33.49</v>
          </cell>
          <cell r="H68">
            <v>859804</v>
          </cell>
          <cell r="I68">
            <v>2784538</v>
          </cell>
          <cell r="J68">
            <v>59935</v>
          </cell>
          <cell r="K68">
            <v>30.88</v>
          </cell>
          <cell r="L68">
            <v>902208</v>
          </cell>
          <cell r="M68">
            <v>3326862</v>
          </cell>
          <cell r="N68">
            <v>817</v>
          </cell>
          <cell r="O68">
            <v>27.12</v>
          </cell>
          <cell r="P68">
            <v>0</v>
          </cell>
          <cell r="Q68">
            <v>0</v>
          </cell>
          <cell r="R68">
            <v>0</v>
          </cell>
          <cell r="S68">
            <v>0</v>
          </cell>
          <cell r="T68">
            <v>2708221</v>
          </cell>
          <cell r="U68">
            <v>8936482</v>
          </cell>
          <cell r="V68">
            <v>504287</v>
          </cell>
          <cell r="W68">
            <v>30.31</v>
          </cell>
        </row>
        <row r="69">
          <cell r="A69" t="str">
            <v>2021IA</v>
          </cell>
          <cell r="B69">
            <v>2021</v>
          </cell>
          <cell r="C69" t="str">
            <v>IA</v>
          </cell>
          <cell r="D69">
            <v>1864645</v>
          </cell>
          <cell r="E69">
            <v>14651755</v>
          </cell>
          <cell r="F69">
            <v>1417424</v>
          </cell>
          <cell r="G69">
            <v>12.73</v>
          </cell>
          <cell r="H69">
            <v>1234385</v>
          </cell>
          <cell r="I69">
            <v>12135097</v>
          </cell>
          <cell r="J69">
            <v>246568</v>
          </cell>
          <cell r="K69">
            <v>10.17</v>
          </cell>
          <cell r="L69">
            <v>1731614</v>
          </cell>
          <cell r="M69">
            <v>26106417</v>
          </cell>
          <cell r="N69">
            <v>9479</v>
          </cell>
          <cell r="O69">
            <v>6.63</v>
          </cell>
          <cell r="P69">
            <v>0</v>
          </cell>
          <cell r="Q69">
            <v>0</v>
          </cell>
          <cell r="R69">
            <v>0</v>
          </cell>
          <cell r="S69">
            <v>0</v>
          </cell>
          <cell r="T69">
            <v>4830644</v>
          </cell>
          <cell r="U69">
            <v>52893269</v>
          </cell>
          <cell r="V69">
            <v>1673471</v>
          </cell>
          <cell r="W69">
            <v>9.1300000000000008</v>
          </cell>
        </row>
        <row r="70">
          <cell r="A70" t="str">
            <v>2021ID</v>
          </cell>
          <cell r="B70">
            <v>2021</v>
          </cell>
          <cell r="C70" t="str">
            <v>ID</v>
          </cell>
          <cell r="D70">
            <v>944639</v>
          </cell>
          <cell r="E70">
            <v>9300843</v>
          </cell>
          <cell r="F70">
            <v>806421</v>
          </cell>
          <cell r="G70">
            <v>10.16</v>
          </cell>
          <cell r="H70">
            <v>520870</v>
          </cell>
          <cell r="I70">
            <v>6600296</v>
          </cell>
          <cell r="J70">
            <v>117323</v>
          </cell>
          <cell r="K70">
            <v>7.89</v>
          </cell>
          <cell r="L70">
            <v>599709</v>
          </cell>
          <cell r="M70">
            <v>9384477</v>
          </cell>
          <cell r="N70">
            <v>28974</v>
          </cell>
          <cell r="O70">
            <v>6.39</v>
          </cell>
          <cell r="P70">
            <v>0</v>
          </cell>
          <cell r="Q70">
            <v>0</v>
          </cell>
          <cell r="R70">
            <v>0</v>
          </cell>
          <cell r="S70">
            <v>0</v>
          </cell>
          <cell r="T70">
            <v>2065218</v>
          </cell>
          <cell r="U70">
            <v>25285616</v>
          </cell>
          <cell r="V70">
            <v>952718</v>
          </cell>
          <cell r="W70">
            <v>8.17</v>
          </cell>
        </row>
        <row r="71">
          <cell r="A71" t="str">
            <v>2021IL</v>
          </cell>
          <cell r="B71">
            <v>2021</v>
          </cell>
          <cell r="C71" t="str">
            <v>IL</v>
          </cell>
          <cell r="D71">
            <v>6167780</v>
          </cell>
          <cell r="E71">
            <v>46813068</v>
          </cell>
          <cell r="F71">
            <v>5361717</v>
          </cell>
          <cell r="G71">
            <v>13.18</v>
          </cell>
          <cell r="H71">
            <v>4529428</v>
          </cell>
          <cell r="I71">
            <v>46923210</v>
          </cell>
          <cell r="J71">
            <v>633019</v>
          </cell>
          <cell r="K71">
            <v>9.65</v>
          </cell>
          <cell r="L71">
            <v>3027919</v>
          </cell>
          <cell r="M71">
            <v>41498024</v>
          </cell>
          <cell r="N71">
            <v>5456</v>
          </cell>
          <cell r="O71">
            <v>7.3</v>
          </cell>
          <cell r="P71">
            <v>29178</v>
          </cell>
          <cell r="Q71">
            <v>454531</v>
          </cell>
          <cell r="R71">
            <v>3</v>
          </cell>
          <cell r="S71">
            <v>6.42</v>
          </cell>
          <cell r="T71">
            <v>13754306</v>
          </cell>
          <cell r="U71">
            <v>135688833</v>
          </cell>
          <cell r="V71">
            <v>6000195</v>
          </cell>
          <cell r="W71">
            <v>10.14</v>
          </cell>
        </row>
        <row r="72">
          <cell r="A72" t="str">
            <v>2021IN</v>
          </cell>
          <cell r="B72">
            <v>2021</v>
          </cell>
          <cell r="C72" t="str">
            <v>IN</v>
          </cell>
          <cell r="D72">
            <v>4476492</v>
          </cell>
          <cell r="E72">
            <v>33471970</v>
          </cell>
          <cell r="F72">
            <v>2948803</v>
          </cell>
          <cell r="G72">
            <v>13.37</v>
          </cell>
          <cell r="H72">
            <v>2653827</v>
          </cell>
          <cell r="I72">
            <v>22920929</v>
          </cell>
          <cell r="J72">
            <v>364549</v>
          </cell>
          <cell r="K72">
            <v>11.58</v>
          </cell>
          <cell r="L72">
            <v>3199952</v>
          </cell>
          <cell r="M72">
            <v>43329491</v>
          </cell>
          <cell r="N72">
            <v>19066</v>
          </cell>
          <cell r="O72">
            <v>7.39</v>
          </cell>
          <cell r="P72">
            <v>1775</v>
          </cell>
          <cell r="Q72">
            <v>17656</v>
          </cell>
          <cell r="R72">
            <v>1</v>
          </cell>
          <cell r="S72">
            <v>10.050000000000001</v>
          </cell>
          <cell r="T72">
            <v>10332045</v>
          </cell>
          <cell r="U72">
            <v>99740046</v>
          </cell>
          <cell r="V72">
            <v>3332419</v>
          </cell>
          <cell r="W72">
            <v>10.36</v>
          </cell>
        </row>
        <row r="73">
          <cell r="A73" t="str">
            <v>2021KS</v>
          </cell>
          <cell r="B73">
            <v>2021</v>
          </cell>
          <cell r="C73" t="str">
            <v>KS</v>
          </cell>
          <cell r="D73">
            <v>1787507</v>
          </cell>
          <cell r="E73">
            <v>13769410</v>
          </cell>
          <cell r="F73">
            <v>1289344</v>
          </cell>
          <cell r="G73">
            <v>12.98</v>
          </cell>
          <cell r="H73">
            <v>1615098</v>
          </cell>
          <cell r="I73">
            <v>15356451</v>
          </cell>
          <cell r="J73">
            <v>245045</v>
          </cell>
          <cell r="K73">
            <v>10.52</v>
          </cell>
          <cell r="L73">
            <v>838799</v>
          </cell>
          <cell r="M73">
            <v>11365925</v>
          </cell>
          <cell r="N73">
            <v>23965</v>
          </cell>
          <cell r="O73">
            <v>7.38</v>
          </cell>
          <cell r="P73">
            <v>0</v>
          </cell>
          <cell r="Q73">
            <v>0</v>
          </cell>
          <cell r="R73">
            <v>0</v>
          </cell>
          <cell r="S73">
            <v>0</v>
          </cell>
          <cell r="T73">
            <v>4241403</v>
          </cell>
          <cell r="U73">
            <v>40491786</v>
          </cell>
          <cell r="V73">
            <v>1558354</v>
          </cell>
          <cell r="W73">
            <v>10.47</v>
          </cell>
        </row>
        <row r="74">
          <cell r="A74" t="str">
            <v>2021KY</v>
          </cell>
          <cell r="B74">
            <v>2021</v>
          </cell>
          <cell r="C74" t="str">
            <v>KY</v>
          </cell>
          <cell r="D74">
            <v>3040792</v>
          </cell>
          <cell r="E74">
            <v>26434371</v>
          </cell>
          <cell r="F74">
            <v>2032575</v>
          </cell>
          <cell r="G74">
            <v>11.5</v>
          </cell>
          <cell r="H74">
            <v>2008535</v>
          </cell>
          <cell r="I74">
            <v>18685936</v>
          </cell>
          <cell r="J74">
            <v>316806</v>
          </cell>
          <cell r="K74">
            <v>10.75</v>
          </cell>
          <cell r="L74">
            <v>1748373</v>
          </cell>
          <cell r="M74">
            <v>29396679</v>
          </cell>
          <cell r="N74">
            <v>5424</v>
          </cell>
          <cell r="O74">
            <v>5.95</v>
          </cell>
          <cell r="P74">
            <v>0</v>
          </cell>
          <cell r="Q74">
            <v>0</v>
          </cell>
          <cell r="R74">
            <v>0</v>
          </cell>
          <cell r="S74">
            <v>0</v>
          </cell>
          <cell r="T74">
            <v>6797700</v>
          </cell>
          <cell r="U74">
            <v>74516986</v>
          </cell>
          <cell r="V74">
            <v>2354805</v>
          </cell>
          <cell r="W74">
            <v>9.1199999999999992</v>
          </cell>
        </row>
        <row r="75">
          <cell r="A75" t="str">
            <v>2021LA</v>
          </cell>
          <cell r="B75">
            <v>2021</v>
          </cell>
          <cell r="C75" t="str">
            <v>LA</v>
          </cell>
          <cell r="D75">
            <v>3351648</v>
          </cell>
          <cell r="E75">
            <v>30408224</v>
          </cell>
          <cell r="F75">
            <v>2126155</v>
          </cell>
          <cell r="G75">
            <v>11.02</v>
          </cell>
          <cell r="H75">
            <v>2297883</v>
          </cell>
          <cell r="I75">
            <v>22459648</v>
          </cell>
          <cell r="J75">
            <v>297724</v>
          </cell>
          <cell r="K75">
            <v>10.23</v>
          </cell>
          <cell r="L75">
            <v>2357221</v>
          </cell>
          <cell r="M75">
            <v>37941990</v>
          </cell>
          <cell r="N75">
            <v>19928</v>
          </cell>
          <cell r="O75">
            <v>6.21</v>
          </cell>
          <cell r="P75">
            <v>1021</v>
          </cell>
          <cell r="Q75">
            <v>9484</v>
          </cell>
          <cell r="R75">
            <v>1</v>
          </cell>
          <cell r="S75">
            <v>10.77</v>
          </cell>
          <cell r="T75">
            <v>8007773</v>
          </cell>
          <cell r="U75">
            <v>90819346</v>
          </cell>
          <cell r="V75">
            <v>2443808</v>
          </cell>
          <cell r="W75">
            <v>8.82</v>
          </cell>
        </row>
        <row r="76">
          <cell r="A76" t="str">
            <v>2021MA</v>
          </cell>
          <cell r="B76">
            <v>2021</v>
          </cell>
          <cell r="C76" t="str">
            <v>MA</v>
          </cell>
          <cell r="D76">
            <v>4647885</v>
          </cell>
          <cell r="E76">
            <v>20305269</v>
          </cell>
          <cell r="F76">
            <v>2840311</v>
          </cell>
          <cell r="G76">
            <v>22.89</v>
          </cell>
          <cell r="H76">
            <v>4048413</v>
          </cell>
          <cell r="I76">
            <v>23832465</v>
          </cell>
          <cell r="J76">
            <v>432903</v>
          </cell>
          <cell r="K76">
            <v>16.989999999999998</v>
          </cell>
          <cell r="L76">
            <v>963191</v>
          </cell>
          <cell r="M76">
            <v>6345834</v>
          </cell>
          <cell r="N76">
            <v>10907</v>
          </cell>
          <cell r="O76">
            <v>15.18</v>
          </cell>
          <cell r="P76">
            <v>20508</v>
          </cell>
          <cell r="Q76">
            <v>314820</v>
          </cell>
          <cell r="R76">
            <v>2</v>
          </cell>
          <cell r="S76">
            <v>6.51</v>
          </cell>
          <cell r="T76">
            <v>9679996</v>
          </cell>
          <cell r="U76">
            <v>50798388</v>
          </cell>
          <cell r="V76">
            <v>3284123</v>
          </cell>
          <cell r="W76">
            <v>19.059999999999999</v>
          </cell>
        </row>
        <row r="77">
          <cell r="A77" t="str">
            <v>2021MD</v>
          </cell>
          <cell r="B77">
            <v>2021</v>
          </cell>
          <cell r="C77" t="str">
            <v>MD</v>
          </cell>
          <cell r="D77">
            <v>3669204</v>
          </cell>
          <cell r="E77">
            <v>27964545</v>
          </cell>
          <cell r="F77">
            <v>2395954</v>
          </cell>
          <cell r="G77">
            <v>13.12</v>
          </cell>
          <cell r="H77">
            <v>2814081</v>
          </cell>
          <cell r="I77">
            <v>27437050</v>
          </cell>
          <cell r="J77">
            <v>257947</v>
          </cell>
          <cell r="K77">
            <v>10.26</v>
          </cell>
          <cell r="L77">
            <v>294409</v>
          </cell>
          <cell r="M77">
            <v>3480392</v>
          </cell>
          <cell r="N77">
            <v>8991</v>
          </cell>
          <cell r="O77">
            <v>8.4600000000000009</v>
          </cell>
          <cell r="P77">
            <v>31972</v>
          </cell>
          <cell r="Q77">
            <v>421987</v>
          </cell>
          <cell r="R77">
            <v>5</v>
          </cell>
          <cell r="S77">
            <v>7.58</v>
          </cell>
          <cell r="T77">
            <v>6809666</v>
          </cell>
          <cell r="U77">
            <v>59303974</v>
          </cell>
          <cell r="V77">
            <v>2662897</v>
          </cell>
          <cell r="W77">
            <v>11.48</v>
          </cell>
        </row>
        <row r="78">
          <cell r="A78" t="str">
            <v>2021ME</v>
          </cell>
          <cell r="B78">
            <v>2021</v>
          </cell>
          <cell r="C78" t="str">
            <v>ME</v>
          </cell>
          <cell r="D78">
            <v>861576</v>
          </cell>
          <cell r="E78">
            <v>5062266</v>
          </cell>
          <cell r="F78">
            <v>722038</v>
          </cell>
          <cell r="G78">
            <v>17.02</v>
          </cell>
          <cell r="H78">
            <v>509428</v>
          </cell>
          <cell r="I78">
            <v>3948896</v>
          </cell>
          <cell r="J78">
            <v>98304</v>
          </cell>
          <cell r="K78">
            <v>12.9</v>
          </cell>
          <cell r="L78">
            <v>245671</v>
          </cell>
          <cell r="M78">
            <v>2573512</v>
          </cell>
          <cell r="N78">
            <v>2498</v>
          </cell>
          <cell r="O78">
            <v>9.5500000000000007</v>
          </cell>
          <cell r="P78">
            <v>0</v>
          </cell>
          <cell r="Q78">
            <v>0</v>
          </cell>
          <cell r="R78">
            <v>0</v>
          </cell>
          <cell r="S78">
            <v>0</v>
          </cell>
          <cell r="T78">
            <v>1616675</v>
          </cell>
          <cell r="U78">
            <v>11584674</v>
          </cell>
          <cell r="V78">
            <v>822840</v>
          </cell>
          <cell r="W78">
            <v>13.96</v>
          </cell>
        </row>
        <row r="79">
          <cell r="A79" t="str">
            <v>2021MI</v>
          </cell>
          <cell r="B79">
            <v>2021</v>
          </cell>
          <cell r="C79" t="str">
            <v>MI</v>
          </cell>
          <cell r="D79">
            <v>6289783</v>
          </cell>
          <cell r="E79">
            <v>35868100</v>
          </cell>
          <cell r="F79">
            <v>4458038</v>
          </cell>
          <cell r="G79">
            <v>17.54</v>
          </cell>
          <cell r="H79">
            <v>4537108</v>
          </cell>
          <cell r="I79">
            <v>36860868</v>
          </cell>
          <cell r="J79">
            <v>550701</v>
          </cell>
          <cell r="K79">
            <v>12.31</v>
          </cell>
          <cell r="L79">
            <v>2082727</v>
          </cell>
          <cell r="M79">
            <v>27081082</v>
          </cell>
          <cell r="N79">
            <v>5706</v>
          </cell>
          <cell r="O79">
            <v>7.69</v>
          </cell>
          <cell r="P79">
            <v>398</v>
          </cell>
          <cell r="Q79">
            <v>3231</v>
          </cell>
          <cell r="R79">
            <v>2</v>
          </cell>
          <cell r="S79">
            <v>12.3</v>
          </cell>
          <cell r="T79">
            <v>12910015</v>
          </cell>
          <cell r="U79">
            <v>99813281</v>
          </cell>
          <cell r="V79">
            <v>5014447</v>
          </cell>
          <cell r="W79">
            <v>12.93</v>
          </cell>
        </row>
        <row r="80">
          <cell r="A80" t="str">
            <v>2021MN</v>
          </cell>
          <cell r="B80">
            <v>2021</v>
          </cell>
          <cell r="C80" t="str">
            <v>MN</v>
          </cell>
          <cell r="D80">
            <v>3138279</v>
          </cell>
          <cell r="E80">
            <v>23246055</v>
          </cell>
          <cell r="F80">
            <v>2496406</v>
          </cell>
          <cell r="G80">
            <v>13.5</v>
          </cell>
          <cell r="H80">
            <v>2478396</v>
          </cell>
          <cell r="I80">
            <v>22093189</v>
          </cell>
          <cell r="J80">
            <v>306605</v>
          </cell>
          <cell r="K80">
            <v>11.22</v>
          </cell>
          <cell r="L80">
            <v>1759971</v>
          </cell>
          <cell r="M80">
            <v>21227196</v>
          </cell>
          <cell r="N80">
            <v>9130</v>
          </cell>
          <cell r="O80">
            <v>8.2899999999999991</v>
          </cell>
          <cell r="P80">
            <v>2360</v>
          </cell>
          <cell r="Q80">
            <v>22728</v>
          </cell>
          <cell r="R80">
            <v>1</v>
          </cell>
          <cell r="S80">
            <v>10.38</v>
          </cell>
          <cell r="T80">
            <v>7379007</v>
          </cell>
          <cell r="U80">
            <v>66589168</v>
          </cell>
          <cell r="V80">
            <v>2812142</v>
          </cell>
          <cell r="W80">
            <v>11.08</v>
          </cell>
        </row>
        <row r="81">
          <cell r="A81" t="str">
            <v>2021MO</v>
          </cell>
          <cell r="B81">
            <v>2021</v>
          </cell>
          <cell r="C81" t="str">
            <v>MO</v>
          </cell>
          <cell r="D81">
            <v>4071545</v>
          </cell>
          <cell r="E81">
            <v>35668409</v>
          </cell>
          <cell r="F81">
            <v>2861933</v>
          </cell>
          <cell r="G81">
            <v>11.42</v>
          </cell>
          <cell r="H81">
            <v>2657624</v>
          </cell>
          <cell r="I81">
            <v>28987412</v>
          </cell>
          <cell r="J81">
            <v>395150</v>
          </cell>
          <cell r="K81">
            <v>9.17</v>
          </cell>
          <cell r="L81">
            <v>929932</v>
          </cell>
          <cell r="M81">
            <v>13086588</v>
          </cell>
          <cell r="N81">
            <v>9985</v>
          </cell>
          <cell r="O81">
            <v>7.11</v>
          </cell>
          <cell r="P81">
            <v>1699</v>
          </cell>
          <cell r="Q81">
            <v>20632</v>
          </cell>
          <cell r="R81">
            <v>2</v>
          </cell>
          <cell r="S81">
            <v>8.23</v>
          </cell>
          <cell r="T81">
            <v>7660799</v>
          </cell>
          <cell r="U81">
            <v>77763041</v>
          </cell>
          <cell r="V81">
            <v>3267070</v>
          </cell>
          <cell r="W81">
            <v>9.85</v>
          </cell>
        </row>
        <row r="82">
          <cell r="A82" t="str">
            <v>2021MS</v>
          </cell>
          <cell r="B82">
            <v>2021</v>
          </cell>
          <cell r="C82" t="str">
            <v>MS</v>
          </cell>
          <cell r="D82">
            <v>2145795</v>
          </cell>
          <cell r="E82">
            <v>18569936</v>
          </cell>
          <cell r="F82">
            <v>1321576</v>
          </cell>
          <cell r="G82">
            <v>11.56</v>
          </cell>
          <cell r="H82">
            <v>1478569</v>
          </cell>
          <cell r="I82">
            <v>13676163</v>
          </cell>
          <cell r="J82">
            <v>241509</v>
          </cell>
          <cell r="K82">
            <v>10.81</v>
          </cell>
          <cell r="L82">
            <v>938693</v>
          </cell>
          <cell r="M82">
            <v>15769265</v>
          </cell>
          <cell r="N82">
            <v>10795</v>
          </cell>
          <cell r="O82">
            <v>5.95</v>
          </cell>
          <cell r="P82">
            <v>0</v>
          </cell>
          <cell r="Q82">
            <v>0</v>
          </cell>
          <cell r="R82">
            <v>0</v>
          </cell>
          <cell r="S82">
            <v>0</v>
          </cell>
          <cell r="T82">
            <v>4563056</v>
          </cell>
          <cell r="U82">
            <v>48015364</v>
          </cell>
          <cell r="V82">
            <v>1573880</v>
          </cell>
          <cell r="W82">
            <v>9.5</v>
          </cell>
        </row>
        <row r="83">
          <cell r="A83" t="str">
            <v>2021MT</v>
          </cell>
          <cell r="B83">
            <v>2021</v>
          </cell>
          <cell r="C83" t="str">
            <v>MT</v>
          </cell>
          <cell r="D83">
            <v>623923</v>
          </cell>
          <cell r="E83">
            <v>5559446</v>
          </cell>
          <cell r="F83">
            <v>531398</v>
          </cell>
          <cell r="G83">
            <v>11.22</v>
          </cell>
          <cell r="H83">
            <v>517065</v>
          </cell>
          <cell r="I83">
            <v>4906132</v>
          </cell>
          <cell r="J83">
            <v>112777</v>
          </cell>
          <cell r="K83">
            <v>10.54</v>
          </cell>
          <cell r="L83">
            <v>280444</v>
          </cell>
          <cell r="M83">
            <v>4495983</v>
          </cell>
          <cell r="N83">
            <v>11670</v>
          </cell>
          <cell r="O83">
            <v>6.24</v>
          </cell>
          <cell r="P83">
            <v>0</v>
          </cell>
          <cell r="Q83">
            <v>0</v>
          </cell>
          <cell r="R83">
            <v>0</v>
          </cell>
          <cell r="S83">
            <v>0</v>
          </cell>
          <cell r="T83">
            <v>1421432</v>
          </cell>
          <cell r="U83">
            <v>14961561</v>
          </cell>
          <cell r="V83">
            <v>655845</v>
          </cell>
          <cell r="W83">
            <v>9.5</v>
          </cell>
        </row>
        <row r="84">
          <cell r="A84" t="str">
            <v>2021NC</v>
          </cell>
          <cell r="B84">
            <v>2021</v>
          </cell>
          <cell r="C84" t="str">
            <v>NC</v>
          </cell>
          <cell r="D84">
            <v>6897040</v>
          </cell>
          <cell r="E84">
            <v>60914684</v>
          </cell>
          <cell r="F84">
            <v>4774592</v>
          </cell>
          <cell r="G84">
            <v>11.32</v>
          </cell>
          <cell r="H84">
            <v>4053567</v>
          </cell>
          <cell r="I84">
            <v>47714832</v>
          </cell>
          <cell r="J84">
            <v>731526</v>
          </cell>
          <cell r="K84">
            <v>8.5</v>
          </cell>
          <cell r="L84">
            <v>1660482</v>
          </cell>
          <cell r="M84">
            <v>27049367</v>
          </cell>
          <cell r="N84">
            <v>9567</v>
          </cell>
          <cell r="O84">
            <v>6.14</v>
          </cell>
          <cell r="P84">
            <v>1114</v>
          </cell>
          <cell r="Q84">
            <v>14194</v>
          </cell>
          <cell r="R84">
            <v>1</v>
          </cell>
          <cell r="S84">
            <v>7.85</v>
          </cell>
          <cell r="T84">
            <v>12612203</v>
          </cell>
          <cell r="U84">
            <v>135693077</v>
          </cell>
          <cell r="V84">
            <v>5515686</v>
          </cell>
          <cell r="W84">
            <v>9.2899999999999991</v>
          </cell>
        </row>
        <row r="85">
          <cell r="A85" t="str">
            <v>2021ND</v>
          </cell>
          <cell r="B85">
            <v>2021</v>
          </cell>
          <cell r="C85" t="str">
            <v>ND</v>
          </cell>
          <cell r="D85">
            <v>530311</v>
          </cell>
          <cell r="E85">
            <v>4888401</v>
          </cell>
          <cell r="F85">
            <v>391340</v>
          </cell>
          <cell r="G85">
            <v>10.85</v>
          </cell>
          <cell r="H85">
            <v>624295</v>
          </cell>
          <cell r="I85">
            <v>6808316</v>
          </cell>
          <cell r="J85">
            <v>77174</v>
          </cell>
          <cell r="K85">
            <v>9.17</v>
          </cell>
          <cell r="L85">
            <v>822740</v>
          </cell>
          <cell r="M85">
            <v>11166390</v>
          </cell>
          <cell r="N85">
            <v>8980</v>
          </cell>
          <cell r="O85">
            <v>7.37</v>
          </cell>
          <cell r="P85">
            <v>0</v>
          </cell>
          <cell r="Q85">
            <v>0</v>
          </cell>
          <cell r="R85">
            <v>0</v>
          </cell>
          <cell r="S85">
            <v>0</v>
          </cell>
          <cell r="T85">
            <v>1977346</v>
          </cell>
          <cell r="U85">
            <v>22863107</v>
          </cell>
          <cell r="V85">
            <v>477494</v>
          </cell>
          <cell r="W85">
            <v>8.65</v>
          </cell>
        </row>
        <row r="86">
          <cell r="A86" t="str">
            <v>2021NE</v>
          </cell>
          <cell r="B86">
            <v>2021</v>
          </cell>
          <cell r="C86" t="str">
            <v>NE</v>
          </cell>
          <cell r="D86">
            <v>1127997</v>
          </cell>
          <cell r="E86">
            <v>10492369</v>
          </cell>
          <cell r="F86">
            <v>869656</v>
          </cell>
          <cell r="G86">
            <v>10.75</v>
          </cell>
          <cell r="H86">
            <v>815530</v>
          </cell>
          <cell r="I86">
            <v>9260421</v>
          </cell>
          <cell r="J86">
            <v>157335</v>
          </cell>
          <cell r="K86">
            <v>8.81</v>
          </cell>
          <cell r="L86">
            <v>914411</v>
          </cell>
          <cell r="M86">
            <v>12588380</v>
          </cell>
          <cell r="N86">
            <v>63253</v>
          </cell>
          <cell r="O86">
            <v>7.26</v>
          </cell>
          <cell r="P86">
            <v>0</v>
          </cell>
          <cell r="Q86">
            <v>0</v>
          </cell>
          <cell r="R86">
            <v>0</v>
          </cell>
          <cell r="S86">
            <v>0</v>
          </cell>
          <cell r="T86">
            <v>2857937</v>
          </cell>
          <cell r="U86">
            <v>32341170</v>
          </cell>
          <cell r="V86">
            <v>1090244</v>
          </cell>
          <cell r="W86">
            <v>8.84</v>
          </cell>
        </row>
        <row r="87">
          <cell r="A87" t="str">
            <v>2021NH</v>
          </cell>
          <cell r="B87">
            <v>2021</v>
          </cell>
          <cell r="C87" t="str">
            <v>NH</v>
          </cell>
          <cell r="D87">
            <v>959250</v>
          </cell>
          <cell r="E87">
            <v>4831911</v>
          </cell>
          <cell r="F87">
            <v>638267</v>
          </cell>
          <cell r="G87">
            <v>19.850000000000001</v>
          </cell>
          <cell r="H87">
            <v>662376</v>
          </cell>
          <cell r="I87">
            <v>4106692</v>
          </cell>
          <cell r="J87">
            <v>110003</v>
          </cell>
          <cell r="K87">
            <v>16.13</v>
          </cell>
          <cell r="L87">
            <v>266332</v>
          </cell>
          <cell r="M87">
            <v>1928665</v>
          </cell>
          <cell r="N87">
            <v>3180</v>
          </cell>
          <cell r="O87">
            <v>13.81</v>
          </cell>
          <cell r="P87">
            <v>0</v>
          </cell>
          <cell r="Q87">
            <v>0</v>
          </cell>
          <cell r="R87">
            <v>0</v>
          </cell>
          <cell r="S87">
            <v>0</v>
          </cell>
          <cell r="T87">
            <v>1887958</v>
          </cell>
          <cell r="U87">
            <v>10867268</v>
          </cell>
          <cell r="V87">
            <v>751450</v>
          </cell>
          <cell r="W87">
            <v>17.37</v>
          </cell>
        </row>
        <row r="88">
          <cell r="A88" t="str">
            <v>2021NJ</v>
          </cell>
          <cell r="B88">
            <v>2021</v>
          </cell>
          <cell r="C88" t="str">
            <v>NJ</v>
          </cell>
          <cell r="D88">
            <v>4921080</v>
          </cell>
          <cell r="E88">
            <v>30090371</v>
          </cell>
          <cell r="F88">
            <v>3648914</v>
          </cell>
          <cell r="G88">
            <v>16.350000000000001</v>
          </cell>
          <cell r="H88">
            <v>4585342</v>
          </cell>
          <cell r="I88">
            <v>36137241</v>
          </cell>
          <cell r="J88">
            <v>529178</v>
          </cell>
          <cell r="K88">
            <v>12.69</v>
          </cell>
          <cell r="L88">
            <v>705553</v>
          </cell>
          <cell r="M88">
            <v>6593424</v>
          </cell>
          <cell r="N88">
            <v>11503</v>
          </cell>
          <cell r="O88">
            <v>10.7</v>
          </cell>
          <cell r="P88">
            <v>23053</v>
          </cell>
          <cell r="Q88">
            <v>249430</v>
          </cell>
          <cell r="R88">
            <v>6</v>
          </cell>
          <cell r="S88">
            <v>9.24</v>
          </cell>
          <cell r="T88">
            <v>10235028</v>
          </cell>
          <cell r="U88">
            <v>73070466</v>
          </cell>
          <cell r="V88">
            <v>4189601</v>
          </cell>
          <cell r="W88">
            <v>14.01</v>
          </cell>
        </row>
        <row r="89">
          <cell r="A89" t="str">
            <v>2021NM</v>
          </cell>
          <cell r="B89">
            <v>2021</v>
          </cell>
          <cell r="C89" t="str">
            <v>NM</v>
          </cell>
          <cell r="D89">
            <v>958086</v>
          </cell>
          <cell r="E89">
            <v>7088358</v>
          </cell>
          <cell r="F89">
            <v>914495</v>
          </cell>
          <cell r="G89">
            <v>13.52</v>
          </cell>
          <cell r="H89">
            <v>935011</v>
          </cell>
          <cell r="I89">
            <v>8655826</v>
          </cell>
          <cell r="J89">
            <v>146312</v>
          </cell>
          <cell r="K89">
            <v>10.8</v>
          </cell>
          <cell r="L89">
            <v>594168</v>
          </cell>
          <cell r="M89">
            <v>9649559</v>
          </cell>
          <cell r="N89">
            <v>9271</v>
          </cell>
          <cell r="O89">
            <v>6.16</v>
          </cell>
          <cell r="P89">
            <v>0</v>
          </cell>
          <cell r="Q89">
            <v>0</v>
          </cell>
          <cell r="R89">
            <v>0</v>
          </cell>
          <cell r="S89">
            <v>0</v>
          </cell>
          <cell r="T89">
            <v>2487264</v>
          </cell>
          <cell r="U89">
            <v>25393743</v>
          </cell>
          <cell r="V89">
            <v>1070078</v>
          </cell>
          <cell r="W89">
            <v>9.7899999999999991</v>
          </cell>
        </row>
        <row r="90">
          <cell r="A90" t="str">
            <v>2021NV</v>
          </cell>
          <cell r="B90">
            <v>2021</v>
          </cell>
          <cell r="C90" t="str">
            <v>NV</v>
          </cell>
          <cell r="D90">
            <v>1651794</v>
          </cell>
          <cell r="E90">
            <v>14373357</v>
          </cell>
          <cell r="F90">
            <v>1249392</v>
          </cell>
          <cell r="G90">
            <v>11.49</v>
          </cell>
          <cell r="H90">
            <v>954732</v>
          </cell>
          <cell r="I90">
            <v>12293815</v>
          </cell>
          <cell r="J90">
            <v>171686</v>
          </cell>
          <cell r="K90">
            <v>7.77</v>
          </cell>
          <cell r="L90">
            <v>743879</v>
          </cell>
          <cell r="M90">
            <v>12359543</v>
          </cell>
          <cell r="N90">
            <v>3303</v>
          </cell>
          <cell r="O90">
            <v>6.02</v>
          </cell>
          <cell r="P90">
            <v>411</v>
          </cell>
          <cell r="Q90">
            <v>5327</v>
          </cell>
          <cell r="R90">
            <v>1</v>
          </cell>
          <cell r="S90">
            <v>7.72</v>
          </cell>
          <cell r="T90">
            <v>3350816</v>
          </cell>
          <cell r="U90">
            <v>39032042</v>
          </cell>
          <cell r="V90">
            <v>1424382</v>
          </cell>
          <cell r="W90">
            <v>8.58</v>
          </cell>
        </row>
        <row r="91">
          <cell r="A91" t="str">
            <v>2021NY</v>
          </cell>
          <cell r="B91">
            <v>2021</v>
          </cell>
          <cell r="C91" t="str">
            <v>NY</v>
          </cell>
          <cell r="D91">
            <v>10161755</v>
          </cell>
          <cell r="E91">
            <v>52156882</v>
          </cell>
          <cell r="F91">
            <v>7256212</v>
          </cell>
          <cell r="G91">
            <v>19.48</v>
          </cell>
          <cell r="H91">
            <v>11238347</v>
          </cell>
          <cell r="I91">
            <v>69920488</v>
          </cell>
          <cell r="J91">
            <v>1161852</v>
          </cell>
          <cell r="K91">
            <v>16.07</v>
          </cell>
          <cell r="L91">
            <v>1071636</v>
          </cell>
          <cell r="M91">
            <v>16891152</v>
          </cell>
          <cell r="N91">
            <v>7313</v>
          </cell>
          <cell r="O91">
            <v>6.34</v>
          </cell>
          <cell r="P91">
            <v>311083</v>
          </cell>
          <cell r="Q91">
            <v>2455256</v>
          </cell>
          <cell r="R91">
            <v>8</v>
          </cell>
          <cell r="S91">
            <v>12.67</v>
          </cell>
          <cell r="T91">
            <v>22782820</v>
          </cell>
          <cell r="U91">
            <v>141423778</v>
          </cell>
          <cell r="V91">
            <v>8425385</v>
          </cell>
          <cell r="W91">
            <v>16.11</v>
          </cell>
        </row>
        <row r="92">
          <cell r="A92" t="str">
            <v>2021OH</v>
          </cell>
          <cell r="B92">
            <v>2021</v>
          </cell>
          <cell r="C92" t="str">
            <v>OH</v>
          </cell>
          <cell r="D92">
            <v>6789217</v>
          </cell>
          <cell r="E92">
            <v>53171193</v>
          </cell>
          <cell r="F92">
            <v>5041904</v>
          </cell>
          <cell r="G92">
            <v>12.77</v>
          </cell>
          <cell r="H92">
            <v>4385397</v>
          </cell>
          <cell r="I92">
            <v>44980452</v>
          </cell>
          <cell r="J92">
            <v>640013</v>
          </cell>
          <cell r="K92">
            <v>9.75</v>
          </cell>
          <cell r="L92">
            <v>3246519</v>
          </cell>
          <cell r="M92">
            <v>49529406</v>
          </cell>
          <cell r="N92">
            <v>19556</v>
          </cell>
          <cell r="O92">
            <v>6.55</v>
          </cell>
          <cell r="P92">
            <v>2728</v>
          </cell>
          <cell r="Q92">
            <v>36814</v>
          </cell>
          <cell r="R92">
            <v>3</v>
          </cell>
          <cell r="S92">
            <v>7.41</v>
          </cell>
          <cell r="T92">
            <v>14423860</v>
          </cell>
          <cell r="U92">
            <v>147717865</v>
          </cell>
          <cell r="V92">
            <v>5701476</v>
          </cell>
          <cell r="W92">
            <v>9.76</v>
          </cell>
        </row>
        <row r="93">
          <cell r="A93" t="str">
            <v>2021OK</v>
          </cell>
          <cell r="B93">
            <v>2021</v>
          </cell>
          <cell r="C93" t="str">
            <v>OK</v>
          </cell>
          <cell r="D93">
            <v>2612424</v>
          </cell>
          <cell r="E93">
            <v>23745867</v>
          </cell>
          <cell r="F93">
            <v>1818813</v>
          </cell>
          <cell r="G93">
            <v>11</v>
          </cell>
          <cell r="H93">
            <v>1739517</v>
          </cell>
          <cell r="I93">
            <v>19999312</v>
          </cell>
          <cell r="J93">
            <v>296856</v>
          </cell>
          <cell r="K93">
            <v>8.6999999999999993</v>
          </cell>
          <cell r="L93">
            <v>1143471</v>
          </cell>
          <cell r="M93">
            <v>20779958</v>
          </cell>
          <cell r="N93">
            <v>20174</v>
          </cell>
          <cell r="O93">
            <v>5.5</v>
          </cell>
          <cell r="P93">
            <v>0</v>
          </cell>
          <cell r="Q93">
            <v>0</v>
          </cell>
          <cell r="R93">
            <v>0</v>
          </cell>
          <cell r="S93">
            <v>0</v>
          </cell>
          <cell r="T93">
            <v>5495412</v>
          </cell>
          <cell r="U93">
            <v>64525137</v>
          </cell>
          <cell r="V93">
            <v>2135843</v>
          </cell>
          <cell r="W93">
            <v>8.52</v>
          </cell>
        </row>
        <row r="94">
          <cell r="A94" t="str">
            <v>2021OR</v>
          </cell>
          <cell r="B94">
            <v>2021</v>
          </cell>
          <cell r="C94" t="str">
            <v>OR</v>
          </cell>
          <cell r="D94">
            <v>2307363</v>
          </cell>
          <cell r="E94">
            <v>20285346</v>
          </cell>
          <cell r="F94">
            <v>1805684</v>
          </cell>
          <cell r="G94">
            <v>11.37</v>
          </cell>
          <cell r="H94">
            <v>1503117</v>
          </cell>
          <cell r="I94">
            <v>16508755</v>
          </cell>
          <cell r="J94">
            <v>242237</v>
          </cell>
          <cell r="K94">
            <v>9.11</v>
          </cell>
          <cell r="L94">
            <v>1034702</v>
          </cell>
          <cell r="M94">
            <v>17318508</v>
          </cell>
          <cell r="N94">
            <v>26447</v>
          </cell>
          <cell r="O94">
            <v>5.97</v>
          </cell>
          <cell r="P94">
            <v>2193</v>
          </cell>
          <cell r="Q94">
            <v>22596</v>
          </cell>
          <cell r="R94">
            <v>2</v>
          </cell>
          <cell r="S94">
            <v>9.7100000000000009</v>
          </cell>
          <cell r="T94">
            <v>4847374</v>
          </cell>
          <cell r="U94">
            <v>54135205</v>
          </cell>
          <cell r="V94">
            <v>2074370</v>
          </cell>
          <cell r="W94">
            <v>8.9499999999999993</v>
          </cell>
        </row>
        <row r="95">
          <cell r="A95" t="str">
            <v>2021PA</v>
          </cell>
          <cell r="B95">
            <v>2021</v>
          </cell>
          <cell r="C95" t="str">
            <v>PA</v>
          </cell>
          <cell r="D95">
            <v>7697613</v>
          </cell>
          <cell r="E95">
            <v>55945176</v>
          </cell>
          <cell r="F95">
            <v>5477367</v>
          </cell>
          <cell r="G95">
            <v>13.76</v>
          </cell>
          <cell r="H95">
            <v>3295183</v>
          </cell>
          <cell r="I95">
            <v>36988112</v>
          </cell>
          <cell r="J95">
            <v>725725</v>
          </cell>
          <cell r="K95">
            <v>8.91</v>
          </cell>
          <cell r="L95">
            <v>3268118</v>
          </cell>
          <cell r="M95">
            <v>49999765</v>
          </cell>
          <cell r="N95">
            <v>15006</v>
          </cell>
          <cell r="O95">
            <v>6.54</v>
          </cell>
          <cell r="P95">
            <v>27859</v>
          </cell>
          <cell r="Q95">
            <v>407101</v>
          </cell>
          <cell r="R95">
            <v>5</v>
          </cell>
          <cell r="S95">
            <v>6.84</v>
          </cell>
          <cell r="T95">
            <v>14288773</v>
          </cell>
          <cell r="U95">
            <v>143340154</v>
          </cell>
          <cell r="V95">
            <v>6218103</v>
          </cell>
          <cell r="W95">
            <v>9.9700000000000006</v>
          </cell>
        </row>
        <row r="96">
          <cell r="A96" t="str">
            <v>2021RI</v>
          </cell>
          <cell r="B96">
            <v>2021</v>
          </cell>
          <cell r="C96" t="str">
            <v>RI</v>
          </cell>
          <cell r="D96">
            <v>698380</v>
          </cell>
          <cell r="E96">
            <v>3131533</v>
          </cell>
          <cell r="F96">
            <v>446320</v>
          </cell>
          <cell r="G96">
            <v>22.3</v>
          </cell>
          <cell r="H96">
            <v>558933</v>
          </cell>
          <cell r="I96">
            <v>3604518</v>
          </cell>
          <cell r="J96">
            <v>60091</v>
          </cell>
          <cell r="K96">
            <v>15.51</v>
          </cell>
          <cell r="L96">
            <v>103366</v>
          </cell>
          <cell r="M96">
            <v>643779</v>
          </cell>
          <cell r="N96">
            <v>1650</v>
          </cell>
          <cell r="O96">
            <v>16.059999999999999</v>
          </cell>
          <cell r="P96">
            <v>3589</v>
          </cell>
          <cell r="Q96">
            <v>18174</v>
          </cell>
          <cell r="R96">
            <v>1</v>
          </cell>
          <cell r="S96">
            <v>19.75</v>
          </cell>
          <cell r="T96">
            <v>1364269</v>
          </cell>
          <cell r="U96">
            <v>7398004</v>
          </cell>
          <cell r="V96">
            <v>508062</v>
          </cell>
          <cell r="W96">
            <v>18.440000000000001</v>
          </cell>
        </row>
        <row r="97">
          <cell r="A97" t="str">
            <v>2021SC</v>
          </cell>
          <cell r="B97">
            <v>2021</v>
          </cell>
          <cell r="C97" t="str">
            <v>SC</v>
          </cell>
          <cell r="D97">
            <v>4037454</v>
          </cell>
          <cell r="E97">
            <v>31385796</v>
          </cell>
          <cell r="F97">
            <v>2426703</v>
          </cell>
          <cell r="G97">
            <v>12.86</v>
          </cell>
          <cell r="H97">
            <v>2253779</v>
          </cell>
          <cell r="I97">
            <v>21114323</v>
          </cell>
          <cell r="J97">
            <v>402005</v>
          </cell>
          <cell r="K97">
            <v>10.67</v>
          </cell>
          <cell r="L97">
            <v>1656154</v>
          </cell>
          <cell r="M97">
            <v>27292017</v>
          </cell>
          <cell r="N97">
            <v>3652</v>
          </cell>
          <cell r="O97">
            <v>6.07</v>
          </cell>
          <cell r="P97">
            <v>0</v>
          </cell>
          <cell r="Q97">
            <v>0</v>
          </cell>
          <cell r="R97">
            <v>0</v>
          </cell>
          <cell r="S97">
            <v>0</v>
          </cell>
          <cell r="T97">
            <v>7947387</v>
          </cell>
          <cell r="U97">
            <v>79792136</v>
          </cell>
          <cell r="V97">
            <v>2832360</v>
          </cell>
          <cell r="W97">
            <v>9.9600000000000009</v>
          </cell>
        </row>
        <row r="98">
          <cell r="A98" t="str">
            <v>2021SD</v>
          </cell>
          <cell r="B98">
            <v>2021</v>
          </cell>
          <cell r="C98" t="str">
            <v>SD</v>
          </cell>
          <cell r="D98">
            <v>616517</v>
          </cell>
          <cell r="E98">
            <v>5043964</v>
          </cell>
          <cell r="F98">
            <v>412657</v>
          </cell>
          <cell r="G98">
            <v>12.22</v>
          </cell>
          <cell r="H98">
            <v>486369</v>
          </cell>
          <cell r="I98">
            <v>4791689</v>
          </cell>
          <cell r="J98">
            <v>74987</v>
          </cell>
          <cell r="K98">
            <v>10.15</v>
          </cell>
          <cell r="L98">
            <v>257176</v>
          </cell>
          <cell r="M98">
            <v>3205738</v>
          </cell>
          <cell r="N98">
            <v>4151</v>
          </cell>
          <cell r="O98">
            <v>8.02</v>
          </cell>
          <cell r="P98">
            <v>0</v>
          </cell>
          <cell r="Q98">
            <v>0</v>
          </cell>
          <cell r="R98">
            <v>0</v>
          </cell>
          <cell r="S98">
            <v>0</v>
          </cell>
          <cell r="T98">
            <v>1360063</v>
          </cell>
          <cell r="U98">
            <v>13041391</v>
          </cell>
          <cell r="V98">
            <v>491795</v>
          </cell>
          <cell r="W98">
            <v>10.43</v>
          </cell>
        </row>
        <row r="99">
          <cell r="A99" t="str">
            <v>2021TN</v>
          </cell>
          <cell r="B99">
            <v>2021</v>
          </cell>
          <cell r="C99" t="str">
            <v>TN</v>
          </cell>
          <cell r="D99">
            <v>4741606</v>
          </cell>
          <cell r="E99">
            <v>42840442</v>
          </cell>
          <cell r="F99">
            <v>3016642</v>
          </cell>
          <cell r="G99">
            <v>11.07</v>
          </cell>
          <cell r="H99">
            <v>3789845</v>
          </cell>
          <cell r="I99">
            <v>34863397</v>
          </cell>
          <cell r="J99">
            <v>519798</v>
          </cell>
          <cell r="K99">
            <v>10.87</v>
          </cell>
          <cell r="L99">
            <v>1206803</v>
          </cell>
          <cell r="M99">
            <v>21917298</v>
          </cell>
          <cell r="N99">
            <v>1016</v>
          </cell>
          <cell r="O99">
            <v>5.51</v>
          </cell>
          <cell r="P99">
            <v>0</v>
          </cell>
          <cell r="Q99">
            <v>0</v>
          </cell>
          <cell r="R99">
            <v>0</v>
          </cell>
          <cell r="S99">
            <v>0</v>
          </cell>
          <cell r="T99">
            <v>9738253</v>
          </cell>
          <cell r="U99">
            <v>99621137</v>
          </cell>
          <cell r="V99">
            <v>3537456</v>
          </cell>
          <cell r="W99">
            <v>9.7799999999999994</v>
          </cell>
        </row>
        <row r="100">
          <cell r="A100" t="str">
            <v>2021TX</v>
          </cell>
          <cell r="B100">
            <v>2021</v>
          </cell>
          <cell r="C100" t="str">
            <v>TX</v>
          </cell>
          <cell r="D100">
            <v>18772300</v>
          </cell>
          <cell r="E100">
            <v>155075136</v>
          </cell>
          <cell r="F100">
            <v>11815251</v>
          </cell>
          <cell r="G100">
            <v>12.11</v>
          </cell>
          <cell r="H100">
            <v>12897917</v>
          </cell>
          <cell r="I100">
            <v>147843231</v>
          </cell>
          <cell r="J100">
            <v>1552641</v>
          </cell>
          <cell r="K100">
            <v>8.7200000000000006</v>
          </cell>
          <cell r="L100">
            <v>8115251</v>
          </cell>
          <cell r="M100">
            <v>132529561</v>
          </cell>
          <cell r="N100">
            <v>293034</v>
          </cell>
          <cell r="O100">
            <v>6.12</v>
          </cell>
          <cell r="P100">
            <v>11865</v>
          </cell>
          <cell r="Q100">
            <v>179950</v>
          </cell>
          <cell r="R100">
            <v>3</v>
          </cell>
          <cell r="S100">
            <v>6.59</v>
          </cell>
          <cell r="T100">
            <v>39797333</v>
          </cell>
          <cell r="U100">
            <v>435627878</v>
          </cell>
          <cell r="V100">
            <v>13660929</v>
          </cell>
          <cell r="W100">
            <v>9.14</v>
          </cell>
        </row>
        <row r="101">
          <cell r="A101" t="str">
            <v>2021UT</v>
          </cell>
          <cell r="B101">
            <v>2021</v>
          </cell>
          <cell r="C101" t="str">
            <v>UT</v>
          </cell>
          <cell r="D101">
            <v>1142206</v>
          </cell>
          <cell r="E101">
            <v>10950415</v>
          </cell>
          <cell r="F101">
            <v>1176949</v>
          </cell>
          <cell r="G101">
            <v>10.43</v>
          </cell>
          <cell r="H101">
            <v>992418</v>
          </cell>
          <cell r="I101">
            <v>12206510</v>
          </cell>
          <cell r="J101">
            <v>139168</v>
          </cell>
          <cell r="K101">
            <v>8.1300000000000008</v>
          </cell>
          <cell r="L101">
            <v>586304</v>
          </cell>
          <cell r="M101">
            <v>9471737</v>
          </cell>
          <cell r="N101">
            <v>10180</v>
          </cell>
          <cell r="O101">
            <v>6.19</v>
          </cell>
          <cell r="P101">
            <v>5490</v>
          </cell>
          <cell r="Q101">
            <v>48965</v>
          </cell>
          <cell r="R101">
            <v>1</v>
          </cell>
          <cell r="S101">
            <v>11.21</v>
          </cell>
          <cell r="T101">
            <v>2726418</v>
          </cell>
          <cell r="U101">
            <v>32677627</v>
          </cell>
          <cell r="V101">
            <v>1326298</v>
          </cell>
          <cell r="W101">
            <v>8.34</v>
          </cell>
        </row>
        <row r="102">
          <cell r="A102" t="str">
            <v>2021VA</v>
          </cell>
          <cell r="B102">
            <v>2021</v>
          </cell>
          <cell r="C102" t="str">
            <v>VA</v>
          </cell>
          <cell r="D102">
            <v>5579585</v>
          </cell>
          <cell r="E102">
            <v>46634411</v>
          </cell>
          <cell r="F102">
            <v>3551532</v>
          </cell>
          <cell r="G102">
            <v>11.96</v>
          </cell>
          <cell r="H102">
            <v>4575242</v>
          </cell>
          <cell r="I102">
            <v>58723978</v>
          </cell>
          <cell r="J102">
            <v>442263</v>
          </cell>
          <cell r="K102">
            <v>7.79</v>
          </cell>
          <cell r="L102">
            <v>1279924</v>
          </cell>
          <cell r="M102">
            <v>19712199</v>
          </cell>
          <cell r="N102">
            <v>3687</v>
          </cell>
          <cell r="O102">
            <v>6.49</v>
          </cell>
          <cell r="P102">
            <v>14823</v>
          </cell>
          <cell r="Q102">
            <v>174608</v>
          </cell>
          <cell r="R102">
            <v>1</v>
          </cell>
          <cell r="S102">
            <v>8.49</v>
          </cell>
          <cell r="T102">
            <v>11449574</v>
          </cell>
          <cell r="U102">
            <v>125245196</v>
          </cell>
          <cell r="V102">
            <v>3997483</v>
          </cell>
          <cell r="W102">
            <v>9.14</v>
          </cell>
        </row>
        <row r="103">
          <cell r="A103" t="str">
            <v>2021VT</v>
          </cell>
          <cell r="B103">
            <v>2021</v>
          </cell>
          <cell r="C103" t="str">
            <v>VT</v>
          </cell>
          <cell r="D103">
            <v>418734</v>
          </cell>
          <cell r="E103">
            <v>2174489</v>
          </cell>
          <cell r="F103">
            <v>319444</v>
          </cell>
          <cell r="G103">
            <v>19.260000000000002</v>
          </cell>
          <cell r="H103">
            <v>309772</v>
          </cell>
          <cell r="I103">
            <v>1867111</v>
          </cell>
          <cell r="J103">
            <v>60403</v>
          </cell>
          <cell r="K103">
            <v>16.59</v>
          </cell>
          <cell r="L103">
            <v>155980</v>
          </cell>
          <cell r="M103">
            <v>1371096</v>
          </cell>
          <cell r="N103">
            <v>248</v>
          </cell>
          <cell r="O103">
            <v>11.38</v>
          </cell>
          <cell r="P103">
            <v>0</v>
          </cell>
          <cell r="Q103">
            <v>0</v>
          </cell>
          <cell r="R103">
            <v>0</v>
          </cell>
          <cell r="S103">
            <v>0</v>
          </cell>
          <cell r="T103">
            <v>884486</v>
          </cell>
          <cell r="U103">
            <v>5412696</v>
          </cell>
          <cell r="V103">
            <v>380095</v>
          </cell>
          <cell r="W103">
            <v>16.34</v>
          </cell>
        </row>
        <row r="104">
          <cell r="A104" t="str">
            <v>2021WA</v>
          </cell>
          <cell r="B104">
            <v>2021</v>
          </cell>
          <cell r="C104" t="str">
            <v>WA</v>
          </cell>
          <cell r="D104">
            <v>3843746</v>
          </cell>
          <cell r="E104">
            <v>38021233</v>
          </cell>
          <cell r="F104">
            <v>3220813</v>
          </cell>
          <cell r="G104">
            <v>10.11</v>
          </cell>
          <cell r="H104">
            <v>2618513</v>
          </cell>
          <cell r="I104">
            <v>28637381</v>
          </cell>
          <cell r="J104">
            <v>394023</v>
          </cell>
          <cell r="K104">
            <v>9.14</v>
          </cell>
          <cell r="L104">
            <v>1245305</v>
          </cell>
          <cell r="M104">
            <v>21436480</v>
          </cell>
          <cell r="N104">
            <v>26243</v>
          </cell>
          <cell r="O104">
            <v>5.81</v>
          </cell>
          <cell r="P104">
            <v>10248</v>
          </cell>
          <cell r="Q104">
            <v>103574</v>
          </cell>
          <cell r="R104">
            <v>5</v>
          </cell>
          <cell r="S104">
            <v>9.89</v>
          </cell>
          <cell r="T104">
            <v>7717812</v>
          </cell>
          <cell r="U104">
            <v>88198668</v>
          </cell>
          <cell r="V104">
            <v>3641084</v>
          </cell>
          <cell r="W104">
            <v>8.75</v>
          </cell>
        </row>
        <row r="105">
          <cell r="A105" t="str">
            <v>2021WI</v>
          </cell>
          <cell r="B105">
            <v>2021</v>
          </cell>
          <cell r="C105" t="str">
            <v>WI</v>
          </cell>
          <cell r="D105">
            <v>3320221</v>
          </cell>
          <cell r="E105">
            <v>22864047</v>
          </cell>
          <cell r="F105">
            <v>2761990</v>
          </cell>
          <cell r="G105">
            <v>14.52</v>
          </cell>
          <cell r="H105">
            <v>2547820</v>
          </cell>
          <cell r="I105">
            <v>23266013</v>
          </cell>
          <cell r="J105">
            <v>361589</v>
          </cell>
          <cell r="K105">
            <v>10.95</v>
          </cell>
          <cell r="L105">
            <v>1777080</v>
          </cell>
          <cell r="M105">
            <v>23295516</v>
          </cell>
          <cell r="N105">
            <v>5665</v>
          </cell>
          <cell r="O105">
            <v>7.63</v>
          </cell>
          <cell r="P105">
            <v>157</v>
          </cell>
          <cell r="Q105">
            <v>1039</v>
          </cell>
          <cell r="R105">
            <v>2</v>
          </cell>
          <cell r="S105">
            <v>15.12</v>
          </cell>
          <cell r="T105">
            <v>7645277</v>
          </cell>
          <cell r="U105">
            <v>69426615</v>
          </cell>
          <cell r="V105">
            <v>3129246</v>
          </cell>
          <cell r="W105">
            <v>11.01</v>
          </cell>
        </row>
        <row r="106">
          <cell r="A106" t="str">
            <v>2021WV</v>
          </cell>
          <cell r="B106">
            <v>2021</v>
          </cell>
          <cell r="C106" t="str">
            <v>WV</v>
          </cell>
          <cell r="D106">
            <v>1343207</v>
          </cell>
          <cell r="E106">
            <v>11050705</v>
          </cell>
          <cell r="F106">
            <v>863647</v>
          </cell>
          <cell r="G106">
            <v>12.15</v>
          </cell>
          <cell r="H106">
            <v>679560</v>
          </cell>
          <cell r="I106">
            <v>7156304</v>
          </cell>
          <cell r="J106">
            <v>148231</v>
          </cell>
          <cell r="K106">
            <v>9.5</v>
          </cell>
          <cell r="L106">
            <v>884516</v>
          </cell>
          <cell r="M106">
            <v>14570979</v>
          </cell>
          <cell r="N106">
            <v>11343</v>
          </cell>
          <cell r="O106">
            <v>6.07</v>
          </cell>
          <cell r="P106">
            <v>0</v>
          </cell>
          <cell r="Q106">
            <v>0</v>
          </cell>
          <cell r="R106">
            <v>0</v>
          </cell>
          <cell r="S106">
            <v>0</v>
          </cell>
          <cell r="T106">
            <v>2907283</v>
          </cell>
          <cell r="U106">
            <v>32777988</v>
          </cell>
          <cell r="V106">
            <v>1023221</v>
          </cell>
          <cell r="W106">
            <v>8.8699999999999992</v>
          </cell>
        </row>
        <row r="107">
          <cell r="A107" t="str">
            <v>2021WY</v>
          </cell>
          <cell r="B107">
            <v>2021</v>
          </cell>
          <cell r="C107" t="str">
            <v>WY</v>
          </cell>
          <cell r="D107">
            <v>323702</v>
          </cell>
          <cell r="E107">
            <v>2897498</v>
          </cell>
          <cell r="F107">
            <v>278599</v>
          </cell>
          <cell r="G107">
            <v>11.17</v>
          </cell>
          <cell r="H107">
            <v>333214</v>
          </cell>
          <cell r="I107">
            <v>3443297</v>
          </cell>
          <cell r="J107">
            <v>58019</v>
          </cell>
          <cell r="K107">
            <v>9.68</v>
          </cell>
          <cell r="L107">
            <v>644772</v>
          </cell>
          <cell r="M107">
            <v>9443917</v>
          </cell>
          <cell r="N107">
            <v>11618</v>
          </cell>
          <cell r="O107">
            <v>6.83</v>
          </cell>
          <cell r="P107">
            <v>0</v>
          </cell>
          <cell r="Q107">
            <v>0</v>
          </cell>
          <cell r="R107">
            <v>0</v>
          </cell>
          <cell r="S107">
            <v>0</v>
          </cell>
          <cell r="T107">
            <v>1301688</v>
          </cell>
          <cell r="U107">
            <v>15784712</v>
          </cell>
          <cell r="V107">
            <v>348236</v>
          </cell>
          <cell r="W107">
            <v>8.25</v>
          </cell>
        </row>
        <row r="108">
          <cell r="A108" t="str">
            <v>2021US</v>
          </cell>
          <cell r="B108">
            <v>2021</v>
          </cell>
          <cell r="C108" t="str">
            <v>US</v>
          </cell>
          <cell r="D108">
            <v>200833874</v>
          </cell>
          <cell r="E108">
            <v>1470486882</v>
          </cell>
          <cell r="F108">
            <v>138308772</v>
          </cell>
          <cell r="G108">
            <v>13.66</v>
          </cell>
          <cell r="H108">
            <v>149008224</v>
          </cell>
          <cell r="I108">
            <v>1328439498</v>
          </cell>
          <cell r="J108">
            <v>19102304</v>
          </cell>
          <cell r="K108">
            <v>11.22</v>
          </cell>
          <cell r="L108">
            <v>71834926</v>
          </cell>
          <cell r="M108">
            <v>1000613490</v>
          </cell>
          <cell r="N108">
            <v>1022212</v>
          </cell>
          <cell r="O108">
            <v>7.18</v>
          </cell>
          <cell r="P108">
            <v>646228</v>
          </cell>
          <cell r="Q108">
            <v>6334383</v>
          </cell>
          <cell r="R108">
            <v>82</v>
          </cell>
          <cell r="S108">
            <v>10.199999999999999</v>
          </cell>
          <cell r="T108">
            <v>422323251</v>
          </cell>
          <cell r="U108">
            <v>3805874253</v>
          </cell>
          <cell r="V108">
            <v>158433370</v>
          </cell>
          <cell r="W108">
            <v>11.1</v>
          </cell>
        </row>
        <row r="109">
          <cell r="A109" t="str">
            <v>2020AK</v>
          </cell>
          <cell r="B109">
            <v>2020</v>
          </cell>
          <cell r="C109" t="str">
            <v>AK</v>
          </cell>
          <cell r="D109">
            <v>471526</v>
          </cell>
          <cell r="E109">
            <v>2089046</v>
          </cell>
          <cell r="F109">
            <v>315208</v>
          </cell>
          <cell r="G109">
            <v>22.57</v>
          </cell>
          <cell r="H109">
            <v>494103</v>
          </cell>
          <cell r="I109">
            <v>2524116</v>
          </cell>
          <cell r="J109">
            <v>61993</v>
          </cell>
          <cell r="K109">
            <v>19.579999999999998</v>
          </cell>
          <cell r="L109">
            <v>207206</v>
          </cell>
          <cell r="M109">
            <v>1304415</v>
          </cell>
          <cell r="N109">
            <v>1129</v>
          </cell>
          <cell r="O109">
            <v>15.88</v>
          </cell>
          <cell r="P109">
            <v>0</v>
          </cell>
          <cell r="Q109">
            <v>0</v>
          </cell>
          <cell r="R109">
            <v>0</v>
          </cell>
          <cell r="S109">
            <v>0</v>
          </cell>
          <cell r="T109">
            <v>1172835</v>
          </cell>
          <cell r="U109">
            <v>5917577</v>
          </cell>
          <cell r="V109">
            <v>378330</v>
          </cell>
          <cell r="W109">
            <v>19.82</v>
          </cell>
        </row>
        <row r="110">
          <cell r="A110" t="str">
            <v>2020AL</v>
          </cell>
          <cell r="B110">
            <v>2020</v>
          </cell>
          <cell r="C110" t="str">
            <v>AL</v>
          </cell>
          <cell r="D110">
            <v>3939867</v>
          </cell>
          <cell r="E110">
            <v>31331041</v>
          </cell>
          <cell r="F110">
            <v>2280741</v>
          </cell>
          <cell r="G110">
            <v>12.58</v>
          </cell>
          <cell r="H110">
            <v>2460395</v>
          </cell>
          <cell r="I110">
            <v>21307775</v>
          </cell>
          <cell r="J110">
            <v>371888</v>
          </cell>
          <cell r="K110">
            <v>11.55</v>
          </cell>
          <cell r="L110">
            <v>1806524</v>
          </cell>
          <cell r="M110">
            <v>30756789</v>
          </cell>
          <cell r="N110">
            <v>7240</v>
          </cell>
          <cell r="O110">
            <v>5.87</v>
          </cell>
          <cell r="P110">
            <v>0</v>
          </cell>
          <cell r="Q110">
            <v>0</v>
          </cell>
          <cell r="R110">
            <v>0</v>
          </cell>
          <cell r="S110">
            <v>0</v>
          </cell>
          <cell r="T110">
            <v>8206786</v>
          </cell>
          <cell r="U110">
            <v>83395605</v>
          </cell>
          <cell r="V110">
            <v>2659869</v>
          </cell>
          <cell r="W110">
            <v>9.84</v>
          </cell>
        </row>
        <row r="111">
          <cell r="A111" t="str">
            <v>2020AR</v>
          </cell>
          <cell r="B111">
            <v>2020</v>
          </cell>
          <cell r="C111" t="str">
            <v>AR</v>
          </cell>
          <cell r="D111">
            <v>1871422</v>
          </cell>
          <cell r="E111">
            <v>17980206</v>
          </cell>
          <cell r="F111">
            <v>1413490</v>
          </cell>
          <cell r="G111">
            <v>10.41</v>
          </cell>
          <cell r="H111">
            <v>956720</v>
          </cell>
          <cell r="I111">
            <v>11110416</v>
          </cell>
          <cell r="J111">
            <v>197869</v>
          </cell>
          <cell r="K111">
            <v>8.61</v>
          </cell>
          <cell r="L111">
            <v>987435</v>
          </cell>
          <cell r="M111">
            <v>16760182</v>
          </cell>
          <cell r="N111">
            <v>35978</v>
          </cell>
          <cell r="O111">
            <v>5.89</v>
          </cell>
          <cell r="P111">
            <v>27</v>
          </cell>
          <cell r="Q111">
            <v>199</v>
          </cell>
          <cell r="R111">
            <v>2</v>
          </cell>
          <cell r="S111">
            <v>13.32</v>
          </cell>
          <cell r="T111">
            <v>3815604</v>
          </cell>
          <cell r="U111">
            <v>45851003</v>
          </cell>
          <cell r="V111">
            <v>1647339</v>
          </cell>
          <cell r="W111">
            <v>8.32</v>
          </cell>
        </row>
        <row r="112">
          <cell r="A112" t="str">
            <v>2020AZ</v>
          </cell>
          <cell r="B112">
            <v>2020</v>
          </cell>
          <cell r="C112" t="str">
            <v>AZ</v>
          </cell>
          <cell r="D112">
            <v>4751047</v>
          </cell>
          <cell r="E112">
            <v>38707416</v>
          </cell>
          <cell r="F112">
            <v>2896339</v>
          </cell>
          <cell r="G112">
            <v>12.27</v>
          </cell>
          <cell r="H112">
            <v>2944348</v>
          </cell>
          <cell r="I112">
            <v>29128178</v>
          </cell>
          <cell r="J112">
            <v>331229</v>
          </cell>
          <cell r="K112">
            <v>10.11</v>
          </cell>
          <cell r="L112">
            <v>856644</v>
          </cell>
          <cell r="M112">
            <v>14113139</v>
          </cell>
          <cell r="N112">
            <v>7595</v>
          </cell>
          <cell r="O112">
            <v>6.07</v>
          </cell>
          <cell r="P112">
            <v>1064</v>
          </cell>
          <cell r="Q112">
            <v>11341</v>
          </cell>
          <cell r="R112">
            <v>2</v>
          </cell>
          <cell r="S112">
            <v>9.3800000000000008</v>
          </cell>
          <cell r="T112">
            <v>8553103</v>
          </cell>
          <cell r="U112">
            <v>81960074</v>
          </cell>
          <cell r="V112">
            <v>3235165</v>
          </cell>
          <cell r="W112">
            <v>10.44</v>
          </cell>
        </row>
        <row r="113">
          <cell r="A113" t="str">
            <v>2020CA</v>
          </cell>
          <cell r="B113">
            <v>2020</v>
          </cell>
          <cell r="C113" t="str">
            <v>CA</v>
          </cell>
          <cell r="D113">
            <v>19413314</v>
          </cell>
          <cell r="E113">
            <v>94934563</v>
          </cell>
          <cell r="F113">
            <v>13834719</v>
          </cell>
          <cell r="G113">
            <v>20.45</v>
          </cell>
          <cell r="H113">
            <v>18757401</v>
          </cell>
          <cell r="I113">
            <v>107006347</v>
          </cell>
          <cell r="J113">
            <v>1725533</v>
          </cell>
          <cell r="K113">
            <v>17.53</v>
          </cell>
          <cell r="L113">
            <v>6797215</v>
          </cell>
          <cell r="M113">
            <v>47630882</v>
          </cell>
          <cell r="N113">
            <v>148130</v>
          </cell>
          <cell r="O113">
            <v>14.27</v>
          </cell>
          <cell r="P113">
            <v>60682</v>
          </cell>
          <cell r="Q113">
            <v>602880</v>
          </cell>
          <cell r="R113">
            <v>13</v>
          </cell>
          <cell r="S113">
            <v>10.07</v>
          </cell>
          <cell r="T113">
            <v>45028612</v>
          </cell>
          <cell r="U113">
            <v>250174672</v>
          </cell>
          <cell r="V113">
            <v>15708395</v>
          </cell>
          <cell r="W113">
            <v>18</v>
          </cell>
        </row>
        <row r="114">
          <cell r="A114" t="str">
            <v>2020CO</v>
          </cell>
          <cell r="B114">
            <v>2020</v>
          </cell>
          <cell r="C114" t="str">
            <v>CO</v>
          </cell>
          <cell r="D114">
            <v>2531337</v>
          </cell>
          <cell r="E114">
            <v>20482502</v>
          </cell>
          <cell r="F114">
            <v>2400357</v>
          </cell>
          <cell r="G114">
            <v>12.36</v>
          </cell>
          <cell r="H114">
            <v>2062508</v>
          </cell>
          <cell r="I114">
            <v>20042218</v>
          </cell>
          <cell r="J114">
            <v>384518</v>
          </cell>
          <cell r="K114">
            <v>10.29</v>
          </cell>
          <cell r="L114">
            <v>1154897</v>
          </cell>
          <cell r="M114">
            <v>15431465</v>
          </cell>
          <cell r="N114">
            <v>15209</v>
          </cell>
          <cell r="O114">
            <v>7.48</v>
          </cell>
          <cell r="P114">
            <v>8126</v>
          </cell>
          <cell r="Q114">
            <v>94079</v>
          </cell>
          <cell r="R114">
            <v>1</v>
          </cell>
          <cell r="S114">
            <v>8.64</v>
          </cell>
          <cell r="T114">
            <v>5756868</v>
          </cell>
          <cell r="U114">
            <v>56050264</v>
          </cell>
          <cell r="V114">
            <v>2800085</v>
          </cell>
          <cell r="W114">
            <v>10.27</v>
          </cell>
        </row>
        <row r="115">
          <cell r="A115" t="str">
            <v>2020CT</v>
          </cell>
          <cell r="B115">
            <v>2020</v>
          </cell>
          <cell r="C115" t="str">
            <v>CT</v>
          </cell>
          <cell r="D115">
            <v>2948780</v>
          </cell>
          <cell r="E115">
            <v>12981839</v>
          </cell>
          <cell r="F115">
            <v>1521112</v>
          </cell>
          <cell r="G115">
            <v>22.71</v>
          </cell>
          <cell r="H115">
            <v>1848336</v>
          </cell>
          <cell r="I115">
            <v>11145896</v>
          </cell>
          <cell r="J115">
            <v>154894</v>
          </cell>
          <cell r="K115">
            <v>16.579999999999998</v>
          </cell>
          <cell r="L115">
            <v>373836</v>
          </cell>
          <cell r="M115">
            <v>2860291</v>
          </cell>
          <cell r="N115">
            <v>4130</v>
          </cell>
          <cell r="O115">
            <v>13.07</v>
          </cell>
          <cell r="P115">
            <v>16768</v>
          </cell>
          <cell r="Q115">
            <v>125647</v>
          </cell>
          <cell r="R115">
            <v>3</v>
          </cell>
          <cell r="S115">
            <v>13.34</v>
          </cell>
          <cell r="T115">
            <v>5187720</v>
          </cell>
          <cell r="U115">
            <v>27113673</v>
          </cell>
          <cell r="V115">
            <v>1680139</v>
          </cell>
          <cell r="W115">
            <v>19.13</v>
          </cell>
        </row>
        <row r="116">
          <cell r="A116" t="str">
            <v>2020DC</v>
          </cell>
          <cell r="B116">
            <v>2020</v>
          </cell>
          <cell r="C116" t="str">
            <v>DC</v>
          </cell>
          <cell r="D116">
            <v>309841</v>
          </cell>
          <cell r="E116">
            <v>2452589</v>
          </cell>
          <cell r="F116">
            <v>290466</v>
          </cell>
          <cell r="G116">
            <v>12.63</v>
          </cell>
          <cell r="H116">
            <v>807759</v>
          </cell>
          <cell r="I116">
            <v>6814560</v>
          </cell>
          <cell r="J116">
            <v>26672</v>
          </cell>
          <cell r="K116">
            <v>11.85</v>
          </cell>
          <cell r="L116">
            <v>14881</v>
          </cell>
          <cell r="M116">
            <v>186344</v>
          </cell>
          <cell r="N116">
            <v>1</v>
          </cell>
          <cell r="O116">
            <v>7.99</v>
          </cell>
          <cell r="P116">
            <v>31906</v>
          </cell>
          <cell r="Q116">
            <v>332282</v>
          </cell>
          <cell r="R116">
            <v>3</v>
          </cell>
          <cell r="S116">
            <v>9.6</v>
          </cell>
          <cell r="T116">
            <v>1164386</v>
          </cell>
          <cell r="U116">
            <v>9785775</v>
          </cell>
          <cell r="V116">
            <v>317142</v>
          </cell>
          <cell r="W116">
            <v>11.9</v>
          </cell>
        </row>
        <row r="117">
          <cell r="A117" t="str">
            <v>2020DE</v>
          </cell>
          <cell r="B117">
            <v>2020</v>
          </cell>
          <cell r="C117" t="str">
            <v>DE</v>
          </cell>
          <cell r="D117">
            <v>627031</v>
          </cell>
          <cell r="E117">
            <v>4991134</v>
          </cell>
          <cell r="F117">
            <v>446276</v>
          </cell>
          <cell r="G117">
            <v>12.56</v>
          </cell>
          <cell r="H117">
            <v>374876</v>
          </cell>
          <cell r="I117">
            <v>4082497</v>
          </cell>
          <cell r="J117">
            <v>56764</v>
          </cell>
          <cell r="K117">
            <v>9.18</v>
          </cell>
          <cell r="L117">
            <v>137784</v>
          </cell>
          <cell r="M117">
            <v>2055420</v>
          </cell>
          <cell r="N117">
            <v>878</v>
          </cell>
          <cell r="O117">
            <v>6.7</v>
          </cell>
          <cell r="P117">
            <v>0</v>
          </cell>
          <cell r="Q117">
            <v>0</v>
          </cell>
          <cell r="R117">
            <v>0</v>
          </cell>
          <cell r="S117">
            <v>0</v>
          </cell>
          <cell r="T117">
            <v>1139691</v>
          </cell>
          <cell r="U117">
            <v>11129051</v>
          </cell>
          <cell r="V117">
            <v>503918</v>
          </cell>
          <cell r="W117">
            <v>10.24</v>
          </cell>
        </row>
        <row r="118">
          <cell r="A118" t="str">
            <v>2020FL</v>
          </cell>
          <cell r="B118">
            <v>2020</v>
          </cell>
          <cell r="C118" t="str">
            <v>FL</v>
          </cell>
          <cell r="D118">
            <v>15021436</v>
          </cell>
          <cell r="E118">
            <v>133298869</v>
          </cell>
          <cell r="F118">
            <v>9731237</v>
          </cell>
          <cell r="G118">
            <v>11.27</v>
          </cell>
          <cell r="H118">
            <v>8181315</v>
          </cell>
          <cell r="I118">
            <v>92493736</v>
          </cell>
          <cell r="J118">
            <v>1256569</v>
          </cell>
          <cell r="K118">
            <v>8.85</v>
          </cell>
          <cell r="L118">
            <v>1185729</v>
          </cell>
          <cell r="M118">
            <v>16572954</v>
          </cell>
          <cell r="N118">
            <v>22587</v>
          </cell>
          <cell r="O118">
            <v>7.15</v>
          </cell>
          <cell r="P118">
            <v>5739</v>
          </cell>
          <cell r="Q118">
            <v>74612</v>
          </cell>
          <cell r="R118">
            <v>2</v>
          </cell>
          <cell r="S118">
            <v>7.69</v>
          </cell>
          <cell r="T118">
            <v>24394219</v>
          </cell>
          <cell r="U118">
            <v>242440171</v>
          </cell>
          <cell r="V118">
            <v>11010395</v>
          </cell>
          <cell r="W118">
            <v>10.06</v>
          </cell>
        </row>
        <row r="119">
          <cell r="A119" t="str">
            <v>2020GA</v>
          </cell>
          <cell r="B119">
            <v>2020</v>
          </cell>
          <cell r="C119" t="str">
            <v>GA</v>
          </cell>
          <cell r="D119">
            <v>6995859</v>
          </cell>
          <cell r="E119">
            <v>58220280</v>
          </cell>
          <cell r="F119">
            <v>4487431</v>
          </cell>
          <cell r="G119">
            <v>12.02</v>
          </cell>
          <cell r="H119">
            <v>4466257</v>
          </cell>
          <cell r="I119">
            <v>44301529</v>
          </cell>
          <cell r="J119">
            <v>592220</v>
          </cell>
          <cell r="K119">
            <v>10.08</v>
          </cell>
          <cell r="L119">
            <v>1777389</v>
          </cell>
          <cell r="M119">
            <v>30807724</v>
          </cell>
          <cell r="N119">
            <v>23822</v>
          </cell>
          <cell r="O119">
            <v>5.77</v>
          </cell>
          <cell r="P119">
            <v>7584</v>
          </cell>
          <cell r="Q119">
            <v>140609</v>
          </cell>
          <cell r="R119">
            <v>1</v>
          </cell>
          <cell r="S119">
            <v>5.39</v>
          </cell>
          <cell r="T119">
            <v>13247089</v>
          </cell>
          <cell r="U119">
            <v>133470142</v>
          </cell>
          <cell r="V119">
            <v>5103474</v>
          </cell>
          <cell r="W119">
            <v>9.93</v>
          </cell>
        </row>
        <row r="120">
          <cell r="A120" t="str">
            <v>2020HI</v>
          </cell>
          <cell r="B120">
            <v>2020</v>
          </cell>
          <cell r="C120" t="str">
            <v>HI</v>
          </cell>
          <cell r="D120">
            <v>862771</v>
          </cell>
          <cell r="E120">
            <v>2849114</v>
          </cell>
          <cell r="F120">
            <v>442002</v>
          </cell>
          <cell r="G120">
            <v>30.28</v>
          </cell>
          <cell r="H120">
            <v>762527</v>
          </cell>
          <cell r="I120">
            <v>2684301</v>
          </cell>
          <cell r="J120">
            <v>59734</v>
          </cell>
          <cell r="K120">
            <v>28.41</v>
          </cell>
          <cell r="L120">
            <v>797940</v>
          </cell>
          <cell r="M120">
            <v>3263346</v>
          </cell>
          <cell r="N120">
            <v>816</v>
          </cell>
          <cell r="O120">
            <v>24.45</v>
          </cell>
          <cell r="P120">
            <v>0</v>
          </cell>
          <cell r="Q120">
            <v>0</v>
          </cell>
          <cell r="R120">
            <v>0</v>
          </cell>
          <cell r="S120">
            <v>0</v>
          </cell>
          <cell r="T120">
            <v>2423238</v>
          </cell>
          <cell r="U120">
            <v>8796761</v>
          </cell>
          <cell r="V120">
            <v>502552</v>
          </cell>
          <cell r="W120">
            <v>27.55</v>
          </cell>
        </row>
        <row r="121">
          <cell r="A121" t="str">
            <v>2020IA</v>
          </cell>
          <cell r="B121">
            <v>2020</v>
          </cell>
          <cell r="C121" t="str">
            <v>IA</v>
          </cell>
          <cell r="D121">
            <v>1815028</v>
          </cell>
          <cell r="E121">
            <v>14567483</v>
          </cell>
          <cell r="F121">
            <v>1403386</v>
          </cell>
          <cell r="G121">
            <v>12.46</v>
          </cell>
          <cell r="H121">
            <v>1155688</v>
          </cell>
          <cell r="I121">
            <v>11605738</v>
          </cell>
          <cell r="J121">
            <v>243762</v>
          </cell>
          <cell r="K121">
            <v>9.9600000000000009</v>
          </cell>
          <cell r="L121">
            <v>1572418</v>
          </cell>
          <cell r="M121">
            <v>24466641</v>
          </cell>
          <cell r="N121">
            <v>9507</v>
          </cell>
          <cell r="O121">
            <v>6.43</v>
          </cell>
          <cell r="P121">
            <v>0</v>
          </cell>
          <cell r="Q121">
            <v>0</v>
          </cell>
          <cell r="R121">
            <v>0</v>
          </cell>
          <cell r="S121">
            <v>0</v>
          </cell>
          <cell r="T121">
            <v>4543133</v>
          </cell>
          <cell r="U121">
            <v>50639862</v>
          </cell>
          <cell r="V121">
            <v>1656655</v>
          </cell>
          <cell r="W121">
            <v>8.9700000000000006</v>
          </cell>
        </row>
        <row r="122">
          <cell r="A122" t="str">
            <v>2020ID</v>
          </cell>
          <cell r="B122">
            <v>2020</v>
          </cell>
          <cell r="C122" t="str">
            <v>ID</v>
          </cell>
          <cell r="D122">
            <v>892473</v>
          </cell>
          <cell r="E122">
            <v>8970751</v>
          </cell>
          <cell r="F122">
            <v>782559</v>
          </cell>
          <cell r="G122">
            <v>9.9499999999999993</v>
          </cell>
          <cell r="H122">
            <v>488956</v>
          </cell>
          <cell r="I122">
            <v>6309927</v>
          </cell>
          <cell r="J122">
            <v>114707</v>
          </cell>
          <cell r="K122">
            <v>7.75</v>
          </cell>
          <cell r="L122">
            <v>571938</v>
          </cell>
          <cell r="M122">
            <v>9180674</v>
          </cell>
          <cell r="N122">
            <v>28759</v>
          </cell>
          <cell r="O122">
            <v>6.23</v>
          </cell>
          <cell r="P122">
            <v>0</v>
          </cell>
          <cell r="Q122">
            <v>0</v>
          </cell>
          <cell r="R122">
            <v>0</v>
          </cell>
          <cell r="S122">
            <v>0</v>
          </cell>
          <cell r="T122">
            <v>1953366</v>
          </cell>
          <cell r="U122">
            <v>24461352</v>
          </cell>
          <cell r="V122">
            <v>926025</v>
          </cell>
          <cell r="W122">
            <v>7.99</v>
          </cell>
        </row>
        <row r="123">
          <cell r="A123" t="str">
            <v>2020IL</v>
          </cell>
          <cell r="B123">
            <v>2020</v>
          </cell>
          <cell r="C123" t="str">
            <v>IL</v>
          </cell>
          <cell r="D123">
            <v>6021966</v>
          </cell>
          <cell r="E123">
            <v>46170538</v>
          </cell>
          <cell r="F123">
            <v>5339610</v>
          </cell>
          <cell r="G123">
            <v>13.04</v>
          </cell>
          <cell r="H123">
            <v>4160567</v>
          </cell>
          <cell r="I123">
            <v>45486577</v>
          </cell>
          <cell r="J123">
            <v>628868</v>
          </cell>
          <cell r="K123">
            <v>9.15</v>
          </cell>
          <cell r="L123">
            <v>2703056</v>
          </cell>
          <cell r="M123">
            <v>40362204</v>
          </cell>
          <cell r="N123">
            <v>5561</v>
          </cell>
          <cell r="O123">
            <v>6.7</v>
          </cell>
          <cell r="P123">
            <v>29507</v>
          </cell>
          <cell r="Q123">
            <v>449958</v>
          </cell>
          <cell r="R123">
            <v>3</v>
          </cell>
          <cell r="S123">
            <v>6.56</v>
          </cell>
          <cell r="T123">
            <v>12915096</v>
          </cell>
          <cell r="U123">
            <v>132469277</v>
          </cell>
          <cell r="V123">
            <v>5974042</v>
          </cell>
          <cell r="W123">
            <v>9.75</v>
          </cell>
        </row>
        <row r="124">
          <cell r="A124" t="str">
            <v>2020IN</v>
          </cell>
          <cell r="B124">
            <v>2020</v>
          </cell>
          <cell r="C124" t="str">
            <v>IN</v>
          </cell>
          <cell r="D124">
            <v>4217038</v>
          </cell>
          <cell r="E124">
            <v>32878355</v>
          </cell>
          <cell r="F124">
            <v>2920266</v>
          </cell>
          <cell r="G124">
            <v>12.83</v>
          </cell>
          <cell r="H124">
            <v>2465067</v>
          </cell>
          <cell r="I124">
            <v>21996478</v>
          </cell>
          <cell r="J124">
            <v>363465</v>
          </cell>
          <cell r="K124">
            <v>11.21</v>
          </cell>
          <cell r="L124">
            <v>2949718</v>
          </cell>
          <cell r="M124">
            <v>42262910</v>
          </cell>
          <cell r="N124">
            <v>19383</v>
          </cell>
          <cell r="O124">
            <v>6.98</v>
          </cell>
          <cell r="P124">
            <v>1839</v>
          </cell>
          <cell r="Q124">
            <v>18001</v>
          </cell>
          <cell r="R124">
            <v>1</v>
          </cell>
          <cell r="S124">
            <v>10.210000000000001</v>
          </cell>
          <cell r="T124">
            <v>9633661</v>
          </cell>
          <cell r="U124">
            <v>97155744</v>
          </cell>
          <cell r="V124">
            <v>3303115</v>
          </cell>
          <cell r="W124">
            <v>9.92</v>
          </cell>
        </row>
        <row r="125">
          <cell r="A125" t="str">
            <v>2020KS</v>
          </cell>
          <cell r="B125">
            <v>2020</v>
          </cell>
          <cell r="C125" t="str">
            <v>KS</v>
          </cell>
          <cell r="D125">
            <v>1747076</v>
          </cell>
          <cell r="E125">
            <v>13592444</v>
          </cell>
          <cell r="F125">
            <v>1282532</v>
          </cell>
          <cell r="G125">
            <v>12.85</v>
          </cell>
          <cell r="H125">
            <v>1544299</v>
          </cell>
          <cell r="I125">
            <v>14843319</v>
          </cell>
          <cell r="J125">
            <v>236430</v>
          </cell>
          <cell r="K125">
            <v>10.4</v>
          </cell>
          <cell r="L125">
            <v>806298</v>
          </cell>
          <cell r="M125">
            <v>11048183</v>
          </cell>
          <cell r="N125">
            <v>23979</v>
          </cell>
          <cell r="O125">
            <v>7.3</v>
          </cell>
          <cell r="P125">
            <v>0</v>
          </cell>
          <cell r="Q125">
            <v>0</v>
          </cell>
          <cell r="R125">
            <v>0</v>
          </cell>
          <cell r="S125">
            <v>0</v>
          </cell>
          <cell r="T125">
            <v>4097673</v>
          </cell>
          <cell r="U125">
            <v>39483946</v>
          </cell>
          <cell r="V125">
            <v>1542941</v>
          </cell>
          <cell r="W125">
            <v>10.38</v>
          </cell>
        </row>
        <row r="126">
          <cell r="A126" t="str">
            <v>2020KY</v>
          </cell>
          <cell r="B126">
            <v>2020</v>
          </cell>
          <cell r="C126" t="str">
            <v>KY</v>
          </cell>
          <cell r="D126">
            <v>2818425</v>
          </cell>
          <cell r="E126">
            <v>25935096</v>
          </cell>
          <cell r="F126">
            <v>2013910</v>
          </cell>
          <cell r="G126">
            <v>10.87</v>
          </cell>
          <cell r="H126">
            <v>1867406</v>
          </cell>
          <cell r="I126">
            <v>18061357</v>
          </cell>
          <cell r="J126">
            <v>312014</v>
          </cell>
          <cell r="K126">
            <v>10.34</v>
          </cell>
          <cell r="L126">
            <v>1477126</v>
          </cell>
          <cell r="M126">
            <v>27803946</v>
          </cell>
          <cell r="N126">
            <v>5982</v>
          </cell>
          <cell r="O126">
            <v>5.31</v>
          </cell>
          <cell r="P126">
            <v>0</v>
          </cell>
          <cell r="Q126">
            <v>0</v>
          </cell>
          <cell r="R126">
            <v>0</v>
          </cell>
          <cell r="S126">
            <v>0</v>
          </cell>
          <cell r="T126">
            <v>6162957</v>
          </cell>
          <cell r="U126">
            <v>71800399</v>
          </cell>
          <cell r="V126">
            <v>2331906</v>
          </cell>
          <cell r="W126">
            <v>8.58</v>
          </cell>
        </row>
        <row r="127">
          <cell r="A127" t="str">
            <v>2020LA</v>
          </cell>
          <cell r="B127">
            <v>2020</v>
          </cell>
          <cell r="C127" t="str">
            <v>LA</v>
          </cell>
          <cell r="D127">
            <v>2942989</v>
          </cell>
          <cell r="E127">
            <v>30440746</v>
          </cell>
          <cell r="F127">
            <v>2112928</v>
          </cell>
          <cell r="G127">
            <v>9.67</v>
          </cell>
          <cell r="H127">
            <v>1982599</v>
          </cell>
          <cell r="I127">
            <v>22398708</v>
          </cell>
          <cell r="J127">
            <v>296222</v>
          </cell>
          <cell r="K127">
            <v>8.85</v>
          </cell>
          <cell r="L127">
            <v>1770445</v>
          </cell>
          <cell r="M127">
            <v>36276417</v>
          </cell>
          <cell r="N127">
            <v>19276</v>
          </cell>
          <cell r="O127">
            <v>4.88</v>
          </cell>
          <cell r="P127">
            <v>948</v>
          </cell>
          <cell r="Q127">
            <v>10814</v>
          </cell>
          <cell r="R127">
            <v>1</v>
          </cell>
          <cell r="S127">
            <v>8.77</v>
          </cell>
          <cell r="T127">
            <v>6696981</v>
          </cell>
          <cell r="U127">
            <v>89126685</v>
          </cell>
          <cell r="V127">
            <v>2428427</v>
          </cell>
          <cell r="W127">
            <v>7.51</v>
          </cell>
        </row>
        <row r="128">
          <cell r="A128" t="str">
            <v>2020MA</v>
          </cell>
          <cell r="B128">
            <v>2020</v>
          </cell>
          <cell r="C128" t="str">
            <v>MA</v>
          </cell>
          <cell r="D128">
            <v>4468961</v>
          </cell>
          <cell r="E128">
            <v>20345178</v>
          </cell>
          <cell r="F128">
            <v>2817549</v>
          </cell>
          <cell r="G128">
            <v>21.97</v>
          </cell>
          <cell r="H128">
            <v>3706930</v>
          </cell>
          <cell r="I128">
            <v>23120500</v>
          </cell>
          <cell r="J128">
            <v>411448</v>
          </cell>
          <cell r="K128">
            <v>16.03</v>
          </cell>
          <cell r="L128">
            <v>902346</v>
          </cell>
          <cell r="M128">
            <v>6220376</v>
          </cell>
          <cell r="N128">
            <v>10877</v>
          </cell>
          <cell r="O128">
            <v>14.51</v>
          </cell>
          <cell r="P128">
            <v>20159</v>
          </cell>
          <cell r="Q128">
            <v>323287</v>
          </cell>
          <cell r="R128">
            <v>2</v>
          </cell>
          <cell r="S128">
            <v>6.24</v>
          </cell>
          <cell r="T128">
            <v>9098394</v>
          </cell>
          <cell r="U128">
            <v>50009341</v>
          </cell>
          <cell r="V128">
            <v>3239876</v>
          </cell>
          <cell r="W128">
            <v>18.190000000000001</v>
          </cell>
        </row>
        <row r="129">
          <cell r="A129" t="str">
            <v>2020MD</v>
          </cell>
          <cell r="B129">
            <v>2020</v>
          </cell>
          <cell r="C129" t="str">
            <v>MD</v>
          </cell>
          <cell r="D129">
            <v>3551281</v>
          </cell>
          <cell r="E129">
            <v>27306375</v>
          </cell>
          <cell r="F129">
            <v>2376983</v>
          </cell>
          <cell r="G129">
            <v>13.01</v>
          </cell>
          <cell r="H129">
            <v>2572151</v>
          </cell>
          <cell r="I129">
            <v>26451864</v>
          </cell>
          <cell r="J129">
            <v>256738</v>
          </cell>
          <cell r="K129">
            <v>9.7200000000000006</v>
          </cell>
          <cell r="L129">
            <v>264111</v>
          </cell>
          <cell r="M129">
            <v>3381895</v>
          </cell>
          <cell r="N129">
            <v>8966</v>
          </cell>
          <cell r="O129">
            <v>7.81</v>
          </cell>
          <cell r="P129">
            <v>38082</v>
          </cell>
          <cell r="Q129">
            <v>488906</v>
          </cell>
          <cell r="R129">
            <v>5</v>
          </cell>
          <cell r="S129">
            <v>7.79</v>
          </cell>
          <cell r="T129">
            <v>6425625</v>
          </cell>
          <cell r="U129">
            <v>57629040</v>
          </cell>
          <cell r="V129">
            <v>2642692</v>
          </cell>
          <cell r="W129">
            <v>11.15</v>
          </cell>
        </row>
        <row r="130">
          <cell r="A130" t="str">
            <v>2020ME</v>
          </cell>
          <cell r="B130">
            <v>2020</v>
          </cell>
          <cell r="C130" t="str">
            <v>ME</v>
          </cell>
          <cell r="D130">
            <v>824665</v>
          </cell>
          <cell r="E130">
            <v>4905263</v>
          </cell>
          <cell r="F130">
            <v>717559</v>
          </cell>
          <cell r="G130">
            <v>16.809999999999999</v>
          </cell>
          <cell r="H130">
            <v>479414</v>
          </cell>
          <cell r="I130">
            <v>3815653</v>
          </cell>
          <cell r="J130">
            <v>97575</v>
          </cell>
          <cell r="K130">
            <v>12.56</v>
          </cell>
          <cell r="L130">
            <v>232770</v>
          </cell>
          <cell r="M130">
            <v>2625824</v>
          </cell>
          <cell r="N130">
            <v>2681</v>
          </cell>
          <cell r="O130">
            <v>8.86</v>
          </cell>
          <cell r="P130">
            <v>0</v>
          </cell>
          <cell r="Q130">
            <v>0</v>
          </cell>
          <cell r="R130">
            <v>0</v>
          </cell>
          <cell r="S130">
            <v>0</v>
          </cell>
          <cell r="T130">
            <v>1536849</v>
          </cell>
          <cell r="U130">
            <v>11346740</v>
          </cell>
          <cell r="V130">
            <v>817815</v>
          </cell>
          <cell r="W130">
            <v>13.54</v>
          </cell>
        </row>
        <row r="131">
          <cell r="A131" t="str">
            <v>2020MI</v>
          </cell>
          <cell r="B131">
            <v>2020</v>
          </cell>
          <cell r="C131" t="str">
            <v>MI</v>
          </cell>
          <cell r="D131">
            <v>5831461</v>
          </cell>
          <cell r="E131">
            <v>35862912</v>
          </cell>
          <cell r="F131">
            <v>4423595</v>
          </cell>
          <cell r="G131">
            <v>16.260000000000002</v>
          </cell>
          <cell r="H131">
            <v>4156478</v>
          </cell>
          <cell r="I131">
            <v>35490797</v>
          </cell>
          <cell r="J131">
            <v>546115</v>
          </cell>
          <cell r="K131">
            <v>11.71</v>
          </cell>
          <cell r="L131">
            <v>1858134</v>
          </cell>
          <cell r="M131">
            <v>25654081</v>
          </cell>
          <cell r="N131">
            <v>5580</v>
          </cell>
          <cell r="O131">
            <v>7.24</v>
          </cell>
          <cell r="P131">
            <v>469</v>
          </cell>
          <cell r="Q131">
            <v>4116</v>
          </cell>
          <cell r="R131">
            <v>2</v>
          </cell>
          <cell r="S131">
            <v>11.39</v>
          </cell>
          <cell r="T131">
            <v>11846542</v>
          </cell>
          <cell r="U131">
            <v>97011906</v>
          </cell>
          <cell r="V131">
            <v>4975292</v>
          </cell>
          <cell r="W131">
            <v>12.21</v>
          </cell>
        </row>
        <row r="132">
          <cell r="A132" t="str">
            <v>2020MN</v>
          </cell>
          <cell r="B132">
            <v>2020</v>
          </cell>
          <cell r="C132" t="str">
            <v>MN</v>
          </cell>
          <cell r="D132">
            <v>3020236</v>
          </cell>
          <cell r="E132">
            <v>22935672</v>
          </cell>
          <cell r="F132">
            <v>2464753</v>
          </cell>
          <cell r="G132">
            <v>13.17</v>
          </cell>
          <cell r="H132">
            <v>2244659</v>
          </cell>
          <cell r="I132">
            <v>21526677</v>
          </cell>
          <cell r="J132">
            <v>303702</v>
          </cell>
          <cell r="K132">
            <v>10.43</v>
          </cell>
          <cell r="L132">
            <v>1501592</v>
          </cell>
          <cell r="M132">
            <v>19571847</v>
          </cell>
          <cell r="N132">
            <v>9042</v>
          </cell>
          <cell r="O132">
            <v>7.67</v>
          </cell>
          <cell r="P132">
            <v>1919</v>
          </cell>
          <cell r="Q132">
            <v>20410</v>
          </cell>
          <cell r="R132">
            <v>1</v>
          </cell>
          <cell r="S132">
            <v>9.4</v>
          </cell>
          <cell r="T132">
            <v>6768406</v>
          </cell>
          <cell r="U132">
            <v>64054606</v>
          </cell>
          <cell r="V132">
            <v>2777498</v>
          </cell>
          <cell r="W132">
            <v>10.57</v>
          </cell>
        </row>
        <row r="133">
          <cell r="A133" t="str">
            <v>2020MO</v>
          </cell>
          <cell r="B133">
            <v>2020</v>
          </cell>
          <cell r="C133" t="str">
            <v>MO</v>
          </cell>
          <cell r="D133">
            <v>3922562</v>
          </cell>
          <cell r="E133">
            <v>34950370</v>
          </cell>
          <cell r="F133">
            <v>2833918</v>
          </cell>
          <cell r="G133">
            <v>11.22</v>
          </cell>
          <cell r="H133">
            <v>2495141</v>
          </cell>
          <cell r="I133">
            <v>27931047</v>
          </cell>
          <cell r="J133">
            <v>387872</v>
          </cell>
          <cell r="K133">
            <v>8.93</v>
          </cell>
          <cell r="L133">
            <v>877402</v>
          </cell>
          <cell r="M133">
            <v>12823832</v>
          </cell>
          <cell r="N133">
            <v>10108</v>
          </cell>
          <cell r="O133">
            <v>6.84</v>
          </cell>
          <cell r="P133">
            <v>1603</v>
          </cell>
          <cell r="Q133">
            <v>20463</v>
          </cell>
          <cell r="R133">
            <v>2</v>
          </cell>
          <cell r="S133">
            <v>7.84</v>
          </cell>
          <cell r="T133">
            <v>7296708</v>
          </cell>
          <cell r="U133">
            <v>75725712</v>
          </cell>
          <cell r="V133">
            <v>3231900</v>
          </cell>
          <cell r="W133">
            <v>9.64</v>
          </cell>
        </row>
        <row r="134">
          <cell r="A134" t="str">
            <v>2020MS</v>
          </cell>
          <cell r="B134">
            <v>2020</v>
          </cell>
          <cell r="C134" t="str">
            <v>MS</v>
          </cell>
          <cell r="D134">
            <v>2010535</v>
          </cell>
          <cell r="E134">
            <v>17994833</v>
          </cell>
          <cell r="F134">
            <v>1308149</v>
          </cell>
          <cell r="G134">
            <v>11.17</v>
          </cell>
          <cell r="H134">
            <v>1368949</v>
          </cell>
          <cell r="I134">
            <v>13185143</v>
          </cell>
          <cell r="J134">
            <v>237370</v>
          </cell>
          <cell r="K134">
            <v>10.38</v>
          </cell>
          <cell r="L134">
            <v>862202</v>
          </cell>
          <cell r="M134">
            <v>15302064</v>
          </cell>
          <cell r="N134">
            <v>10343</v>
          </cell>
          <cell r="O134">
            <v>5.63</v>
          </cell>
          <cell r="P134">
            <v>0</v>
          </cell>
          <cell r="Q134">
            <v>0</v>
          </cell>
          <cell r="R134">
            <v>0</v>
          </cell>
          <cell r="S134">
            <v>0</v>
          </cell>
          <cell r="T134">
            <v>4241686</v>
          </cell>
          <cell r="U134">
            <v>46482040</v>
          </cell>
          <cell r="V134">
            <v>1555862</v>
          </cell>
          <cell r="W134">
            <v>9.1300000000000008</v>
          </cell>
        </row>
        <row r="135">
          <cell r="A135" t="str">
            <v>2020MT</v>
          </cell>
          <cell r="B135">
            <v>2020</v>
          </cell>
          <cell r="C135" t="str">
            <v>MT</v>
          </cell>
          <cell r="D135">
            <v>604844</v>
          </cell>
          <cell r="E135">
            <v>5379965</v>
          </cell>
          <cell r="F135">
            <v>522382</v>
          </cell>
          <cell r="G135">
            <v>11.24</v>
          </cell>
          <cell r="H135">
            <v>494421</v>
          </cell>
          <cell r="I135">
            <v>4702353</v>
          </cell>
          <cell r="J135">
            <v>110977</v>
          </cell>
          <cell r="K135">
            <v>10.51</v>
          </cell>
          <cell r="L135">
            <v>232985</v>
          </cell>
          <cell r="M135">
            <v>4501861</v>
          </cell>
          <cell r="N135">
            <v>11414</v>
          </cell>
          <cell r="O135">
            <v>5.18</v>
          </cell>
          <cell r="P135">
            <v>0</v>
          </cell>
          <cell r="Q135">
            <v>0</v>
          </cell>
          <cell r="R135">
            <v>0</v>
          </cell>
          <cell r="S135">
            <v>0</v>
          </cell>
          <cell r="T135">
            <v>1332250</v>
          </cell>
          <cell r="U135">
            <v>14584179</v>
          </cell>
          <cell r="V135">
            <v>644773</v>
          </cell>
          <cell r="W135">
            <v>9.1300000000000008</v>
          </cell>
        </row>
        <row r="136">
          <cell r="A136" t="str">
            <v>2020NC</v>
          </cell>
          <cell r="B136">
            <v>2020</v>
          </cell>
          <cell r="C136" t="str">
            <v>NC</v>
          </cell>
          <cell r="D136">
            <v>6672919</v>
          </cell>
          <cell r="E136">
            <v>58641572</v>
          </cell>
          <cell r="F136">
            <v>4695096</v>
          </cell>
          <cell r="G136">
            <v>11.38</v>
          </cell>
          <cell r="H136">
            <v>3989150</v>
          </cell>
          <cell r="I136">
            <v>45905051</v>
          </cell>
          <cell r="J136">
            <v>710220</v>
          </cell>
          <cell r="K136">
            <v>8.69</v>
          </cell>
          <cell r="L136">
            <v>1630155</v>
          </cell>
          <cell r="M136">
            <v>25828233</v>
          </cell>
          <cell r="N136">
            <v>9822</v>
          </cell>
          <cell r="O136">
            <v>6.31</v>
          </cell>
          <cell r="P136">
            <v>1236</v>
          </cell>
          <cell r="Q136">
            <v>16124</v>
          </cell>
          <cell r="R136">
            <v>1</v>
          </cell>
          <cell r="S136">
            <v>7.67</v>
          </cell>
          <cell r="T136">
            <v>12293460</v>
          </cell>
          <cell r="U136">
            <v>130390980</v>
          </cell>
          <cell r="V136">
            <v>5415139</v>
          </cell>
          <cell r="W136">
            <v>9.43</v>
          </cell>
        </row>
        <row r="137">
          <cell r="A137" t="str">
            <v>2020ND</v>
          </cell>
          <cell r="B137">
            <v>2020</v>
          </cell>
          <cell r="C137" t="str">
            <v>ND</v>
          </cell>
          <cell r="D137">
            <v>526673</v>
          </cell>
          <cell r="E137">
            <v>5046551</v>
          </cell>
          <cell r="F137">
            <v>387506</v>
          </cell>
          <cell r="G137">
            <v>10.44</v>
          </cell>
          <cell r="H137">
            <v>598966</v>
          </cell>
          <cell r="I137">
            <v>6641700</v>
          </cell>
          <cell r="J137">
            <v>76834</v>
          </cell>
          <cell r="K137">
            <v>9.02</v>
          </cell>
          <cell r="L137">
            <v>735791</v>
          </cell>
          <cell r="M137">
            <v>10131201</v>
          </cell>
          <cell r="N137">
            <v>8933</v>
          </cell>
          <cell r="O137">
            <v>7.26</v>
          </cell>
          <cell r="P137">
            <v>0</v>
          </cell>
          <cell r="Q137">
            <v>0</v>
          </cell>
          <cell r="R137">
            <v>0</v>
          </cell>
          <cell r="S137">
            <v>0</v>
          </cell>
          <cell r="T137">
            <v>1861430</v>
          </cell>
          <cell r="U137">
            <v>21819452</v>
          </cell>
          <cell r="V137">
            <v>473273</v>
          </cell>
          <cell r="W137">
            <v>8.5299999999999994</v>
          </cell>
        </row>
        <row r="138">
          <cell r="A138" t="str">
            <v>2020NE</v>
          </cell>
          <cell r="B138">
            <v>2020</v>
          </cell>
          <cell r="C138" t="str">
            <v>NE</v>
          </cell>
          <cell r="D138">
            <v>1135271</v>
          </cell>
          <cell r="E138">
            <v>10514944</v>
          </cell>
          <cell r="F138">
            <v>864842</v>
          </cell>
          <cell r="G138">
            <v>10.8</v>
          </cell>
          <cell r="H138">
            <v>807988</v>
          </cell>
          <cell r="I138">
            <v>9090239</v>
          </cell>
          <cell r="J138">
            <v>155282</v>
          </cell>
          <cell r="K138">
            <v>8.89</v>
          </cell>
          <cell r="L138">
            <v>853740</v>
          </cell>
          <cell r="M138">
            <v>11566353</v>
          </cell>
          <cell r="N138">
            <v>62716</v>
          </cell>
          <cell r="O138">
            <v>7.38</v>
          </cell>
          <cell r="P138">
            <v>0</v>
          </cell>
          <cell r="Q138">
            <v>0</v>
          </cell>
          <cell r="R138">
            <v>0</v>
          </cell>
          <cell r="S138">
            <v>0</v>
          </cell>
          <cell r="T138">
            <v>2796999</v>
          </cell>
          <cell r="U138">
            <v>31171536</v>
          </cell>
          <cell r="V138">
            <v>1082840</v>
          </cell>
          <cell r="W138">
            <v>8.9700000000000006</v>
          </cell>
        </row>
        <row r="139">
          <cell r="A139" t="str">
            <v>2020NH</v>
          </cell>
          <cell r="B139">
            <v>2020</v>
          </cell>
          <cell r="C139" t="str">
            <v>NH</v>
          </cell>
          <cell r="D139">
            <v>911967</v>
          </cell>
          <cell r="E139">
            <v>4790374</v>
          </cell>
          <cell r="F139">
            <v>633234</v>
          </cell>
          <cell r="G139">
            <v>19.04</v>
          </cell>
          <cell r="H139">
            <v>621042</v>
          </cell>
          <cell r="I139">
            <v>4029709</v>
          </cell>
          <cell r="J139">
            <v>109068</v>
          </cell>
          <cell r="K139">
            <v>15.41</v>
          </cell>
          <cell r="L139">
            <v>245652</v>
          </cell>
          <cell r="M139">
            <v>1873446</v>
          </cell>
          <cell r="N139">
            <v>3180</v>
          </cell>
          <cell r="O139">
            <v>13.11</v>
          </cell>
          <cell r="P139">
            <v>0</v>
          </cell>
          <cell r="Q139">
            <v>0</v>
          </cell>
          <cell r="R139">
            <v>0</v>
          </cell>
          <cell r="S139">
            <v>0</v>
          </cell>
          <cell r="T139">
            <v>1778660</v>
          </cell>
          <cell r="U139">
            <v>10693529</v>
          </cell>
          <cell r="V139">
            <v>745482</v>
          </cell>
          <cell r="W139">
            <v>16.63</v>
          </cell>
        </row>
        <row r="140">
          <cell r="A140" t="str">
            <v>2020NJ</v>
          </cell>
          <cell r="B140">
            <v>2020</v>
          </cell>
          <cell r="C140" t="str">
            <v>NJ</v>
          </cell>
          <cell r="D140">
            <v>4756754</v>
          </cell>
          <cell r="E140">
            <v>29676857</v>
          </cell>
          <cell r="F140">
            <v>3618587</v>
          </cell>
          <cell r="G140">
            <v>16.03</v>
          </cell>
          <cell r="H140">
            <v>4360716</v>
          </cell>
          <cell r="I140">
            <v>35315617</v>
          </cell>
          <cell r="J140">
            <v>526725</v>
          </cell>
          <cell r="K140">
            <v>12.35</v>
          </cell>
          <cell r="L140">
            <v>674041</v>
          </cell>
          <cell r="M140">
            <v>6735377</v>
          </cell>
          <cell r="N140">
            <v>11629</v>
          </cell>
          <cell r="O140">
            <v>10.01</v>
          </cell>
          <cell r="P140">
            <v>24836</v>
          </cell>
          <cell r="Q140">
            <v>270370</v>
          </cell>
          <cell r="R140">
            <v>6</v>
          </cell>
          <cell r="S140">
            <v>9.19</v>
          </cell>
          <cell r="T140">
            <v>9816347</v>
          </cell>
          <cell r="U140">
            <v>71998221</v>
          </cell>
          <cell r="V140">
            <v>4156947</v>
          </cell>
          <cell r="W140">
            <v>13.63</v>
          </cell>
        </row>
        <row r="141">
          <cell r="A141" t="str">
            <v>2020NM</v>
          </cell>
          <cell r="B141">
            <v>2020</v>
          </cell>
          <cell r="C141" t="str">
            <v>NM</v>
          </cell>
          <cell r="D141">
            <v>942023</v>
          </cell>
          <cell r="E141">
            <v>7282079</v>
          </cell>
          <cell r="F141">
            <v>905885</v>
          </cell>
          <cell r="G141">
            <v>12.94</v>
          </cell>
          <cell r="H141">
            <v>863824</v>
          </cell>
          <cell r="I141">
            <v>8406884</v>
          </cell>
          <cell r="J141">
            <v>145459</v>
          </cell>
          <cell r="K141">
            <v>10.28</v>
          </cell>
          <cell r="L141">
            <v>507044</v>
          </cell>
          <cell r="M141">
            <v>9088192</v>
          </cell>
          <cell r="N141">
            <v>9436</v>
          </cell>
          <cell r="O141">
            <v>5.58</v>
          </cell>
          <cell r="P141">
            <v>0</v>
          </cell>
          <cell r="Q141">
            <v>0</v>
          </cell>
          <cell r="R141">
            <v>0</v>
          </cell>
          <cell r="S141">
            <v>0</v>
          </cell>
          <cell r="T141">
            <v>2312891</v>
          </cell>
          <cell r="U141">
            <v>24777155</v>
          </cell>
          <cell r="V141">
            <v>1060780</v>
          </cell>
          <cell r="W141">
            <v>9.33</v>
          </cell>
        </row>
        <row r="142">
          <cell r="A142" t="str">
            <v>2020NV</v>
          </cell>
          <cell r="B142">
            <v>2020</v>
          </cell>
          <cell r="C142" t="str">
            <v>NV</v>
          </cell>
          <cell r="D142">
            <v>1624395</v>
          </cell>
          <cell r="E142">
            <v>14321607</v>
          </cell>
          <cell r="F142">
            <v>1226566</v>
          </cell>
          <cell r="G142">
            <v>11.34</v>
          </cell>
          <cell r="H142">
            <v>892503</v>
          </cell>
          <cell r="I142">
            <v>11983740</v>
          </cell>
          <cell r="J142">
            <v>169743</v>
          </cell>
          <cell r="K142">
            <v>7.45</v>
          </cell>
          <cell r="L142">
            <v>669293</v>
          </cell>
          <cell r="M142">
            <v>11924592</v>
          </cell>
          <cell r="N142">
            <v>3316</v>
          </cell>
          <cell r="O142">
            <v>5.61</v>
          </cell>
          <cell r="P142">
            <v>350</v>
          </cell>
          <cell r="Q142">
            <v>3960</v>
          </cell>
          <cell r="R142">
            <v>1</v>
          </cell>
          <cell r="S142">
            <v>8.84</v>
          </cell>
          <cell r="T142">
            <v>3186540</v>
          </cell>
          <cell r="U142">
            <v>38233899</v>
          </cell>
          <cell r="V142">
            <v>1399626</v>
          </cell>
          <cell r="W142">
            <v>8.33</v>
          </cell>
        </row>
        <row r="143">
          <cell r="A143" t="str">
            <v>2020NY</v>
          </cell>
          <cell r="B143">
            <v>2020</v>
          </cell>
          <cell r="C143" t="str">
            <v>NY</v>
          </cell>
          <cell r="D143">
            <v>9596805</v>
          </cell>
          <cell r="E143">
            <v>52257144</v>
          </cell>
          <cell r="F143">
            <v>7239162</v>
          </cell>
          <cell r="G143">
            <v>18.36</v>
          </cell>
          <cell r="H143">
            <v>10044876</v>
          </cell>
          <cell r="I143">
            <v>68988817</v>
          </cell>
          <cell r="J143">
            <v>1143347</v>
          </cell>
          <cell r="K143">
            <v>14.56</v>
          </cell>
          <cell r="L143">
            <v>920958</v>
          </cell>
          <cell r="M143">
            <v>16610457</v>
          </cell>
          <cell r="N143">
            <v>7535</v>
          </cell>
          <cell r="O143">
            <v>5.54</v>
          </cell>
          <cell r="P143">
            <v>309509</v>
          </cell>
          <cell r="Q143">
            <v>2550214</v>
          </cell>
          <cell r="R143">
            <v>8</v>
          </cell>
          <cell r="S143">
            <v>12.14</v>
          </cell>
          <cell r="T143">
            <v>20872148</v>
          </cell>
          <cell r="U143">
            <v>140406632</v>
          </cell>
          <cell r="V143">
            <v>8390052</v>
          </cell>
          <cell r="W143">
            <v>14.87</v>
          </cell>
        </row>
        <row r="144">
          <cell r="A144" t="str">
            <v>2020OH</v>
          </cell>
          <cell r="B144">
            <v>2020</v>
          </cell>
          <cell r="C144" t="str">
            <v>OH</v>
          </cell>
          <cell r="D144">
            <v>6457167</v>
          </cell>
          <cell r="E144">
            <v>52552770</v>
          </cell>
          <cell r="F144">
            <v>5014959</v>
          </cell>
          <cell r="G144">
            <v>12.29</v>
          </cell>
          <cell r="H144">
            <v>4116142</v>
          </cell>
          <cell r="I144">
            <v>43204165</v>
          </cell>
          <cell r="J144">
            <v>636519</v>
          </cell>
          <cell r="K144">
            <v>9.5299999999999994</v>
          </cell>
          <cell r="L144">
            <v>2884078</v>
          </cell>
          <cell r="M144">
            <v>46823365</v>
          </cell>
          <cell r="N144">
            <v>19746</v>
          </cell>
          <cell r="O144">
            <v>6.16</v>
          </cell>
          <cell r="P144">
            <v>2342</v>
          </cell>
          <cell r="Q144">
            <v>34899</v>
          </cell>
          <cell r="R144">
            <v>3</v>
          </cell>
          <cell r="S144">
            <v>6.71</v>
          </cell>
          <cell r="T144">
            <v>13459729</v>
          </cell>
          <cell r="U144">
            <v>142615199</v>
          </cell>
          <cell r="V144">
            <v>5671227</v>
          </cell>
          <cell r="W144">
            <v>9.44</v>
          </cell>
        </row>
        <row r="145">
          <cell r="A145" t="str">
            <v>2020OK</v>
          </cell>
          <cell r="B145">
            <v>2020</v>
          </cell>
          <cell r="C145" t="str">
            <v>OK</v>
          </cell>
          <cell r="D145">
            <v>2350122</v>
          </cell>
          <cell r="E145">
            <v>23232473</v>
          </cell>
          <cell r="F145">
            <v>1795629</v>
          </cell>
          <cell r="G145">
            <v>10.119999999999999</v>
          </cell>
          <cell r="H145">
            <v>1463053</v>
          </cell>
          <cell r="I145">
            <v>18698988</v>
          </cell>
          <cell r="J145">
            <v>290192</v>
          </cell>
          <cell r="K145">
            <v>7.82</v>
          </cell>
          <cell r="L145">
            <v>938950</v>
          </cell>
          <cell r="M145">
            <v>20367844</v>
          </cell>
          <cell r="N145">
            <v>20468</v>
          </cell>
          <cell r="O145">
            <v>4.6100000000000003</v>
          </cell>
          <cell r="P145">
            <v>0</v>
          </cell>
          <cell r="Q145">
            <v>0</v>
          </cell>
          <cell r="R145">
            <v>0</v>
          </cell>
          <cell r="S145">
            <v>0</v>
          </cell>
          <cell r="T145">
            <v>4752124</v>
          </cell>
          <cell r="U145">
            <v>62299305</v>
          </cell>
          <cell r="V145">
            <v>2106289</v>
          </cell>
          <cell r="W145">
            <v>7.63</v>
          </cell>
        </row>
        <row r="146">
          <cell r="A146" t="str">
            <v>2020OR</v>
          </cell>
          <cell r="B146">
            <v>2020</v>
          </cell>
          <cell r="C146" t="str">
            <v>OR</v>
          </cell>
          <cell r="D146">
            <v>2191867</v>
          </cell>
          <cell r="E146">
            <v>19628011</v>
          </cell>
          <cell r="F146">
            <v>1785131</v>
          </cell>
          <cell r="G146">
            <v>11.17</v>
          </cell>
          <cell r="H146">
            <v>1417933</v>
          </cell>
          <cell r="I146">
            <v>15748914</v>
          </cell>
          <cell r="J146">
            <v>239645</v>
          </cell>
          <cell r="K146">
            <v>9</v>
          </cell>
          <cell r="L146">
            <v>889561</v>
          </cell>
          <cell r="M146">
            <v>15616782</v>
          </cell>
          <cell r="N146">
            <v>26353</v>
          </cell>
          <cell r="O146">
            <v>5.7</v>
          </cell>
          <cell r="P146">
            <v>2423</v>
          </cell>
          <cell r="Q146">
            <v>25606</v>
          </cell>
          <cell r="R146">
            <v>2</v>
          </cell>
          <cell r="S146">
            <v>9.4600000000000009</v>
          </cell>
          <cell r="T146">
            <v>4501783</v>
          </cell>
          <cell r="U146">
            <v>51019313</v>
          </cell>
          <cell r="V146">
            <v>2051131</v>
          </cell>
          <cell r="W146">
            <v>8.82</v>
          </cell>
        </row>
        <row r="147">
          <cell r="A147" t="str">
            <v>2020PA</v>
          </cell>
          <cell r="B147">
            <v>2020</v>
          </cell>
          <cell r="C147" t="str">
            <v>PA</v>
          </cell>
          <cell r="D147">
            <v>7511991</v>
          </cell>
          <cell r="E147">
            <v>55307093</v>
          </cell>
          <cell r="F147">
            <v>5448109</v>
          </cell>
          <cell r="G147">
            <v>13.58</v>
          </cell>
          <cell r="H147">
            <v>3006398</v>
          </cell>
          <cell r="I147">
            <v>35381006</v>
          </cell>
          <cell r="J147">
            <v>720919</v>
          </cell>
          <cell r="K147">
            <v>8.5</v>
          </cell>
          <cell r="L147">
            <v>2994347</v>
          </cell>
          <cell r="M147">
            <v>48607303</v>
          </cell>
          <cell r="N147">
            <v>15462</v>
          </cell>
          <cell r="O147">
            <v>6.16</v>
          </cell>
          <cell r="P147">
            <v>36505</v>
          </cell>
          <cell r="Q147">
            <v>425435</v>
          </cell>
          <cell r="R147">
            <v>5</v>
          </cell>
          <cell r="S147">
            <v>8.58</v>
          </cell>
          <cell r="T147">
            <v>13549241</v>
          </cell>
          <cell r="U147">
            <v>139720837</v>
          </cell>
          <cell r="V147">
            <v>6184495</v>
          </cell>
          <cell r="W147">
            <v>9.6999999999999993</v>
          </cell>
        </row>
        <row r="148">
          <cell r="A148" t="str">
            <v>2020RI</v>
          </cell>
          <cell r="B148">
            <v>2020</v>
          </cell>
          <cell r="C148" t="str">
            <v>RI</v>
          </cell>
          <cell r="D148">
            <v>692840</v>
          </cell>
          <cell r="E148">
            <v>3148021</v>
          </cell>
          <cell r="F148">
            <v>441573</v>
          </cell>
          <cell r="G148">
            <v>22.01</v>
          </cell>
          <cell r="H148">
            <v>566168</v>
          </cell>
          <cell r="I148">
            <v>3551262</v>
          </cell>
          <cell r="J148">
            <v>60057</v>
          </cell>
          <cell r="K148">
            <v>15.94</v>
          </cell>
          <cell r="L148">
            <v>100013</v>
          </cell>
          <cell r="M148">
            <v>634692</v>
          </cell>
          <cell r="N148">
            <v>1692</v>
          </cell>
          <cell r="O148">
            <v>15.76</v>
          </cell>
          <cell r="P148">
            <v>3905</v>
          </cell>
          <cell r="Q148">
            <v>17566</v>
          </cell>
          <cell r="R148">
            <v>1</v>
          </cell>
          <cell r="S148">
            <v>22.23</v>
          </cell>
          <cell r="T148">
            <v>1362926</v>
          </cell>
          <cell r="U148">
            <v>7351541</v>
          </cell>
          <cell r="V148">
            <v>503323</v>
          </cell>
          <cell r="W148">
            <v>18.54</v>
          </cell>
        </row>
        <row r="149">
          <cell r="A149" t="str">
            <v>2020SC</v>
          </cell>
          <cell r="B149">
            <v>2020</v>
          </cell>
          <cell r="C149" t="str">
            <v>SC</v>
          </cell>
          <cell r="D149">
            <v>3940889</v>
          </cell>
          <cell r="E149">
            <v>30826017</v>
          </cell>
          <cell r="F149">
            <v>2377020</v>
          </cell>
          <cell r="G149">
            <v>12.78</v>
          </cell>
          <cell r="H149">
            <v>2156567</v>
          </cell>
          <cell r="I149">
            <v>20834372</v>
          </cell>
          <cell r="J149">
            <v>395288</v>
          </cell>
          <cell r="K149">
            <v>10.35</v>
          </cell>
          <cell r="L149">
            <v>1499264</v>
          </cell>
          <cell r="M149">
            <v>25076787</v>
          </cell>
          <cell r="N149">
            <v>3714</v>
          </cell>
          <cell r="O149">
            <v>5.98</v>
          </cell>
          <cell r="P149">
            <v>0</v>
          </cell>
          <cell r="Q149">
            <v>0</v>
          </cell>
          <cell r="R149">
            <v>0</v>
          </cell>
          <cell r="S149">
            <v>0</v>
          </cell>
          <cell r="T149">
            <v>7596720</v>
          </cell>
          <cell r="U149">
            <v>76737176</v>
          </cell>
          <cell r="V149">
            <v>2776022</v>
          </cell>
          <cell r="W149">
            <v>9.9</v>
          </cell>
        </row>
        <row r="150">
          <cell r="A150" t="str">
            <v>2020SD</v>
          </cell>
          <cell r="B150">
            <v>2020</v>
          </cell>
          <cell r="C150" t="str">
            <v>SD</v>
          </cell>
          <cell r="D150">
            <v>595509</v>
          </cell>
          <cell r="E150">
            <v>5070024</v>
          </cell>
          <cell r="F150">
            <v>407532</v>
          </cell>
          <cell r="G150">
            <v>11.75</v>
          </cell>
          <cell r="H150">
            <v>453276</v>
          </cell>
          <cell r="I150">
            <v>4696475</v>
          </cell>
          <cell r="J150">
            <v>74236</v>
          </cell>
          <cell r="K150">
            <v>9.65</v>
          </cell>
          <cell r="L150">
            <v>228209</v>
          </cell>
          <cell r="M150">
            <v>2929346</v>
          </cell>
          <cell r="N150">
            <v>4109</v>
          </cell>
          <cell r="O150">
            <v>7.79</v>
          </cell>
          <cell r="P150">
            <v>0</v>
          </cell>
          <cell r="Q150">
            <v>0</v>
          </cell>
          <cell r="R150">
            <v>0</v>
          </cell>
          <cell r="S150">
            <v>0</v>
          </cell>
          <cell r="T150">
            <v>1276994</v>
          </cell>
          <cell r="U150">
            <v>12695845</v>
          </cell>
          <cell r="V150">
            <v>485877</v>
          </cell>
          <cell r="W150">
            <v>10.06</v>
          </cell>
        </row>
        <row r="151">
          <cell r="A151" t="str">
            <v>2020TN</v>
          </cell>
          <cell r="B151">
            <v>2020</v>
          </cell>
          <cell r="C151" t="str">
            <v>TN</v>
          </cell>
          <cell r="D151">
            <v>4420255</v>
          </cell>
          <cell r="E151">
            <v>41084911</v>
          </cell>
          <cell r="F151">
            <v>2930482</v>
          </cell>
          <cell r="G151">
            <v>10.76</v>
          </cell>
          <cell r="H151">
            <v>3535442</v>
          </cell>
          <cell r="I151">
            <v>33480189</v>
          </cell>
          <cell r="J151">
            <v>501589</v>
          </cell>
          <cell r="K151">
            <v>10.56</v>
          </cell>
          <cell r="L151">
            <v>1089955</v>
          </cell>
          <cell r="M151">
            <v>20438788</v>
          </cell>
          <cell r="N151">
            <v>1015</v>
          </cell>
          <cell r="O151">
            <v>5.33</v>
          </cell>
          <cell r="P151">
            <v>0</v>
          </cell>
          <cell r="Q151">
            <v>0</v>
          </cell>
          <cell r="R151">
            <v>0</v>
          </cell>
          <cell r="S151">
            <v>0</v>
          </cell>
          <cell r="T151">
            <v>9045652</v>
          </cell>
          <cell r="U151">
            <v>95003888</v>
          </cell>
          <cell r="V151">
            <v>3433086</v>
          </cell>
          <cell r="W151">
            <v>9.52</v>
          </cell>
        </row>
        <row r="152">
          <cell r="A152" t="str">
            <v>2020TX</v>
          </cell>
          <cell r="B152">
            <v>2020</v>
          </cell>
          <cell r="C152" t="str">
            <v>TX</v>
          </cell>
          <cell r="D152">
            <v>18322011</v>
          </cell>
          <cell r="E152">
            <v>156414819</v>
          </cell>
          <cell r="F152">
            <v>11515333</v>
          </cell>
          <cell r="G152">
            <v>11.71</v>
          </cell>
          <cell r="H152">
            <v>11030926</v>
          </cell>
          <cell r="I152">
            <v>145167577</v>
          </cell>
          <cell r="J152">
            <v>1539553</v>
          </cell>
          <cell r="K152">
            <v>7.6</v>
          </cell>
          <cell r="L152">
            <v>6341506</v>
          </cell>
          <cell r="M152">
            <v>125107209</v>
          </cell>
          <cell r="N152">
            <v>264126</v>
          </cell>
          <cell r="O152">
            <v>5.07</v>
          </cell>
          <cell r="P152">
            <v>11314</v>
          </cell>
          <cell r="Q152">
            <v>173662</v>
          </cell>
          <cell r="R152">
            <v>3</v>
          </cell>
          <cell r="S152">
            <v>6.52</v>
          </cell>
          <cell r="T152">
            <v>35705757</v>
          </cell>
          <cell r="U152">
            <v>426863267</v>
          </cell>
          <cell r="V152">
            <v>13319015</v>
          </cell>
          <cell r="W152">
            <v>8.36</v>
          </cell>
        </row>
        <row r="153">
          <cell r="A153" t="str">
            <v>2020UT</v>
          </cell>
          <cell r="B153">
            <v>2020</v>
          </cell>
          <cell r="C153" t="str">
            <v>UT</v>
          </cell>
          <cell r="D153">
            <v>1100682</v>
          </cell>
          <cell r="E153">
            <v>10546793</v>
          </cell>
          <cell r="F153">
            <v>1143136</v>
          </cell>
          <cell r="G153">
            <v>10.44</v>
          </cell>
          <cell r="H153">
            <v>942516</v>
          </cell>
          <cell r="I153">
            <v>11395032</v>
          </cell>
          <cell r="J153">
            <v>135113</v>
          </cell>
          <cell r="K153">
            <v>8.27</v>
          </cell>
          <cell r="L153">
            <v>570991</v>
          </cell>
          <cell r="M153">
            <v>9672119</v>
          </cell>
          <cell r="N153">
            <v>11001</v>
          </cell>
          <cell r="O153">
            <v>5.9</v>
          </cell>
          <cell r="P153">
            <v>5263</v>
          </cell>
          <cell r="Q153">
            <v>49213</v>
          </cell>
          <cell r="R153">
            <v>1</v>
          </cell>
          <cell r="S153">
            <v>10.69</v>
          </cell>
          <cell r="T153">
            <v>2619452</v>
          </cell>
          <cell r="U153">
            <v>31663157</v>
          </cell>
          <cell r="V153">
            <v>1289251</v>
          </cell>
          <cell r="W153">
            <v>8.27</v>
          </cell>
        </row>
        <row r="154">
          <cell r="A154" t="str">
            <v>2020VA</v>
          </cell>
          <cell r="B154">
            <v>2020</v>
          </cell>
          <cell r="C154" t="str">
            <v>VA</v>
          </cell>
          <cell r="D154">
            <v>5542948</v>
          </cell>
          <cell r="E154">
            <v>46088846</v>
          </cell>
          <cell r="F154">
            <v>3506844</v>
          </cell>
          <cell r="G154">
            <v>12.03</v>
          </cell>
          <cell r="H154">
            <v>4085686</v>
          </cell>
          <cell r="I154">
            <v>53526846</v>
          </cell>
          <cell r="J154">
            <v>437477</v>
          </cell>
          <cell r="K154">
            <v>7.63</v>
          </cell>
          <cell r="L154">
            <v>1096748</v>
          </cell>
          <cell r="M154">
            <v>17474236</v>
          </cell>
          <cell r="N154">
            <v>3693</v>
          </cell>
          <cell r="O154">
            <v>6.28</v>
          </cell>
          <cell r="P154">
            <v>14431</v>
          </cell>
          <cell r="Q154">
            <v>164460</v>
          </cell>
          <cell r="R154">
            <v>1</v>
          </cell>
          <cell r="S154">
            <v>8.77</v>
          </cell>
          <cell r="T154">
            <v>10739813</v>
          </cell>
          <cell r="U154">
            <v>117254388</v>
          </cell>
          <cell r="V154">
            <v>3948015</v>
          </cell>
          <cell r="W154">
            <v>9.16</v>
          </cell>
        </row>
        <row r="155">
          <cell r="A155" t="str">
            <v>2020VT</v>
          </cell>
          <cell r="B155">
            <v>2020</v>
          </cell>
          <cell r="C155" t="str">
            <v>VT</v>
          </cell>
          <cell r="D155">
            <v>421376</v>
          </cell>
          <cell r="E155">
            <v>2157001</v>
          </cell>
          <cell r="F155">
            <v>316948</v>
          </cell>
          <cell r="G155">
            <v>19.54</v>
          </cell>
          <cell r="H155">
            <v>295914</v>
          </cell>
          <cell r="I155">
            <v>1805738</v>
          </cell>
          <cell r="J155">
            <v>59554</v>
          </cell>
          <cell r="K155">
            <v>16.39</v>
          </cell>
          <cell r="L155">
            <v>153298</v>
          </cell>
          <cell r="M155">
            <v>1368719</v>
          </cell>
          <cell r="N155">
            <v>252</v>
          </cell>
          <cell r="O155">
            <v>11.2</v>
          </cell>
          <cell r="P155">
            <v>0</v>
          </cell>
          <cell r="Q155">
            <v>0</v>
          </cell>
          <cell r="R155">
            <v>0</v>
          </cell>
          <cell r="S155">
            <v>0</v>
          </cell>
          <cell r="T155">
            <v>870587</v>
          </cell>
          <cell r="U155">
            <v>5331458</v>
          </cell>
          <cell r="V155">
            <v>376754</v>
          </cell>
          <cell r="W155">
            <v>16.329999999999998</v>
          </cell>
        </row>
        <row r="156">
          <cell r="A156" t="str">
            <v>2020WA</v>
          </cell>
          <cell r="B156">
            <v>2020</v>
          </cell>
          <cell r="C156" t="str">
            <v>WA</v>
          </cell>
          <cell r="D156">
            <v>3639303</v>
          </cell>
          <cell r="E156">
            <v>36858798</v>
          </cell>
          <cell r="F156">
            <v>3168238</v>
          </cell>
          <cell r="G156">
            <v>9.8699999999999992</v>
          </cell>
          <cell r="H156">
            <v>2436452</v>
          </cell>
          <cell r="I156">
            <v>27307412</v>
          </cell>
          <cell r="J156">
            <v>389802</v>
          </cell>
          <cell r="K156">
            <v>8.92</v>
          </cell>
          <cell r="L156">
            <v>1140241</v>
          </cell>
          <cell r="M156">
            <v>22442186</v>
          </cell>
          <cell r="N156">
            <v>26741</v>
          </cell>
          <cell r="O156">
            <v>5.08</v>
          </cell>
          <cell r="P156">
            <v>9708</v>
          </cell>
          <cell r="Q156">
            <v>97748</v>
          </cell>
          <cell r="R156">
            <v>5</v>
          </cell>
          <cell r="S156">
            <v>9.93</v>
          </cell>
          <cell r="T156">
            <v>7225703</v>
          </cell>
          <cell r="U156">
            <v>86706144</v>
          </cell>
          <cell r="V156">
            <v>3584786</v>
          </cell>
          <cell r="W156">
            <v>8.33</v>
          </cell>
        </row>
        <row r="157">
          <cell r="A157" t="str">
            <v>2020WI</v>
          </cell>
          <cell r="B157">
            <v>2020</v>
          </cell>
          <cell r="C157" t="str">
            <v>WI</v>
          </cell>
          <cell r="D157">
            <v>3271758</v>
          </cell>
          <cell r="E157">
            <v>22846734</v>
          </cell>
          <cell r="F157">
            <v>2742424</v>
          </cell>
          <cell r="G157">
            <v>14.32</v>
          </cell>
          <cell r="H157">
            <v>2412932</v>
          </cell>
          <cell r="I157">
            <v>22436275</v>
          </cell>
          <cell r="J157">
            <v>360316</v>
          </cell>
          <cell r="K157">
            <v>10.75</v>
          </cell>
          <cell r="L157">
            <v>1615656</v>
          </cell>
          <cell r="M157">
            <v>22164389</v>
          </cell>
          <cell r="N157">
            <v>5621</v>
          </cell>
          <cell r="O157">
            <v>7.29</v>
          </cell>
          <cell r="P157">
            <v>141</v>
          </cell>
          <cell r="Q157">
            <v>963</v>
          </cell>
          <cell r="R157">
            <v>2</v>
          </cell>
          <cell r="S157">
            <v>14.64</v>
          </cell>
          <cell r="T157">
            <v>7300487</v>
          </cell>
          <cell r="U157">
            <v>67448361</v>
          </cell>
          <cell r="V157">
            <v>3108363</v>
          </cell>
          <cell r="W157">
            <v>10.82</v>
          </cell>
        </row>
        <row r="158">
          <cell r="A158" t="str">
            <v>2020WV</v>
          </cell>
          <cell r="B158">
            <v>2020</v>
          </cell>
          <cell r="C158" t="str">
            <v>WV</v>
          </cell>
          <cell r="D158">
            <v>1283976</v>
          </cell>
          <cell r="E158">
            <v>10877499</v>
          </cell>
          <cell r="F158">
            <v>862279</v>
          </cell>
          <cell r="G158">
            <v>11.8</v>
          </cell>
          <cell r="H158">
            <v>654036</v>
          </cell>
          <cell r="I158">
            <v>6955844</v>
          </cell>
          <cell r="J158">
            <v>146769</v>
          </cell>
          <cell r="K158">
            <v>9.4</v>
          </cell>
          <cell r="L158">
            <v>867943</v>
          </cell>
          <cell r="M158">
            <v>14243240</v>
          </cell>
          <cell r="N158">
            <v>11444</v>
          </cell>
          <cell r="O158">
            <v>6.09</v>
          </cell>
          <cell r="P158">
            <v>0</v>
          </cell>
          <cell r="Q158">
            <v>0</v>
          </cell>
          <cell r="R158">
            <v>0</v>
          </cell>
          <cell r="S158">
            <v>0</v>
          </cell>
          <cell r="T158">
            <v>2805954</v>
          </cell>
          <cell r="U158">
            <v>32076583</v>
          </cell>
          <cell r="V158">
            <v>1020492</v>
          </cell>
          <cell r="W158">
            <v>8.75</v>
          </cell>
        </row>
        <row r="159">
          <cell r="A159" t="str">
            <v>2020WY</v>
          </cell>
          <cell r="B159">
            <v>2020</v>
          </cell>
          <cell r="C159" t="str">
            <v>WY</v>
          </cell>
          <cell r="D159">
            <v>319940</v>
          </cell>
          <cell r="E159">
            <v>2879528</v>
          </cell>
          <cell r="F159">
            <v>276029</v>
          </cell>
          <cell r="G159">
            <v>11.11</v>
          </cell>
          <cell r="H159">
            <v>320504</v>
          </cell>
          <cell r="I159">
            <v>3320024</v>
          </cell>
          <cell r="J159">
            <v>57958</v>
          </cell>
          <cell r="K159">
            <v>9.65</v>
          </cell>
          <cell r="L159">
            <v>628104</v>
          </cell>
          <cell r="M159">
            <v>9131466</v>
          </cell>
          <cell r="N159">
            <v>11334</v>
          </cell>
          <cell r="O159">
            <v>6.88</v>
          </cell>
          <cell r="P159">
            <v>0</v>
          </cell>
          <cell r="Q159">
            <v>0</v>
          </cell>
          <cell r="R159">
            <v>0</v>
          </cell>
          <cell r="S159">
            <v>0</v>
          </cell>
          <cell r="T159">
            <v>1268548</v>
          </cell>
          <cell r="U159">
            <v>15331018</v>
          </cell>
          <cell r="V159">
            <v>345321</v>
          </cell>
          <cell r="W159">
            <v>8.27</v>
          </cell>
        </row>
        <row r="160">
          <cell r="A160" t="str">
            <v>2020US</v>
          </cell>
          <cell r="B160">
            <v>2020</v>
          </cell>
          <cell r="C160" t="str">
            <v>US</v>
          </cell>
          <cell r="D160">
            <v>192663208</v>
          </cell>
          <cell r="E160">
            <v>1464605046</v>
          </cell>
          <cell r="F160">
            <v>136682001</v>
          </cell>
          <cell r="G160">
            <v>13.15</v>
          </cell>
          <cell r="H160">
            <v>136372272</v>
          </cell>
          <cell r="I160">
            <v>1287439583</v>
          </cell>
          <cell r="J160">
            <v>18848813</v>
          </cell>
          <cell r="K160">
            <v>10.59</v>
          </cell>
          <cell r="L160">
            <v>63955556</v>
          </cell>
          <cell r="M160">
            <v>959082028</v>
          </cell>
          <cell r="N160">
            <v>992311</v>
          </cell>
          <cell r="O160">
            <v>6.67</v>
          </cell>
          <cell r="P160">
            <v>648385</v>
          </cell>
          <cell r="Q160">
            <v>6547824</v>
          </cell>
          <cell r="R160">
            <v>83</v>
          </cell>
          <cell r="S160">
            <v>9.9</v>
          </cell>
          <cell r="T160">
            <v>393639421</v>
          </cell>
          <cell r="U160">
            <v>3717674481</v>
          </cell>
          <cell r="V160">
            <v>156523208</v>
          </cell>
          <cell r="W160">
            <v>10.59</v>
          </cell>
        </row>
        <row r="161">
          <cell r="A161" t="str">
            <v>2019AK</v>
          </cell>
          <cell r="B161">
            <v>2019</v>
          </cell>
          <cell r="C161" t="str">
            <v>AK</v>
          </cell>
          <cell r="D161">
            <v>441887</v>
          </cell>
          <cell r="E161">
            <v>1928208</v>
          </cell>
          <cell r="F161">
            <v>289290</v>
          </cell>
          <cell r="G161">
            <v>22.92</v>
          </cell>
          <cell r="H161">
            <v>522388</v>
          </cell>
          <cell r="I161">
            <v>2638846</v>
          </cell>
          <cell r="J161">
            <v>55080</v>
          </cell>
          <cell r="K161">
            <v>19.8</v>
          </cell>
          <cell r="L161">
            <v>212081</v>
          </cell>
          <cell r="M161">
            <v>1251751</v>
          </cell>
          <cell r="N161">
            <v>1126</v>
          </cell>
          <cell r="O161">
            <v>16.940000000000001</v>
          </cell>
          <cell r="P161">
            <v>0</v>
          </cell>
          <cell r="Q161">
            <v>0</v>
          </cell>
          <cell r="R161">
            <v>0</v>
          </cell>
          <cell r="S161">
            <v>0</v>
          </cell>
          <cell r="T161">
            <v>1176356</v>
          </cell>
          <cell r="U161">
            <v>5818805</v>
          </cell>
          <cell r="V161">
            <v>345496</v>
          </cell>
          <cell r="W161">
            <v>20.22</v>
          </cell>
        </row>
        <row r="162">
          <cell r="A162" t="str">
            <v>2019AL</v>
          </cell>
          <cell r="B162">
            <v>2019</v>
          </cell>
          <cell r="C162" t="str">
            <v>AL</v>
          </cell>
          <cell r="D162">
            <v>4061182</v>
          </cell>
          <cell r="E162">
            <v>32415646</v>
          </cell>
          <cell r="F162">
            <v>2249425</v>
          </cell>
          <cell r="G162">
            <v>12.53</v>
          </cell>
          <cell r="H162">
            <v>2657626</v>
          </cell>
          <cell r="I162">
            <v>23076470</v>
          </cell>
          <cell r="J162">
            <v>369798</v>
          </cell>
          <cell r="K162">
            <v>11.52</v>
          </cell>
          <cell r="L162">
            <v>1939949</v>
          </cell>
          <cell r="M162">
            <v>32602996</v>
          </cell>
          <cell r="N162">
            <v>7245</v>
          </cell>
          <cell r="O162">
            <v>5.95</v>
          </cell>
          <cell r="P162">
            <v>0</v>
          </cell>
          <cell r="Q162">
            <v>0</v>
          </cell>
          <cell r="R162">
            <v>0</v>
          </cell>
          <cell r="S162">
            <v>0</v>
          </cell>
          <cell r="T162">
            <v>8658756</v>
          </cell>
          <cell r="U162">
            <v>88095112</v>
          </cell>
          <cell r="V162">
            <v>2626468</v>
          </cell>
          <cell r="W162">
            <v>9.83</v>
          </cell>
        </row>
        <row r="163">
          <cell r="A163" t="str">
            <v>2019AR</v>
          </cell>
          <cell r="B163">
            <v>2019</v>
          </cell>
          <cell r="C163" t="str">
            <v>AR</v>
          </cell>
          <cell r="D163">
            <v>1834859</v>
          </cell>
          <cell r="E163">
            <v>18732316</v>
          </cell>
          <cell r="F163">
            <v>1396870</v>
          </cell>
          <cell r="G163">
            <v>9.8000000000000007</v>
          </cell>
          <cell r="H163">
            <v>1049648</v>
          </cell>
          <cell r="I163">
            <v>11948689</v>
          </cell>
          <cell r="J163">
            <v>198861</v>
          </cell>
          <cell r="K163">
            <v>8.7799999999999994</v>
          </cell>
          <cell r="L163">
            <v>1067717</v>
          </cell>
          <cell r="M163">
            <v>17411611</v>
          </cell>
          <cell r="N163">
            <v>34864</v>
          </cell>
          <cell r="O163">
            <v>6.13</v>
          </cell>
          <cell r="P163">
            <v>49</v>
          </cell>
          <cell r="Q163">
            <v>416</v>
          </cell>
          <cell r="R163">
            <v>2</v>
          </cell>
          <cell r="S163">
            <v>11.73</v>
          </cell>
          <cell r="T163">
            <v>3952274</v>
          </cell>
          <cell r="U163">
            <v>48093032</v>
          </cell>
          <cell r="V163">
            <v>1630597</v>
          </cell>
          <cell r="W163">
            <v>8.2200000000000006</v>
          </cell>
        </row>
        <row r="164">
          <cell r="A164" t="str">
            <v>2019AZ</v>
          </cell>
          <cell r="B164">
            <v>2019</v>
          </cell>
          <cell r="C164" t="str">
            <v>AZ</v>
          </cell>
          <cell r="D164">
            <v>4317059</v>
          </cell>
          <cell r="E164">
            <v>34720050</v>
          </cell>
          <cell r="F164">
            <v>2853183</v>
          </cell>
          <cell r="G164">
            <v>12.43</v>
          </cell>
          <cell r="H164">
            <v>3013741</v>
          </cell>
          <cell r="I164">
            <v>29415272</v>
          </cell>
          <cell r="J164">
            <v>326191</v>
          </cell>
          <cell r="K164">
            <v>10.25</v>
          </cell>
          <cell r="L164">
            <v>865241</v>
          </cell>
          <cell r="M164">
            <v>13782704</v>
          </cell>
          <cell r="N164">
            <v>7899</v>
          </cell>
          <cell r="O164">
            <v>6.28</v>
          </cell>
          <cell r="P164">
            <v>1079</v>
          </cell>
          <cell r="Q164">
            <v>11144</v>
          </cell>
          <cell r="R164">
            <v>2</v>
          </cell>
          <cell r="S164">
            <v>9.68</v>
          </cell>
          <cell r="T164">
            <v>8197120</v>
          </cell>
          <cell r="U164">
            <v>77929170</v>
          </cell>
          <cell r="V164">
            <v>3187275</v>
          </cell>
          <cell r="W164">
            <v>10.52</v>
          </cell>
        </row>
        <row r="165">
          <cell r="A165" t="str">
            <v>2019CA</v>
          </cell>
          <cell r="B165">
            <v>2019</v>
          </cell>
          <cell r="C165" t="str">
            <v>CA</v>
          </cell>
          <cell r="D165">
            <v>16763780</v>
          </cell>
          <cell r="E165">
            <v>87523987</v>
          </cell>
          <cell r="F165">
            <v>13707126</v>
          </cell>
          <cell r="G165">
            <v>19.149999999999999</v>
          </cell>
          <cell r="H165">
            <v>19052164</v>
          </cell>
          <cell r="I165">
            <v>114279373</v>
          </cell>
          <cell r="J165">
            <v>1718601</v>
          </cell>
          <cell r="K165">
            <v>16.670000000000002</v>
          </cell>
          <cell r="L165">
            <v>6405718</v>
          </cell>
          <cell r="M165">
            <v>47807729</v>
          </cell>
          <cell r="N165">
            <v>147660</v>
          </cell>
          <cell r="O165">
            <v>13.4</v>
          </cell>
          <cell r="P165">
            <v>68402</v>
          </cell>
          <cell r="Q165">
            <v>767621</v>
          </cell>
          <cell r="R165">
            <v>12</v>
          </cell>
          <cell r="S165">
            <v>8.91</v>
          </cell>
          <cell r="T165">
            <v>42290064</v>
          </cell>
          <cell r="U165">
            <v>250378710</v>
          </cell>
          <cell r="V165">
            <v>15573399</v>
          </cell>
          <cell r="W165">
            <v>16.89</v>
          </cell>
        </row>
        <row r="166">
          <cell r="A166" t="str">
            <v>2019CO</v>
          </cell>
          <cell r="B166">
            <v>2019</v>
          </cell>
          <cell r="C166" t="str">
            <v>CO</v>
          </cell>
          <cell r="D166">
            <v>2362565</v>
          </cell>
          <cell r="E166">
            <v>19404743</v>
          </cell>
          <cell r="F166">
            <v>2370164</v>
          </cell>
          <cell r="G166">
            <v>12.18</v>
          </cell>
          <cell r="H166">
            <v>2202661</v>
          </cell>
          <cell r="I166">
            <v>21111259</v>
          </cell>
          <cell r="J166">
            <v>380609</v>
          </cell>
          <cell r="K166">
            <v>10.43</v>
          </cell>
          <cell r="L166">
            <v>1175300</v>
          </cell>
          <cell r="M166">
            <v>15891020</v>
          </cell>
          <cell r="N166">
            <v>14386</v>
          </cell>
          <cell r="O166">
            <v>7.4</v>
          </cell>
          <cell r="P166">
            <v>9905</v>
          </cell>
          <cell r="Q166">
            <v>113801</v>
          </cell>
          <cell r="R166">
            <v>1</v>
          </cell>
          <cell r="S166">
            <v>8.6999999999999993</v>
          </cell>
          <cell r="T166">
            <v>5750431</v>
          </cell>
          <cell r="U166">
            <v>56520823</v>
          </cell>
          <cell r="V166">
            <v>2765160</v>
          </cell>
          <cell r="W166">
            <v>10.17</v>
          </cell>
        </row>
        <row r="167">
          <cell r="A167" t="str">
            <v>2019CT</v>
          </cell>
          <cell r="B167">
            <v>2019</v>
          </cell>
          <cell r="C167" t="str">
            <v>CT</v>
          </cell>
          <cell r="D167">
            <v>2732697</v>
          </cell>
          <cell r="E167">
            <v>12493550</v>
          </cell>
          <cell r="F167">
            <v>1510966</v>
          </cell>
          <cell r="G167">
            <v>21.87</v>
          </cell>
          <cell r="H167">
            <v>2035899</v>
          </cell>
          <cell r="I167">
            <v>12157788</v>
          </cell>
          <cell r="J167">
            <v>151979</v>
          </cell>
          <cell r="K167">
            <v>16.75</v>
          </cell>
          <cell r="L167">
            <v>412704</v>
          </cell>
          <cell r="M167">
            <v>3071792</v>
          </cell>
          <cell r="N167">
            <v>4204</v>
          </cell>
          <cell r="O167">
            <v>13.44</v>
          </cell>
          <cell r="P167">
            <v>24209</v>
          </cell>
          <cell r="Q167">
            <v>176866</v>
          </cell>
          <cell r="R167">
            <v>3</v>
          </cell>
          <cell r="S167">
            <v>13.69</v>
          </cell>
          <cell r="T167">
            <v>5205509</v>
          </cell>
          <cell r="U167">
            <v>27899996</v>
          </cell>
          <cell r="V167">
            <v>1667152</v>
          </cell>
          <cell r="W167">
            <v>18.66</v>
          </cell>
        </row>
        <row r="168">
          <cell r="A168" t="str">
            <v>2019DC</v>
          </cell>
          <cell r="B168">
            <v>2019</v>
          </cell>
          <cell r="C168" t="str">
            <v>DC</v>
          </cell>
          <cell r="D168">
            <v>330687</v>
          </cell>
          <cell r="E168">
            <v>2546920</v>
          </cell>
          <cell r="F168">
            <v>282277</v>
          </cell>
          <cell r="G168">
            <v>12.98</v>
          </cell>
          <cell r="H168">
            <v>974995</v>
          </cell>
          <cell r="I168">
            <v>7952305</v>
          </cell>
          <cell r="J168">
            <v>26471</v>
          </cell>
          <cell r="K168">
            <v>12.26</v>
          </cell>
          <cell r="L168">
            <v>14774</v>
          </cell>
          <cell r="M168">
            <v>179632</v>
          </cell>
          <cell r="N168">
            <v>1</v>
          </cell>
          <cell r="O168">
            <v>8.2200000000000006</v>
          </cell>
          <cell r="P168">
            <v>33199</v>
          </cell>
          <cell r="Q168">
            <v>349546</v>
          </cell>
          <cell r="R168">
            <v>3</v>
          </cell>
          <cell r="S168">
            <v>9.5</v>
          </cell>
          <cell r="T168">
            <v>1353655</v>
          </cell>
          <cell r="U168">
            <v>11028403</v>
          </cell>
          <cell r="V168">
            <v>308752</v>
          </cell>
          <cell r="W168">
            <v>12.27</v>
          </cell>
        </row>
        <row r="169">
          <cell r="A169" t="str">
            <v>2019DE</v>
          </cell>
          <cell r="B169">
            <v>2019</v>
          </cell>
          <cell r="C169" t="str">
            <v>DE</v>
          </cell>
          <cell r="D169">
            <v>627984</v>
          </cell>
          <cell r="E169">
            <v>5004131</v>
          </cell>
          <cell r="F169">
            <v>439167</v>
          </cell>
          <cell r="G169">
            <v>12.55</v>
          </cell>
          <cell r="H169">
            <v>421499</v>
          </cell>
          <cell r="I169">
            <v>4421465</v>
          </cell>
          <cell r="J169">
            <v>55802</v>
          </cell>
          <cell r="K169">
            <v>9.5299999999999994</v>
          </cell>
          <cell r="L169">
            <v>157386</v>
          </cell>
          <cell r="M169">
            <v>2043826</v>
          </cell>
          <cell r="N169">
            <v>865</v>
          </cell>
          <cell r="O169">
            <v>7.7</v>
          </cell>
          <cell r="P169">
            <v>0</v>
          </cell>
          <cell r="Q169">
            <v>0</v>
          </cell>
          <cell r="R169">
            <v>0</v>
          </cell>
          <cell r="S169">
            <v>0</v>
          </cell>
          <cell r="T169">
            <v>1206868</v>
          </cell>
          <cell r="U169">
            <v>11469422</v>
          </cell>
          <cell r="V169">
            <v>495834</v>
          </cell>
          <cell r="W169">
            <v>10.52</v>
          </cell>
        </row>
        <row r="170">
          <cell r="A170" t="str">
            <v>2019FL</v>
          </cell>
          <cell r="B170">
            <v>2019</v>
          </cell>
          <cell r="C170" t="str">
            <v>FL</v>
          </cell>
          <cell r="D170">
            <v>14882751</v>
          </cell>
          <cell r="E170">
            <v>127181551</v>
          </cell>
          <cell r="F170">
            <v>9565846</v>
          </cell>
          <cell r="G170">
            <v>11.7</v>
          </cell>
          <cell r="H170">
            <v>8950252</v>
          </cell>
          <cell r="I170">
            <v>96566532</v>
          </cell>
          <cell r="J170">
            <v>1240902</v>
          </cell>
          <cell r="K170">
            <v>9.27</v>
          </cell>
          <cell r="L170">
            <v>1263326</v>
          </cell>
          <cell r="M170">
            <v>16514482</v>
          </cell>
          <cell r="N170">
            <v>23579</v>
          </cell>
          <cell r="O170">
            <v>7.65</v>
          </cell>
          <cell r="P170">
            <v>7103</v>
          </cell>
          <cell r="Q170">
            <v>85390</v>
          </cell>
          <cell r="R170">
            <v>2</v>
          </cell>
          <cell r="S170">
            <v>8.32</v>
          </cell>
          <cell r="T170">
            <v>25103431</v>
          </cell>
          <cell r="U170">
            <v>240347955</v>
          </cell>
          <cell r="V170">
            <v>10830329</v>
          </cell>
          <cell r="W170">
            <v>10.44</v>
          </cell>
        </row>
        <row r="171">
          <cell r="A171" t="str">
            <v>2019GA</v>
          </cell>
          <cell r="B171">
            <v>2019</v>
          </cell>
          <cell r="C171" t="str">
            <v>GA</v>
          </cell>
          <cell r="D171">
            <v>6979149</v>
          </cell>
          <cell r="E171">
            <v>59331491</v>
          </cell>
          <cell r="F171">
            <v>4411521</v>
          </cell>
          <cell r="G171">
            <v>11.76</v>
          </cell>
          <cell r="H171">
            <v>4751931</v>
          </cell>
          <cell r="I171">
            <v>47411823</v>
          </cell>
          <cell r="J171">
            <v>585573</v>
          </cell>
          <cell r="K171">
            <v>10.02</v>
          </cell>
          <cell r="L171">
            <v>1998924</v>
          </cell>
          <cell r="M171">
            <v>32393384</v>
          </cell>
          <cell r="N171">
            <v>23539</v>
          </cell>
          <cell r="O171">
            <v>6.17</v>
          </cell>
          <cell r="P171">
            <v>9608</v>
          </cell>
          <cell r="Q171">
            <v>164292</v>
          </cell>
          <cell r="R171">
            <v>1</v>
          </cell>
          <cell r="S171">
            <v>5.85</v>
          </cell>
          <cell r="T171">
            <v>13739612</v>
          </cell>
          <cell r="U171">
            <v>139300990</v>
          </cell>
          <cell r="V171">
            <v>5020634</v>
          </cell>
          <cell r="W171">
            <v>9.86</v>
          </cell>
        </row>
        <row r="172">
          <cell r="A172" t="str">
            <v>2019HI</v>
          </cell>
          <cell r="B172">
            <v>2019</v>
          </cell>
          <cell r="C172" t="str">
            <v>HI</v>
          </cell>
          <cell r="D172">
            <v>884847</v>
          </cell>
          <cell r="E172">
            <v>2759774</v>
          </cell>
          <cell r="F172">
            <v>438352</v>
          </cell>
          <cell r="G172">
            <v>32.06</v>
          </cell>
          <cell r="H172">
            <v>893824</v>
          </cell>
          <cell r="I172">
            <v>3057866</v>
          </cell>
          <cell r="J172">
            <v>59878</v>
          </cell>
          <cell r="K172">
            <v>29.23</v>
          </cell>
          <cell r="L172">
            <v>936272</v>
          </cell>
          <cell r="M172">
            <v>3635247</v>
          </cell>
          <cell r="N172">
            <v>823</v>
          </cell>
          <cell r="O172">
            <v>25.76</v>
          </cell>
          <cell r="P172">
            <v>0</v>
          </cell>
          <cell r="Q172">
            <v>0</v>
          </cell>
          <cell r="R172">
            <v>0</v>
          </cell>
          <cell r="S172">
            <v>0</v>
          </cell>
          <cell r="T172">
            <v>2714942</v>
          </cell>
          <cell r="U172">
            <v>9452887</v>
          </cell>
          <cell r="V172">
            <v>499053</v>
          </cell>
          <cell r="W172">
            <v>28.72</v>
          </cell>
        </row>
        <row r="173">
          <cell r="A173" t="str">
            <v>2019IA</v>
          </cell>
          <cell r="B173">
            <v>2019</v>
          </cell>
          <cell r="C173" t="str">
            <v>IA</v>
          </cell>
          <cell r="D173">
            <v>1805899</v>
          </cell>
          <cell r="E173">
            <v>14494821</v>
          </cell>
          <cell r="F173">
            <v>1392979</v>
          </cell>
          <cell r="G173">
            <v>12.46</v>
          </cell>
          <cell r="H173">
            <v>1230296</v>
          </cell>
          <cell r="I173">
            <v>12309610</v>
          </cell>
          <cell r="J173">
            <v>241734</v>
          </cell>
          <cell r="K173">
            <v>9.99</v>
          </cell>
          <cell r="L173">
            <v>1599654</v>
          </cell>
          <cell r="M173">
            <v>24238717</v>
          </cell>
          <cell r="N173">
            <v>8565</v>
          </cell>
          <cell r="O173">
            <v>6.6</v>
          </cell>
          <cell r="P173">
            <v>0</v>
          </cell>
          <cell r="Q173">
            <v>0</v>
          </cell>
          <cell r="R173">
            <v>0</v>
          </cell>
          <cell r="S173">
            <v>0</v>
          </cell>
          <cell r="T173">
            <v>4635849</v>
          </cell>
          <cell r="U173">
            <v>51043148</v>
          </cell>
          <cell r="V173">
            <v>1643278</v>
          </cell>
          <cell r="W173">
            <v>9.08</v>
          </cell>
        </row>
        <row r="174">
          <cell r="A174" t="str">
            <v>2019ID</v>
          </cell>
          <cell r="B174">
            <v>2019</v>
          </cell>
          <cell r="C174" t="str">
            <v>ID</v>
          </cell>
          <cell r="D174">
            <v>860048</v>
          </cell>
          <cell r="E174">
            <v>8696843</v>
          </cell>
          <cell r="F174">
            <v>763841</v>
          </cell>
          <cell r="G174">
            <v>9.89</v>
          </cell>
          <cell r="H174">
            <v>493892</v>
          </cell>
          <cell r="I174">
            <v>6440943</v>
          </cell>
          <cell r="J174">
            <v>112137</v>
          </cell>
          <cell r="K174">
            <v>7.67</v>
          </cell>
          <cell r="L174">
            <v>538026</v>
          </cell>
          <cell r="M174">
            <v>8847489</v>
          </cell>
          <cell r="N174">
            <v>28493</v>
          </cell>
          <cell r="O174">
            <v>6.08</v>
          </cell>
          <cell r="P174">
            <v>0</v>
          </cell>
          <cell r="Q174">
            <v>0</v>
          </cell>
          <cell r="R174">
            <v>0</v>
          </cell>
          <cell r="S174">
            <v>0</v>
          </cell>
          <cell r="T174">
            <v>1891966</v>
          </cell>
          <cell r="U174">
            <v>23985275</v>
          </cell>
          <cell r="V174">
            <v>904471</v>
          </cell>
          <cell r="W174">
            <v>7.89</v>
          </cell>
        </row>
        <row r="175">
          <cell r="A175" t="str">
            <v>2019IL</v>
          </cell>
          <cell r="B175">
            <v>2019</v>
          </cell>
          <cell r="C175" t="str">
            <v>IL</v>
          </cell>
          <cell r="D175">
            <v>5890958</v>
          </cell>
          <cell r="E175">
            <v>45220258</v>
          </cell>
          <cell r="F175">
            <v>5314522</v>
          </cell>
          <cell r="G175">
            <v>13.03</v>
          </cell>
          <cell r="H175">
            <v>4475930</v>
          </cell>
          <cell r="I175">
            <v>49278746</v>
          </cell>
          <cell r="J175">
            <v>622802</v>
          </cell>
          <cell r="K175">
            <v>9.08</v>
          </cell>
          <cell r="L175">
            <v>2821770</v>
          </cell>
          <cell r="M175">
            <v>43250445</v>
          </cell>
          <cell r="N175">
            <v>5737</v>
          </cell>
          <cell r="O175">
            <v>6.52</v>
          </cell>
          <cell r="P175">
            <v>39370</v>
          </cell>
          <cell r="Q175">
            <v>570032</v>
          </cell>
          <cell r="R175">
            <v>3</v>
          </cell>
          <cell r="S175">
            <v>6.91</v>
          </cell>
          <cell r="T175">
            <v>13228027</v>
          </cell>
          <cell r="U175">
            <v>138319481</v>
          </cell>
          <cell r="V175">
            <v>5943064</v>
          </cell>
          <cell r="W175">
            <v>9.56</v>
          </cell>
        </row>
        <row r="176">
          <cell r="A176" t="str">
            <v>2019IN</v>
          </cell>
          <cell r="B176">
            <v>2019</v>
          </cell>
          <cell r="C176" t="str">
            <v>IN</v>
          </cell>
          <cell r="D176">
            <v>4182919</v>
          </cell>
          <cell r="E176">
            <v>33249234</v>
          </cell>
          <cell r="F176">
            <v>2887031</v>
          </cell>
          <cell r="G176">
            <v>12.58</v>
          </cell>
          <cell r="H176">
            <v>2593902</v>
          </cell>
          <cell r="I176">
            <v>23517681</v>
          </cell>
          <cell r="J176">
            <v>358791</v>
          </cell>
          <cell r="K176">
            <v>11.03</v>
          </cell>
          <cell r="L176">
            <v>3334726</v>
          </cell>
          <cell r="M176">
            <v>45316682</v>
          </cell>
          <cell r="N176">
            <v>18805</v>
          </cell>
          <cell r="O176">
            <v>7.36</v>
          </cell>
          <cell r="P176">
            <v>2218</v>
          </cell>
          <cell r="Q176">
            <v>20606</v>
          </cell>
          <cell r="R176">
            <v>1</v>
          </cell>
          <cell r="S176">
            <v>10.76</v>
          </cell>
          <cell r="T176">
            <v>10113765</v>
          </cell>
          <cell r="U176">
            <v>102104203</v>
          </cell>
          <cell r="V176">
            <v>3264628</v>
          </cell>
          <cell r="W176">
            <v>9.91</v>
          </cell>
        </row>
        <row r="177">
          <cell r="A177" t="str">
            <v>2019KS</v>
          </cell>
          <cell r="B177">
            <v>2019</v>
          </cell>
          <cell r="C177" t="str">
            <v>KS</v>
          </cell>
          <cell r="D177">
            <v>1732742</v>
          </cell>
          <cell r="E177">
            <v>13630661</v>
          </cell>
          <cell r="F177">
            <v>1274955</v>
          </cell>
          <cell r="G177">
            <v>12.71</v>
          </cell>
          <cell r="H177">
            <v>1637848</v>
          </cell>
          <cell r="I177">
            <v>15916325</v>
          </cell>
          <cell r="J177">
            <v>235236</v>
          </cell>
          <cell r="K177">
            <v>10.29</v>
          </cell>
          <cell r="L177">
            <v>853134</v>
          </cell>
          <cell r="M177">
            <v>11612642</v>
          </cell>
          <cell r="N177">
            <v>24230</v>
          </cell>
          <cell r="O177">
            <v>7.35</v>
          </cell>
          <cell r="P177">
            <v>0</v>
          </cell>
          <cell r="Q177">
            <v>0</v>
          </cell>
          <cell r="R177">
            <v>0</v>
          </cell>
          <cell r="S177">
            <v>0</v>
          </cell>
          <cell r="T177">
            <v>4223724</v>
          </cell>
          <cell r="U177">
            <v>41159628</v>
          </cell>
          <cell r="V177">
            <v>1534421</v>
          </cell>
          <cell r="W177">
            <v>10.26</v>
          </cell>
        </row>
        <row r="178">
          <cell r="A178" t="str">
            <v>2019KY</v>
          </cell>
          <cell r="B178">
            <v>2019</v>
          </cell>
          <cell r="C178" t="str">
            <v>KY</v>
          </cell>
          <cell r="D178">
            <v>2869131</v>
          </cell>
          <cell r="E178">
            <v>26573076</v>
          </cell>
          <cell r="F178">
            <v>1991137</v>
          </cell>
          <cell r="G178">
            <v>10.8</v>
          </cell>
          <cell r="H178">
            <v>1990820</v>
          </cell>
          <cell r="I178">
            <v>19611510</v>
          </cell>
          <cell r="J178">
            <v>309830</v>
          </cell>
          <cell r="K178">
            <v>10.15</v>
          </cell>
          <cell r="L178">
            <v>1624405</v>
          </cell>
          <cell r="M178">
            <v>29160796</v>
          </cell>
          <cell r="N178">
            <v>6147</v>
          </cell>
          <cell r="O178">
            <v>5.57</v>
          </cell>
          <cell r="P178">
            <v>0</v>
          </cell>
          <cell r="Q178">
            <v>0</v>
          </cell>
          <cell r="R178">
            <v>0</v>
          </cell>
          <cell r="S178">
            <v>0</v>
          </cell>
          <cell r="T178">
            <v>6484356</v>
          </cell>
          <cell r="U178">
            <v>75345382</v>
          </cell>
          <cell r="V178">
            <v>2307114</v>
          </cell>
          <cell r="W178">
            <v>8.61</v>
          </cell>
        </row>
        <row r="179">
          <cell r="A179" t="str">
            <v>2019LA</v>
          </cell>
          <cell r="B179">
            <v>2019</v>
          </cell>
          <cell r="C179" t="str">
            <v>LA</v>
          </cell>
          <cell r="D179">
            <v>3035095</v>
          </cell>
          <cell r="E179">
            <v>30986024</v>
          </cell>
          <cell r="F179">
            <v>2095466</v>
          </cell>
          <cell r="G179">
            <v>9.8000000000000007</v>
          </cell>
          <cell r="H179">
            <v>2163564</v>
          </cell>
          <cell r="I179">
            <v>24284298</v>
          </cell>
          <cell r="J179">
            <v>295153</v>
          </cell>
          <cell r="K179">
            <v>8.91</v>
          </cell>
          <cell r="L179">
            <v>1979112</v>
          </cell>
          <cell r="M179">
            <v>37846317</v>
          </cell>
          <cell r="N179">
            <v>19373</v>
          </cell>
          <cell r="O179">
            <v>5.23</v>
          </cell>
          <cell r="P179">
            <v>1079</v>
          </cell>
          <cell r="Q179">
            <v>11886</v>
          </cell>
          <cell r="R179">
            <v>1</v>
          </cell>
          <cell r="S179">
            <v>9.08</v>
          </cell>
          <cell r="T179">
            <v>7178850</v>
          </cell>
          <cell r="U179">
            <v>93128525</v>
          </cell>
          <cell r="V179">
            <v>2409993</v>
          </cell>
          <cell r="W179">
            <v>7.71</v>
          </cell>
        </row>
        <row r="180">
          <cell r="A180" t="str">
            <v>2019MA</v>
          </cell>
          <cell r="B180">
            <v>2019</v>
          </cell>
          <cell r="C180" t="str">
            <v>MA</v>
          </cell>
          <cell r="D180">
            <v>4233106</v>
          </cell>
          <cell r="E180">
            <v>19314571</v>
          </cell>
          <cell r="F180">
            <v>2802099</v>
          </cell>
          <cell r="G180">
            <v>21.92</v>
          </cell>
          <cell r="H180">
            <v>4255443</v>
          </cell>
          <cell r="I180">
            <v>25336834</v>
          </cell>
          <cell r="J180">
            <v>410995</v>
          </cell>
          <cell r="K180">
            <v>16.8</v>
          </cell>
          <cell r="L180">
            <v>935805</v>
          </cell>
          <cell r="M180">
            <v>6341699</v>
          </cell>
          <cell r="N180">
            <v>11020</v>
          </cell>
          <cell r="O180">
            <v>14.76</v>
          </cell>
          <cell r="P180">
            <v>21138</v>
          </cell>
          <cell r="Q180">
            <v>343494</v>
          </cell>
          <cell r="R180">
            <v>2</v>
          </cell>
          <cell r="S180">
            <v>6.15</v>
          </cell>
          <cell r="T180">
            <v>9445492</v>
          </cell>
          <cell r="U180">
            <v>51336598</v>
          </cell>
          <cell r="V180">
            <v>3224116</v>
          </cell>
          <cell r="W180">
            <v>18.399999999999999</v>
          </cell>
        </row>
        <row r="181">
          <cell r="A181" t="str">
            <v>2019MD</v>
          </cell>
          <cell r="B181">
            <v>2019</v>
          </cell>
          <cell r="C181" t="str">
            <v>MD</v>
          </cell>
          <cell r="D181">
            <v>3611327</v>
          </cell>
          <cell r="E181">
            <v>27533693</v>
          </cell>
          <cell r="F181">
            <v>2352535</v>
          </cell>
          <cell r="G181">
            <v>13.12</v>
          </cell>
          <cell r="H181">
            <v>2879566</v>
          </cell>
          <cell r="I181">
            <v>28893335</v>
          </cell>
          <cell r="J181">
            <v>256165</v>
          </cell>
          <cell r="K181">
            <v>9.9700000000000006</v>
          </cell>
          <cell r="L181">
            <v>290022</v>
          </cell>
          <cell r="M181">
            <v>3718412</v>
          </cell>
          <cell r="N181">
            <v>8935</v>
          </cell>
          <cell r="O181">
            <v>7.8</v>
          </cell>
          <cell r="P181">
            <v>42367</v>
          </cell>
          <cell r="Q181">
            <v>575218</v>
          </cell>
          <cell r="R181">
            <v>5</v>
          </cell>
          <cell r="S181">
            <v>7.37</v>
          </cell>
          <cell r="T181">
            <v>6823282</v>
          </cell>
          <cell r="U181">
            <v>60720658</v>
          </cell>
          <cell r="V181">
            <v>2617640</v>
          </cell>
          <cell r="W181">
            <v>11.24</v>
          </cell>
        </row>
        <row r="182">
          <cell r="A182" t="str">
            <v>2019ME</v>
          </cell>
          <cell r="B182">
            <v>2019</v>
          </cell>
          <cell r="C182" t="str">
            <v>ME</v>
          </cell>
          <cell r="D182">
            <v>857569</v>
          </cell>
          <cell r="E182">
            <v>4793809</v>
          </cell>
          <cell r="F182">
            <v>710869</v>
          </cell>
          <cell r="G182">
            <v>17.89</v>
          </cell>
          <cell r="H182">
            <v>532119</v>
          </cell>
          <cell r="I182">
            <v>4148305</v>
          </cell>
          <cell r="J182">
            <v>99738</v>
          </cell>
          <cell r="K182">
            <v>12.83</v>
          </cell>
          <cell r="L182">
            <v>257281</v>
          </cell>
          <cell r="M182">
            <v>2789926</v>
          </cell>
          <cell r="N182">
            <v>2893</v>
          </cell>
          <cell r="O182">
            <v>9.2200000000000006</v>
          </cell>
          <cell r="P182">
            <v>0</v>
          </cell>
          <cell r="Q182">
            <v>0</v>
          </cell>
          <cell r="R182">
            <v>0</v>
          </cell>
          <cell r="S182">
            <v>0</v>
          </cell>
          <cell r="T182">
            <v>1646968</v>
          </cell>
          <cell r="U182">
            <v>11732040</v>
          </cell>
          <cell r="V182">
            <v>813500</v>
          </cell>
          <cell r="W182">
            <v>14.04</v>
          </cell>
        </row>
        <row r="183">
          <cell r="A183" t="str">
            <v>2019MI</v>
          </cell>
          <cell r="B183">
            <v>2019</v>
          </cell>
          <cell r="C183" t="str">
            <v>MI</v>
          </cell>
          <cell r="D183">
            <v>5273119</v>
          </cell>
          <cell r="E183">
            <v>33495725</v>
          </cell>
          <cell r="F183">
            <v>4384305</v>
          </cell>
          <cell r="G183">
            <v>15.74</v>
          </cell>
          <cell r="H183">
            <v>4313039</v>
          </cell>
          <cell r="I183">
            <v>37860783</v>
          </cell>
          <cell r="J183">
            <v>544690</v>
          </cell>
          <cell r="K183">
            <v>11.39</v>
          </cell>
          <cell r="L183">
            <v>2114082</v>
          </cell>
          <cell r="M183">
            <v>29886432</v>
          </cell>
          <cell r="N183">
            <v>5726</v>
          </cell>
          <cell r="O183">
            <v>7.07</v>
          </cell>
          <cell r="P183">
            <v>671</v>
          </cell>
          <cell r="Q183">
            <v>6353</v>
          </cell>
          <cell r="R183">
            <v>2</v>
          </cell>
          <cell r="S183">
            <v>10.56</v>
          </cell>
          <cell r="T183">
            <v>11700911</v>
          </cell>
          <cell r="U183">
            <v>101249293</v>
          </cell>
          <cell r="V183">
            <v>4934723</v>
          </cell>
          <cell r="W183">
            <v>11.56</v>
          </cell>
        </row>
        <row r="184">
          <cell r="A184" t="str">
            <v>2019MN</v>
          </cell>
          <cell r="B184">
            <v>2019</v>
          </cell>
          <cell r="C184" t="str">
            <v>MN</v>
          </cell>
          <cell r="D184">
            <v>2906625</v>
          </cell>
          <cell r="E184">
            <v>22288152</v>
          </cell>
          <cell r="F184">
            <v>2446111</v>
          </cell>
          <cell r="G184">
            <v>13.04</v>
          </cell>
          <cell r="H184">
            <v>2369105</v>
          </cell>
          <cell r="I184">
            <v>22904299</v>
          </cell>
          <cell r="J184">
            <v>299995</v>
          </cell>
          <cell r="K184">
            <v>10.34</v>
          </cell>
          <cell r="L184">
            <v>1636945</v>
          </cell>
          <cell r="M184">
            <v>21748034</v>
          </cell>
          <cell r="N184">
            <v>8998</v>
          </cell>
          <cell r="O184">
            <v>7.53</v>
          </cell>
          <cell r="P184">
            <v>2383</v>
          </cell>
          <cell r="Q184">
            <v>25109</v>
          </cell>
          <cell r="R184">
            <v>1</v>
          </cell>
          <cell r="S184">
            <v>9.49</v>
          </cell>
          <cell r="T184">
            <v>6915058</v>
          </cell>
          <cell r="U184">
            <v>66965594</v>
          </cell>
          <cell r="V184">
            <v>2755105</v>
          </cell>
          <cell r="W184">
            <v>10.33</v>
          </cell>
        </row>
        <row r="185">
          <cell r="A185" t="str">
            <v>2019MO</v>
          </cell>
          <cell r="B185">
            <v>2019</v>
          </cell>
          <cell r="C185" t="str">
            <v>MO</v>
          </cell>
          <cell r="D185">
            <v>3975602</v>
          </cell>
          <cell r="E185">
            <v>35691426</v>
          </cell>
          <cell r="F185">
            <v>2811863</v>
          </cell>
          <cell r="G185">
            <v>11.14</v>
          </cell>
          <cell r="H185">
            <v>2733866</v>
          </cell>
          <cell r="I185">
            <v>30133114</v>
          </cell>
          <cell r="J185">
            <v>384787</v>
          </cell>
          <cell r="K185">
            <v>9.07</v>
          </cell>
          <cell r="L185">
            <v>924819</v>
          </cell>
          <cell r="M185">
            <v>13009718</v>
          </cell>
          <cell r="N185">
            <v>10096</v>
          </cell>
          <cell r="O185">
            <v>7.11</v>
          </cell>
          <cell r="P185">
            <v>1855</v>
          </cell>
          <cell r="Q185">
            <v>23517</v>
          </cell>
          <cell r="R185">
            <v>2</v>
          </cell>
          <cell r="S185">
            <v>7.89</v>
          </cell>
          <cell r="T185">
            <v>7636141</v>
          </cell>
          <cell r="U185">
            <v>78857775</v>
          </cell>
          <cell r="V185">
            <v>3206748</v>
          </cell>
          <cell r="W185">
            <v>9.68</v>
          </cell>
        </row>
        <row r="186">
          <cell r="A186" t="str">
            <v>2019MS</v>
          </cell>
          <cell r="B186">
            <v>2019</v>
          </cell>
          <cell r="C186" t="str">
            <v>MS</v>
          </cell>
          <cell r="D186">
            <v>2108801</v>
          </cell>
          <cell r="E186">
            <v>18717858</v>
          </cell>
          <cell r="F186">
            <v>1293419</v>
          </cell>
          <cell r="G186">
            <v>11.27</v>
          </cell>
          <cell r="H186">
            <v>1497763</v>
          </cell>
          <cell r="I186">
            <v>14238982</v>
          </cell>
          <cell r="J186">
            <v>237625</v>
          </cell>
          <cell r="K186">
            <v>10.52</v>
          </cell>
          <cell r="L186">
            <v>936158</v>
          </cell>
          <cell r="M186">
            <v>15994186</v>
          </cell>
          <cell r="N186">
            <v>10379</v>
          </cell>
          <cell r="O186">
            <v>5.85</v>
          </cell>
          <cell r="P186">
            <v>0</v>
          </cell>
          <cell r="Q186">
            <v>0</v>
          </cell>
          <cell r="R186">
            <v>0</v>
          </cell>
          <cell r="S186">
            <v>0</v>
          </cell>
          <cell r="T186">
            <v>4542721</v>
          </cell>
          <cell r="U186">
            <v>48951026</v>
          </cell>
          <cell r="V186">
            <v>1541423</v>
          </cell>
          <cell r="W186">
            <v>9.2799999999999994</v>
          </cell>
        </row>
        <row r="187">
          <cell r="A187" t="str">
            <v>2019MT</v>
          </cell>
          <cell r="B187">
            <v>2019</v>
          </cell>
          <cell r="C187" t="str">
            <v>MT</v>
          </cell>
          <cell r="D187">
            <v>590943</v>
          </cell>
          <cell r="E187">
            <v>5308103</v>
          </cell>
          <cell r="F187">
            <v>516052</v>
          </cell>
          <cell r="G187">
            <v>11.13</v>
          </cell>
          <cell r="H187">
            <v>515875</v>
          </cell>
          <cell r="I187">
            <v>4956080</v>
          </cell>
          <cell r="J187">
            <v>109459</v>
          </cell>
          <cell r="K187">
            <v>10.41</v>
          </cell>
          <cell r="L187">
            <v>275675</v>
          </cell>
          <cell r="M187">
            <v>5057088</v>
          </cell>
          <cell r="N187">
            <v>11286</v>
          </cell>
          <cell r="O187">
            <v>5.45</v>
          </cell>
          <cell r="P187">
            <v>0</v>
          </cell>
          <cell r="Q187">
            <v>0</v>
          </cell>
          <cell r="R187">
            <v>0</v>
          </cell>
          <cell r="S187">
            <v>0</v>
          </cell>
          <cell r="T187">
            <v>1382494</v>
          </cell>
          <cell r="U187">
            <v>15321271</v>
          </cell>
          <cell r="V187">
            <v>636797</v>
          </cell>
          <cell r="W187">
            <v>9.02</v>
          </cell>
        </row>
        <row r="188">
          <cell r="A188" t="str">
            <v>2019NC</v>
          </cell>
          <cell r="B188">
            <v>2019</v>
          </cell>
          <cell r="C188" t="str">
            <v>NC</v>
          </cell>
          <cell r="D188">
            <v>6834017</v>
          </cell>
          <cell r="E188">
            <v>59852793</v>
          </cell>
          <cell r="F188">
            <v>4620856</v>
          </cell>
          <cell r="G188">
            <v>11.42</v>
          </cell>
          <cell r="H188">
            <v>4330825</v>
          </cell>
          <cell r="I188">
            <v>49173038</v>
          </cell>
          <cell r="J188">
            <v>705587</v>
          </cell>
          <cell r="K188">
            <v>8.81</v>
          </cell>
          <cell r="L188">
            <v>1726559</v>
          </cell>
          <cell r="M188">
            <v>27391009</v>
          </cell>
          <cell r="N188">
            <v>9871</v>
          </cell>
          <cell r="O188">
            <v>6.3</v>
          </cell>
          <cell r="P188">
            <v>1533</v>
          </cell>
          <cell r="Q188">
            <v>18691</v>
          </cell>
          <cell r="R188">
            <v>1</v>
          </cell>
          <cell r="S188">
            <v>8.1999999999999993</v>
          </cell>
          <cell r="T188">
            <v>12892934</v>
          </cell>
          <cell r="U188">
            <v>136435531</v>
          </cell>
          <cell r="V188">
            <v>5336315</v>
          </cell>
          <cell r="W188">
            <v>9.4499999999999993</v>
          </cell>
        </row>
        <row r="189">
          <cell r="A189" t="str">
            <v>2019ND</v>
          </cell>
          <cell r="B189">
            <v>2019</v>
          </cell>
          <cell r="C189" t="str">
            <v>ND</v>
          </cell>
          <cell r="D189">
            <v>527970</v>
          </cell>
          <cell r="E189">
            <v>5125431</v>
          </cell>
          <cell r="F189">
            <v>385038</v>
          </cell>
          <cell r="G189">
            <v>10.3</v>
          </cell>
          <cell r="H189">
            <v>633843</v>
          </cell>
          <cell r="I189">
            <v>7035031</v>
          </cell>
          <cell r="J189">
            <v>76355</v>
          </cell>
          <cell r="K189">
            <v>9.01</v>
          </cell>
          <cell r="L189">
            <v>746677</v>
          </cell>
          <cell r="M189">
            <v>9398793</v>
          </cell>
          <cell r="N189">
            <v>8803</v>
          </cell>
          <cell r="O189">
            <v>7.94</v>
          </cell>
          <cell r="P189">
            <v>0</v>
          </cell>
          <cell r="Q189">
            <v>0</v>
          </cell>
          <cell r="R189">
            <v>0</v>
          </cell>
          <cell r="S189">
            <v>0</v>
          </cell>
          <cell r="T189">
            <v>1908490</v>
          </cell>
          <cell r="U189">
            <v>21559255</v>
          </cell>
          <cell r="V189">
            <v>470196</v>
          </cell>
          <cell r="W189">
            <v>8.85</v>
          </cell>
        </row>
        <row r="190">
          <cell r="A190" t="str">
            <v>2019NE</v>
          </cell>
          <cell r="B190">
            <v>2019</v>
          </cell>
          <cell r="C190" t="str">
            <v>NE</v>
          </cell>
          <cell r="D190">
            <v>1109655</v>
          </cell>
          <cell r="E190">
            <v>10307905</v>
          </cell>
          <cell r="F190">
            <v>855619</v>
          </cell>
          <cell r="G190">
            <v>10.77</v>
          </cell>
          <cell r="H190">
            <v>836870</v>
          </cell>
          <cell r="I190">
            <v>9456725</v>
          </cell>
          <cell r="J190">
            <v>153814</v>
          </cell>
          <cell r="K190">
            <v>8.85</v>
          </cell>
          <cell r="L190">
            <v>812630</v>
          </cell>
          <cell r="M190">
            <v>10618560</v>
          </cell>
          <cell r="N190">
            <v>62204</v>
          </cell>
          <cell r="O190">
            <v>7.65</v>
          </cell>
          <cell r="P190">
            <v>0</v>
          </cell>
          <cell r="Q190">
            <v>0</v>
          </cell>
          <cell r="R190">
            <v>0</v>
          </cell>
          <cell r="S190">
            <v>0</v>
          </cell>
          <cell r="T190">
            <v>2759154</v>
          </cell>
          <cell r="U190">
            <v>30383190</v>
          </cell>
          <cell r="V190">
            <v>1071637</v>
          </cell>
          <cell r="W190">
            <v>9.08</v>
          </cell>
        </row>
        <row r="191">
          <cell r="A191" t="str">
            <v>2019NH</v>
          </cell>
          <cell r="B191">
            <v>2019</v>
          </cell>
          <cell r="C191" t="str">
            <v>NH</v>
          </cell>
          <cell r="D191">
            <v>903574</v>
          </cell>
          <cell r="E191">
            <v>4506830</v>
          </cell>
          <cell r="F191">
            <v>627257</v>
          </cell>
          <cell r="G191">
            <v>20.05</v>
          </cell>
          <cell r="H191">
            <v>682119</v>
          </cell>
          <cell r="I191">
            <v>4280854</v>
          </cell>
          <cell r="J191">
            <v>108247</v>
          </cell>
          <cell r="K191">
            <v>15.93</v>
          </cell>
          <cell r="L191">
            <v>251844</v>
          </cell>
          <cell r="M191">
            <v>1923973</v>
          </cell>
          <cell r="N191">
            <v>3193</v>
          </cell>
          <cell r="O191">
            <v>13.09</v>
          </cell>
          <cell r="P191">
            <v>0</v>
          </cell>
          <cell r="Q191">
            <v>0</v>
          </cell>
          <cell r="R191">
            <v>0</v>
          </cell>
          <cell r="S191">
            <v>0</v>
          </cell>
          <cell r="T191">
            <v>1837537</v>
          </cell>
          <cell r="U191">
            <v>10711657</v>
          </cell>
          <cell r="V191">
            <v>738697</v>
          </cell>
          <cell r="W191">
            <v>17.149999999999999</v>
          </cell>
        </row>
        <row r="192">
          <cell r="A192" t="str">
            <v>2019NJ</v>
          </cell>
          <cell r="B192">
            <v>2019</v>
          </cell>
          <cell r="C192" t="str">
            <v>NJ</v>
          </cell>
          <cell r="D192">
            <v>4534973</v>
          </cell>
          <cell r="E192">
            <v>28612555</v>
          </cell>
          <cell r="F192">
            <v>3596834</v>
          </cell>
          <cell r="G192">
            <v>15.85</v>
          </cell>
          <cell r="H192">
            <v>4650585</v>
          </cell>
          <cell r="I192">
            <v>38012684</v>
          </cell>
          <cell r="J192">
            <v>523796</v>
          </cell>
          <cell r="K192">
            <v>12.23</v>
          </cell>
          <cell r="L192">
            <v>710108</v>
          </cell>
          <cell r="M192">
            <v>6990063</v>
          </cell>
          <cell r="N192">
            <v>11781</v>
          </cell>
          <cell r="O192">
            <v>10.16</v>
          </cell>
          <cell r="P192">
            <v>26513</v>
          </cell>
          <cell r="Q192">
            <v>301402</v>
          </cell>
          <cell r="R192">
            <v>7</v>
          </cell>
          <cell r="S192">
            <v>8.8000000000000007</v>
          </cell>
          <cell r="T192">
            <v>9922179</v>
          </cell>
          <cell r="U192">
            <v>73916704</v>
          </cell>
          <cell r="V192">
            <v>4132418</v>
          </cell>
          <cell r="W192">
            <v>13.42</v>
          </cell>
        </row>
        <row r="193">
          <cell r="A193" t="str">
            <v>2019NM</v>
          </cell>
          <cell r="B193">
            <v>2019</v>
          </cell>
          <cell r="C193" t="str">
            <v>NM</v>
          </cell>
          <cell r="D193">
            <v>859664</v>
          </cell>
          <cell r="E193">
            <v>6871561</v>
          </cell>
          <cell r="F193">
            <v>895086</v>
          </cell>
          <cell r="G193">
            <v>12.51</v>
          </cell>
          <cell r="H193">
            <v>884212</v>
          </cell>
          <cell r="I193">
            <v>9028861</v>
          </cell>
          <cell r="J193">
            <v>144960</v>
          </cell>
          <cell r="K193">
            <v>9.7899999999999991</v>
          </cell>
          <cell r="L193">
            <v>492124</v>
          </cell>
          <cell r="M193">
            <v>8979712</v>
          </cell>
          <cell r="N193">
            <v>9456</v>
          </cell>
          <cell r="O193">
            <v>5.48</v>
          </cell>
          <cell r="P193">
            <v>0</v>
          </cell>
          <cell r="Q193">
            <v>0</v>
          </cell>
          <cell r="R193">
            <v>0</v>
          </cell>
          <cell r="S193">
            <v>0</v>
          </cell>
          <cell r="T193">
            <v>2235999</v>
          </cell>
          <cell r="U193">
            <v>24880134</v>
          </cell>
          <cell r="V193">
            <v>1049502</v>
          </cell>
          <cell r="W193">
            <v>8.99</v>
          </cell>
        </row>
        <row r="194">
          <cell r="A194" t="str">
            <v>2019NV</v>
          </cell>
          <cell r="B194">
            <v>2019</v>
          </cell>
          <cell r="C194" t="str">
            <v>NV</v>
          </cell>
          <cell r="D194">
            <v>1544743</v>
          </cell>
          <cell r="E194">
            <v>12867637</v>
          </cell>
          <cell r="F194">
            <v>1204996</v>
          </cell>
          <cell r="G194">
            <v>12</v>
          </cell>
          <cell r="H194">
            <v>938867</v>
          </cell>
          <cell r="I194">
            <v>11681186</v>
          </cell>
          <cell r="J194">
            <v>167628</v>
          </cell>
          <cell r="K194">
            <v>8.0399999999999991</v>
          </cell>
          <cell r="L194">
            <v>762826</v>
          </cell>
          <cell r="M194">
            <v>12425536</v>
          </cell>
          <cell r="N194">
            <v>3265</v>
          </cell>
          <cell r="O194">
            <v>6.14</v>
          </cell>
          <cell r="P194">
            <v>683</v>
          </cell>
          <cell r="Q194">
            <v>8027</v>
          </cell>
          <cell r="R194">
            <v>1</v>
          </cell>
          <cell r="S194">
            <v>8.51</v>
          </cell>
          <cell r="T194">
            <v>3247118</v>
          </cell>
          <cell r="U194">
            <v>36982386</v>
          </cell>
          <cell r="V194">
            <v>1375890</v>
          </cell>
          <cell r="W194">
            <v>8.7799999999999994</v>
          </cell>
        </row>
        <row r="195">
          <cell r="A195" t="str">
            <v>2019NY</v>
          </cell>
          <cell r="B195">
            <v>2019</v>
          </cell>
          <cell r="C195" t="str">
            <v>NY</v>
          </cell>
          <cell r="D195">
            <v>8995439</v>
          </cell>
          <cell r="E195">
            <v>50141003</v>
          </cell>
          <cell r="F195">
            <v>7235400</v>
          </cell>
          <cell r="G195">
            <v>17.940000000000001</v>
          </cell>
          <cell r="H195">
            <v>10556658</v>
          </cell>
          <cell r="I195">
            <v>75090820</v>
          </cell>
          <cell r="J195">
            <v>1121107</v>
          </cell>
          <cell r="K195">
            <v>14.06</v>
          </cell>
          <cell r="L195">
            <v>985033</v>
          </cell>
          <cell r="M195">
            <v>17548457</v>
          </cell>
          <cell r="N195">
            <v>7607</v>
          </cell>
          <cell r="O195">
            <v>5.61</v>
          </cell>
          <cell r="P195">
            <v>346400</v>
          </cell>
          <cell r="Q195">
            <v>2820065</v>
          </cell>
          <cell r="R195">
            <v>8</v>
          </cell>
          <cell r="S195">
            <v>12.28</v>
          </cell>
          <cell r="T195">
            <v>20883531</v>
          </cell>
          <cell r="U195">
            <v>145600345</v>
          </cell>
          <cell r="V195">
            <v>8364122</v>
          </cell>
          <cell r="W195">
            <v>14.34</v>
          </cell>
        </row>
        <row r="196">
          <cell r="A196" t="str">
            <v>2019OH</v>
          </cell>
          <cell r="B196">
            <v>2019</v>
          </cell>
          <cell r="C196" t="str">
            <v>OH</v>
          </cell>
          <cell r="D196">
            <v>6464453</v>
          </cell>
          <cell r="E196">
            <v>52226097</v>
          </cell>
          <cell r="F196">
            <v>4980931</v>
          </cell>
          <cell r="G196">
            <v>12.38</v>
          </cell>
          <cell r="H196">
            <v>4469895</v>
          </cell>
          <cell r="I196">
            <v>46008937</v>
          </cell>
          <cell r="J196">
            <v>632794</v>
          </cell>
          <cell r="K196">
            <v>9.7200000000000006</v>
          </cell>
          <cell r="L196">
            <v>3292193</v>
          </cell>
          <cell r="M196">
            <v>50249178</v>
          </cell>
          <cell r="N196">
            <v>19798</v>
          </cell>
          <cell r="O196">
            <v>6.55</v>
          </cell>
          <cell r="P196">
            <v>2574</v>
          </cell>
          <cell r="Q196">
            <v>37708</v>
          </cell>
          <cell r="R196">
            <v>2</v>
          </cell>
          <cell r="S196">
            <v>6.83</v>
          </cell>
          <cell r="T196">
            <v>14229116</v>
          </cell>
          <cell r="U196">
            <v>148521920</v>
          </cell>
          <cell r="V196">
            <v>5633525</v>
          </cell>
          <cell r="W196">
            <v>9.58</v>
          </cell>
        </row>
        <row r="197">
          <cell r="A197" t="str">
            <v>2019OK</v>
          </cell>
          <cell r="B197">
            <v>2019</v>
          </cell>
          <cell r="C197" t="str">
            <v>OK</v>
          </cell>
          <cell r="D197">
            <v>2429743</v>
          </cell>
          <cell r="E197">
            <v>23805972</v>
          </cell>
          <cell r="F197">
            <v>1777156</v>
          </cell>
          <cell r="G197">
            <v>10.210000000000001</v>
          </cell>
          <cell r="H197">
            <v>1603441</v>
          </cell>
          <cell r="I197">
            <v>20085991</v>
          </cell>
          <cell r="J197">
            <v>285641</v>
          </cell>
          <cell r="K197">
            <v>7.98</v>
          </cell>
          <cell r="L197">
            <v>1059116</v>
          </cell>
          <cell r="M197">
            <v>20903983</v>
          </cell>
          <cell r="N197">
            <v>19905</v>
          </cell>
          <cell r="O197">
            <v>5.07</v>
          </cell>
          <cell r="P197">
            <v>0</v>
          </cell>
          <cell r="Q197">
            <v>0</v>
          </cell>
          <cell r="R197">
            <v>0</v>
          </cell>
          <cell r="S197">
            <v>0</v>
          </cell>
          <cell r="T197">
            <v>5092299</v>
          </cell>
          <cell r="U197">
            <v>64795946</v>
          </cell>
          <cell r="V197">
            <v>2082702</v>
          </cell>
          <cell r="W197">
            <v>7.86</v>
          </cell>
        </row>
        <row r="198">
          <cell r="A198" t="str">
            <v>2019OR</v>
          </cell>
          <cell r="B198">
            <v>2019</v>
          </cell>
          <cell r="C198" t="str">
            <v>OR</v>
          </cell>
          <cell r="D198">
            <v>2123882</v>
          </cell>
          <cell r="E198">
            <v>19286182</v>
          </cell>
          <cell r="F198">
            <v>1763783</v>
          </cell>
          <cell r="G198">
            <v>11.01</v>
          </cell>
          <cell r="H198">
            <v>1453026</v>
          </cell>
          <cell r="I198">
            <v>16422975</v>
          </cell>
          <cell r="J198">
            <v>240488</v>
          </cell>
          <cell r="K198">
            <v>8.85</v>
          </cell>
          <cell r="L198">
            <v>858920</v>
          </cell>
          <cell r="M198">
            <v>14668288</v>
          </cell>
          <cell r="N198">
            <v>25169</v>
          </cell>
          <cell r="O198">
            <v>5.86</v>
          </cell>
          <cell r="P198">
            <v>2461</v>
          </cell>
          <cell r="Q198">
            <v>26941</v>
          </cell>
          <cell r="R198">
            <v>2</v>
          </cell>
          <cell r="S198">
            <v>9.14</v>
          </cell>
          <cell r="T198">
            <v>4438290</v>
          </cell>
          <cell r="U198">
            <v>50404386</v>
          </cell>
          <cell r="V198">
            <v>2029442</v>
          </cell>
          <cell r="W198">
            <v>8.81</v>
          </cell>
        </row>
        <row r="199">
          <cell r="A199" t="str">
            <v>2019PA</v>
          </cell>
          <cell r="B199">
            <v>2019</v>
          </cell>
          <cell r="C199" t="str">
            <v>PA</v>
          </cell>
          <cell r="D199">
            <v>7508619</v>
          </cell>
          <cell r="E199">
            <v>54396182</v>
          </cell>
          <cell r="F199">
            <v>5418870</v>
          </cell>
          <cell r="G199">
            <v>13.8</v>
          </cell>
          <cell r="H199">
            <v>3498024</v>
          </cell>
          <cell r="I199">
            <v>40142710</v>
          </cell>
          <cell r="J199">
            <v>716992</v>
          </cell>
          <cell r="K199">
            <v>8.7100000000000009</v>
          </cell>
          <cell r="L199">
            <v>3230283</v>
          </cell>
          <cell r="M199">
            <v>50422724</v>
          </cell>
          <cell r="N199">
            <v>13788</v>
          </cell>
          <cell r="O199">
            <v>6.41</v>
          </cell>
          <cell r="P199">
            <v>44937</v>
          </cell>
          <cell r="Q199">
            <v>618767</v>
          </cell>
          <cell r="R199">
            <v>6</v>
          </cell>
          <cell r="S199">
            <v>7.26</v>
          </cell>
          <cell r="T199">
            <v>14281864</v>
          </cell>
          <cell r="U199">
            <v>145580383</v>
          </cell>
          <cell r="V199">
            <v>6149656</v>
          </cell>
          <cell r="W199">
            <v>9.81</v>
          </cell>
        </row>
        <row r="200">
          <cell r="A200" t="str">
            <v>2019RI</v>
          </cell>
          <cell r="B200">
            <v>2019</v>
          </cell>
          <cell r="C200" t="str">
            <v>RI</v>
          </cell>
          <cell r="D200">
            <v>648292</v>
          </cell>
          <cell r="E200">
            <v>2983012</v>
          </cell>
          <cell r="F200">
            <v>444216</v>
          </cell>
          <cell r="G200">
            <v>21.73</v>
          </cell>
          <cell r="H200">
            <v>597112</v>
          </cell>
          <cell r="I200">
            <v>3644482</v>
          </cell>
          <cell r="J200">
            <v>60672</v>
          </cell>
          <cell r="K200">
            <v>16.38</v>
          </cell>
          <cell r="L200">
            <v>108412</v>
          </cell>
          <cell r="M200">
            <v>695416</v>
          </cell>
          <cell r="N200">
            <v>1758</v>
          </cell>
          <cell r="O200">
            <v>15.59</v>
          </cell>
          <cell r="P200">
            <v>4994</v>
          </cell>
          <cell r="Q200">
            <v>27005</v>
          </cell>
          <cell r="R200">
            <v>1</v>
          </cell>
          <cell r="S200">
            <v>18.489999999999998</v>
          </cell>
          <cell r="T200">
            <v>1358809</v>
          </cell>
          <cell r="U200">
            <v>7349915</v>
          </cell>
          <cell r="V200">
            <v>506647</v>
          </cell>
          <cell r="W200">
            <v>18.489999999999998</v>
          </cell>
        </row>
        <row r="201">
          <cell r="A201" t="str">
            <v>2019SC</v>
          </cell>
          <cell r="B201">
            <v>2019</v>
          </cell>
          <cell r="C201" t="str">
            <v>SC</v>
          </cell>
          <cell r="D201">
            <v>4048095</v>
          </cell>
          <cell r="E201">
            <v>31159957</v>
          </cell>
          <cell r="F201">
            <v>2330903</v>
          </cell>
          <cell r="G201">
            <v>12.99</v>
          </cell>
          <cell r="H201">
            <v>2344564</v>
          </cell>
          <cell r="I201">
            <v>22168328</v>
          </cell>
          <cell r="J201">
            <v>385285</v>
          </cell>
          <cell r="K201">
            <v>10.58</v>
          </cell>
          <cell r="L201">
            <v>1643068</v>
          </cell>
          <cell r="M201">
            <v>26877335</v>
          </cell>
          <cell r="N201">
            <v>3703</v>
          </cell>
          <cell r="O201">
            <v>6.11</v>
          </cell>
          <cell r="P201">
            <v>0</v>
          </cell>
          <cell r="Q201">
            <v>0</v>
          </cell>
          <cell r="R201">
            <v>0</v>
          </cell>
          <cell r="S201">
            <v>0</v>
          </cell>
          <cell r="T201">
            <v>8035727</v>
          </cell>
          <cell r="U201">
            <v>80205620</v>
          </cell>
          <cell r="V201">
            <v>2719891</v>
          </cell>
          <cell r="W201">
            <v>10.02</v>
          </cell>
        </row>
        <row r="202">
          <cell r="A202" t="str">
            <v>2019SD</v>
          </cell>
          <cell r="B202">
            <v>2019</v>
          </cell>
          <cell r="C202" t="str">
            <v>SD</v>
          </cell>
          <cell r="D202">
            <v>584266</v>
          </cell>
          <cell r="E202">
            <v>5057032</v>
          </cell>
          <cell r="F202">
            <v>403717</v>
          </cell>
          <cell r="G202">
            <v>11.55</v>
          </cell>
          <cell r="H202">
            <v>468846</v>
          </cell>
          <cell r="I202">
            <v>4888034</v>
          </cell>
          <cell r="J202">
            <v>73549</v>
          </cell>
          <cell r="K202">
            <v>9.59</v>
          </cell>
          <cell r="L202">
            <v>228300</v>
          </cell>
          <cell r="M202">
            <v>2923865</v>
          </cell>
          <cell r="N202">
            <v>4089</v>
          </cell>
          <cell r="O202">
            <v>7.81</v>
          </cell>
          <cell r="P202">
            <v>0</v>
          </cell>
          <cell r="Q202">
            <v>0</v>
          </cell>
          <cell r="R202">
            <v>0</v>
          </cell>
          <cell r="S202">
            <v>0</v>
          </cell>
          <cell r="T202">
            <v>1281412</v>
          </cell>
          <cell r="U202">
            <v>12868931</v>
          </cell>
          <cell r="V202">
            <v>481355</v>
          </cell>
          <cell r="W202">
            <v>9.9600000000000009</v>
          </cell>
        </row>
        <row r="203">
          <cell r="A203" t="str">
            <v>2019TN</v>
          </cell>
          <cell r="B203">
            <v>2019</v>
          </cell>
          <cell r="C203" t="str">
            <v>TN</v>
          </cell>
          <cell r="D203">
            <v>4628861</v>
          </cell>
          <cell r="E203">
            <v>42573183</v>
          </cell>
          <cell r="F203">
            <v>2914916</v>
          </cell>
          <cell r="G203">
            <v>10.87</v>
          </cell>
          <cell r="H203">
            <v>3850725</v>
          </cell>
          <cell r="I203">
            <v>36151394</v>
          </cell>
          <cell r="J203">
            <v>497497</v>
          </cell>
          <cell r="K203">
            <v>10.65</v>
          </cell>
          <cell r="L203">
            <v>1198249</v>
          </cell>
          <cell r="M203">
            <v>21104523</v>
          </cell>
          <cell r="N203">
            <v>1016</v>
          </cell>
          <cell r="O203">
            <v>5.68</v>
          </cell>
          <cell r="P203">
            <v>0</v>
          </cell>
          <cell r="Q203">
            <v>0</v>
          </cell>
          <cell r="R203">
            <v>0</v>
          </cell>
          <cell r="S203">
            <v>0</v>
          </cell>
          <cell r="T203">
            <v>9677835</v>
          </cell>
          <cell r="U203">
            <v>99829100</v>
          </cell>
          <cell r="V203">
            <v>3413429</v>
          </cell>
          <cell r="W203">
            <v>9.69</v>
          </cell>
        </row>
        <row r="204">
          <cell r="A204" t="str">
            <v>2019TX</v>
          </cell>
          <cell r="B204">
            <v>2019</v>
          </cell>
          <cell r="C204" t="str">
            <v>TX</v>
          </cell>
          <cell r="D204">
            <v>18286991</v>
          </cell>
          <cell r="E204">
            <v>155481342</v>
          </cell>
          <cell r="F204">
            <v>11366639</v>
          </cell>
          <cell r="G204">
            <v>11.76</v>
          </cell>
          <cell r="H204">
            <v>11440049</v>
          </cell>
          <cell r="I204">
            <v>142001524</v>
          </cell>
          <cell r="J204">
            <v>1537111</v>
          </cell>
          <cell r="K204">
            <v>8.06</v>
          </cell>
          <cell r="L204">
            <v>7171361</v>
          </cell>
          <cell r="M204">
            <v>131673922</v>
          </cell>
          <cell r="N204">
            <v>232427</v>
          </cell>
          <cell r="O204">
            <v>5.45</v>
          </cell>
          <cell r="P204">
            <v>12022</v>
          </cell>
          <cell r="Q204">
            <v>186616</v>
          </cell>
          <cell r="R204">
            <v>3</v>
          </cell>
          <cell r="S204">
            <v>6.44</v>
          </cell>
          <cell r="T204">
            <v>36910422</v>
          </cell>
          <cell r="U204">
            <v>429343404</v>
          </cell>
          <cell r="V204">
            <v>13136180</v>
          </cell>
          <cell r="W204">
            <v>8.6</v>
          </cell>
        </row>
        <row r="205">
          <cell r="A205" t="str">
            <v>2019UT</v>
          </cell>
          <cell r="B205">
            <v>2019</v>
          </cell>
          <cell r="C205" t="str">
            <v>UT</v>
          </cell>
          <cell r="D205">
            <v>1013001</v>
          </cell>
          <cell r="E205">
            <v>9739525</v>
          </cell>
          <cell r="F205">
            <v>1116145</v>
          </cell>
          <cell r="G205">
            <v>10.4</v>
          </cell>
          <cell r="H205">
            <v>979491</v>
          </cell>
          <cell r="I205">
            <v>11860449</v>
          </cell>
          <cell r="J205">
            <v>132082</v>
          </cell>
          <cell r="K205">
            <v>8.26</v>
          </cell>
          <cell r="L205">
            <v>567343</v>
          </cell>
          <cell r="M205">
            <v>9490843</v>
          </cell>
          <cell r="N205">
            <v>10343</v>
          </cell>
          <cell r="O205">
            <v>5.98</v>
          </cell>
          <cell r="P205">
            <v>5498</v>
          </cell>
          <cell r="Q205">
            <v>51748</v>
          </cell>
          <cell r="R205">
            <v>1</v>
          </cell>
          <cell r="S205">
            <v>10.62</v>
          </cell>
          <cell r="T205">
            <v>2565333</v>
          </cell>
          <cell r="U205">
            <v>31142565</v>
          </cell>
          <cell r="V205">
            <v>1258571</v>
          </cell>
          <cell r="W205">
            <v>8.24</v>
          </cell>
        </row>
        <row r="206">
          <cell r="A206" t="str">
            <v>2019VA</v>
          </cell>
          <cell r="B206">
            <v>2019</v>
          </cell>
          <cell r="C206" t="str">
            <v>VA</v>
          </cell>
          <cell r="D206">
            <v>5632066</v>
          </cell>
          <cell r="E206">
            <v>46666163</v>
          </cell>
          <cell r="F206">
            <v>3464677</v>
          </cell>
          <cell r="G206">
            <v>12.07</v>
          </cell>
          <cell r="H206">
            <v>4417182</v>
          </cell>
          <cell r="I206">
            <v>53981176</v>
          </cell>
          <cell r="J206">
            <v>434175</v>
          </cell>
          <cell r="K206">
            <v>8.18</v>
          </cell>
          <cell r="L206">
            <v>1206041</v>
          </cell>
          <cell r="M206">
            <v>17598247</v>
          </cell>
          <cell r="N206">
            <v>3723</v>
          </cell>
          <cell r="O206">
            <v>6.85</v>
          </cell>
          <cell r="P206">
            <v>15690</v>
          </cell>
          <cell r="Q206">
            <v>189794</v>
          </cell>
          <cell r="R206">
            <v>1</v>
          </cell>
          <cell r="S206">
            <v>8.27</v>
          </cell>
          <cell r="T206">
            <v>11270978</v>
          </cell>
          <cell r="U206">
            <v>118435380</v>
          </cell>
          <cell r="V206">
            <v>3902576</v>
          </cell>
          <cell r="W206">
            <v>9.52</v>
          </cell>
        </row>
        <row r="207">
          <cell r="A207" t="str">
            <v>2019VT</v>
          </cell>
          <cell r="B207">
            <v>2019</v>
          </cell>
          <cell r="C207" t="str">
            <v>VT</v>
          </cell>
          <cell r="D207">
            <v>368721</v>
          </cell>
          <cell r="E207">
            <v>2081545</v>
          </cell>
          <cell r="F207">
            <v>316180</v>
          </cell>
          <cell r="G207">
            <v>17.71</v>
          </cell>
          <cell r="H207">
            <v>309173</v>
          </cell>
          <cell r="I207">
            <v>1934464</v>
          </cell>
          <cell r="J207">
            <v>58320</v>
          </cell>
          <cell r="K207">
            <v>15.98</v>
          </cell>
          <cell r="L207">
            <v>155930</v>
          </cell>
          <cell r="M207">
            <v>1411655</v>
          </cell>
          <cell r="N207">
            <v>242</v>
          </cell>
          <cell r="O207">
            <v>11.05</v>
          </cell>
          <cell r="P207">
            <v>0</v>
          </cell>
          <cell r="Q207">
            <v>0</v>
          </cell>
          <cell r="R207">
            <v>0</v>
          </cell>
          <cell r="S207">
            <v>0</v>
          </cell>
          <cell r="T207">
            <v>833823</v>
          </cell>
          <cell r="U207">
            <v>5427664</v>
          </cell>
          <cell r="V207">
            <v>374742</v>
          </cell>
          <cell r="W207">
            <v>15.36</v>
          </cell>
        </row>
        <row r="208">
          <cell r="A208" t="str">
            <v>2019WA</v>
          </cell>
          <cell r="B208">
            <v>2019</v>
          </cell>
          <cell r="C208" t="str">
            <v>WA</v>
          </cell>
          <cell r="D208">
            <v>3544716</v>
          </cell>
          <cell r="E208">
            <v>36512424</v>
          </cell>
          <cell r="F208">
            <v>3126192</v>
          </cell>
          <cell r="G208">
            <v>9.7100000000000009</v>
          </cell>
          <cell r="H208">
            <v>2561371</v>
          </cell>
          <cell r="I208">
            <v>29269638</v>
          </cell>
          <cell r="J208">
            <v>389147</v>
          </cell>
          <cell r="K208">
            <v>8.75</v>
          </cell>
          <cell r="L208">
            <v>1209353</v>
          </cell>
          <cell r="M208">
            <v>25171873</v>
          </cell>
          <cell r="N208">
            <v>26829</v>
          </cell>
          <cell r="O208">
            <v>4.8</v>
          </cell>
          <cell r="P208">
            <v>9341</v>
          </cell>
          <cell r="Q208">
            <v>98861</v>
          </cell>
          <cell r="R208">
            <v>5</v>
          </cell>
          <cell r="S208">
            <v>9.4499999999999993</v>
          </cell>
          <cell r="T208">
            <v>7324781</v>
          </cell>
          <cell r="U208">
            <v>91052796</v>
          </cell>
          <cell r="V208">
            <v>3542173</v>
          </cell>
          <cell r="W208">
            <v>8.0399999999999991</v>
          </cell>
        </row>
        <row r="209">
          <cell r="A209" t="str">
            <v>2019WI</v>
          </cell>
          <cell r="B209">
            <v>2019</v>
          </cell>
          <cell r="C209" t="str">
            <v>WI</v>
          </cell>
          <cell r="D209">
            <v>3117985</v>
          </cell>
          <cell r="E209">
            <v>21995360</v>
          </cell>
          <cell r="F209">
            <v>2720287</v>
          </cell>
          <cell r="G209">
            <v>14.18</v>
          </cell>
          <cell r="H209">
            <v>2525071</v>
          </cell>
          <cell r="I209">
            <v>23546114</v>
          </cell>
          <cell r="J209">
            <v>356561</v>
          </cell>
          <cell r="K209">
            <v>10.72</v>
          </cell>
          <cell r="L209">
            <v>1727052</v>
          </cell>
          <cell r="M209">
            <v>23614832</v>
          </cell>
          <cell r="N209">
            <v>5522</v>
          </cell>
          <cell r="O209">
            <v>7.31</v>
          </cell>
          <cell r="P209">
            <v>171</v>
          </cell>
          <cell r="Q209">
            <v>1234</v>
          </cell>
          <cell r="R209">
            <v>2</v>
          </cell>
          <cell r="S209">
            <v>13.85</v>
          </cell>
          <cell r="T209">
            <v>7370279</v>
          </cell>
          <cell r="U209">
            <v>69157540</v>
          </cell>
          <cell r="V209">
            <v>3082372</v>
          </cell>
          <cell r="W209">
            <v>10.66</v>
          </cell>
        </row>
        <row r="210">
          <cell r="A210" t="str">
            <v>2019WV</v>
          </cell>
          <cell r="B210">
            <v>2019</v>
          </cell>
          <cell r="C210" t="str">
            <v>WV</v>
          </cell>
          <cell r="D210">
            <v>1254560</v>
          </cell>
          <cell r="E210">
            <v>11153219</v>
          </cell>
          <cell r="F210">
            <v>857666</v>
          </cell>
          <cell r="G210">
            <v>11.25</v>
          </cell>
          <cell r="H210">
            <v>693448</v>
          </cell>
          <cell r="I210">
            <v>7567130</v>
          </cell>
          <cell r="J210">
            <v>145225</v>
          </cell>
          <cell r="K210">
            <v>9.16</v>
          </cell>
          <cell r="L210">
            <v>875173</v>
          </cell>
          <cell r="M210">
            <v>14526664</v>
          </cell>
          <cell r="N210">
            <v>11562</v>
          </cell>
          <cell r="O210">
            <v>6.02</v>
          </cell>
          <cell r="P210">
            <v>0</v>
          </cell>
          <cell r="Q210">
            <v>0</v>
          </cell>
          <cell r="R210">
            <v>0</v>
          </cell>
          <cell r="S210">
            <v>0</v>
          </cell>
          <cell r="T210">
            <v>2823181</v>
          </cell>
          <cell r="U210">
            <v>33247013</v>
          </cell>
          <cell r="V210">
            <v>1014453</v>
          </cell>
          <cell r="W210">
            <v>8.49</v>
          </cell>
        </row>
        <row r="211">
          <cell r="A211" t="str">
            <v>2019WY</v>
          </cell>
          <cell r="B211">
            <v>2019</v>
          </cell>
          <cell r="C211" t="str">
            <v>WY</v>
          </cell>
          <cell r="D211">
            <v>318423</v>
          </cell>
          <cell r="E211">
            <v>2849378</v>
          </cell>
          <cell r="F211">
            <v>274881</v>
          </cell>
          <cell r="G211">
            <v>11.18</v>
          </cell>
          <cell r="H211">
            <v>344712</v>
          </cell>
          <cell r="I211">
            <v>3575477</v>
          </cell>
          <cell r="J211">
            <v>58325</v>
          </cell>
          <cell r="K211">
            <v>9.64</v>
          </cell>
          <cell r="L211">
            <v>695295</v>
          </cell>
          <cell r="M211">
            <v>10338641</v>
          </cell>
          <cell r="N211">
            <v>11294</v>
          </cell>
          <cell r="O211">
            <v>6.73</v>
          </cell>
          <cell r="P211">
            <v>0</v>
          </cell>
          <cell r="Q211">
            <v>0</v>
          </cell>
          <cell r="R211">
            <v>0</v>
          </cell>
          <cell r="S211">
            <v>0</v>
          </cell>
          <cell r="T211">
            <v>1358431</v>
          </cell>
          <cell r="U211">
            <v>16763496</v>
          </cell>
          <cell r="V211">
            <v>344500</v>
          </cell>
          <cell r="W211">
            <v>8.1</v>
          </cell>
        </row>
        <row r="212">
          <cell r="A212" t="str">
            <v>2019US</v>
          </cell>
          <cell r="B212">
            <v>2019</v>
          </cell>
          <cell r="C212" t="str">
            <v>US</v>
          </cell>
          <cell r="D212">
            <v>187436037</v>
          </cell>
          <cell r="E212">
            <v>1440288909</v>
          </cell>
          <cell r="F212">
            <v>135249616</v>
          </cell>
          <cell r="G212">
            <v>13.01</v>
          </cell>
          <cell r="H212">
            <v>145279763</v>
          </cell>
          <cell r="I212">
            <v>1360876555</v>
          </cell>
          <cell r="J212">
            <v>18694240</v>
          </cell>
          <cell r="K212">
            <v>10.68</v>
          </cell>
          <cell r="L212">
            <v>68284892</v>
          </cell>
          <cell r="M212">
            <v>1002352849</v>
          </cell>
          <cell r="N212">
            <v>954222</v>
          </cell>
          <cell r="O212">
            <v>6.81</v>
          </cell>
          <cell r="P212">
            <v>737452</v>
          </cell>
          <cell r="Q212">
            <v>7632150</v>
          </cell>
          <cell r="R212">
            <v>83</v>
          </cell>
          <cell r="S212">
            <v>9.66</v>
          </cell>
          <cell r="T212">
            <v>401738144</v>
          </cell>
          <cell r="U212">
            <v>3811150463</v>
          </cell>
          <cell r="V212">
            <v>154898161</v>
          </cell>
          <cell r="W212">
            <v>10.54</v>
          </cell>
        </row>
        <row r="213">
          <cell r="A213" t="str">
            <v>2018AK</v>
          </cell>
          <cell r="B213">
            <v>2018</v>
          </cell>
          <cell r="C213" t="str">
            <v>AK</v>
          </cell>
          <cell r="D213">
            <v>433247</v>
          </cell>
          <cell r="E213">
            <v>1974906</v>
          </cell>
          <cell r="F213">
            <v>287526</v>
          </cell>
          <cell r="G213">
            <v>21.94</v>
          </cell>
          <cell r="H213">
            <v>491609</v>
          </cell>
          <cell r="I213">
            <v>2646058</v>
          </cell>
          <cell r="J213">
            <v>53957</v>
          </cell>
          <cell r="K213">
            <v>18.579999999999998</v>
          </cell>
          <cell r="L213">
            <v>231156</v>
          </cell>
          <cell r="M213">
            <v>1351503</v>
          </cell>
          <cell r="N213">
            <v>1387</v>
          </cell>
          <cell r="O213">
            <v>17.100000000000001</v>
          </cell>
          <cell r="P213">
            <v>0</v>
          </cell>
          <cell r="Q213">
            <v>0</v>
          </cell>
          <cell r="R213">
            <v>0</v>
          </cell>
          <cell r="S213">
            <v>0</v>
          </cell>
          <cell r="T213">
            <v>1156012</v>
          </cell>
          <cell r="U213">
            <v>5972467</v>
          </cell>
          <cell r="V213">
            <v>342870</v>
          </cell>
          <cell r="W213">
            <v>19.36</v>
          </cell>
        </row>
        <row r="214">
          <cell r="A214" t="str">
            <v>2018AL</v>
          </cell>
          <cell r="B214">
            <v>2018</v>
          </cell>
          <cell r="C214" t="str">
            <v>AL</v>
          </cell>
          <cell r="D214">
            <v>4027603</v>
          </cell>
          <cell r="E214">
            <v>33080380</v>
          </cell>
          <cell r="F214">
            <v>2229472</v>
          </cell>
          <cell r="G214">
            <v>12.18</v>
          </cell>
          <cell r="H214">
            <v>2639244</v>
          </cell>
          <cell r="I214">
            <v>23483072</v>
          </cell>
          <cell r="J214">
            <v>371097</v>
          </cell>
          <cell r="K214">
            <v>11.24</v>
          </cell>
          <cell r="L214">
            <v>2027558</v>
          </cell>
          <cell r="M214">
            <v>33717004</v>
          </cell>
          <cell r="N214">
            <v>7342</v>
          </cell>
          <cell r="O214">
            <v>6.01</v>
          </cell>
          <cell r="P214">
            <v>0</v>
          </cell>
          <cell r="Q214">
            <v>0</v>
          </cell>
          <cell r="R214">
            <v>0</v>
          </cell>
          <cell r="S214">
            <v>0</v>
          </cell>
          <cell r="T214">
            <v>8694405</v>
          </cell>
          <cell r="U214">
            <v>90280456</v>
          </cell>
          <cell r="V214">
            <v>2607911</v>
          </cell>
          <cell r="W214">
            <v>9.6300000000000008</v>
          </cell>
        </row>
        <row r="215">
          <cell r="A215" t="str">
            <v>2018AR</v>
          </cell>
          <cell r="B215">
            <v>2018</v>
          </cell>
          <cell r="C215" t="str">
            <v>AR</v>
          </cell>
          <cell r="D215">
            <v>1888657</v>
          </cell>
          <cell r="E215">
            <v>19259204</v>
          </cell>
          <cell r="F215">
            <v>1388358</v>
          </cell>
          <cell r="G215">
            <v>9.81</v>
          </cell>
          <cell r="H215">
            <v>951473</v>
          </cell>
          <cell r="I215">
            <v>12278279</v>
          </cell>
          <cell r="J215">
            <v>196482</v>
          </cell>
          <cell r="K215">
            <v>7.75</v>
          </cell>
          <cell r="L215">
            <v>1018825</v>
          </cell>
          <cell r="M215">
            <v>18064787</v>
          </cell>
          <cell r="N215">
            <v>36596</v>
          </cell>
          <cell r="O215">
            <v>5.64</v>
          </cell>
          <cell r="P215">
            <v>50</v>
          </cell>
          <cell r="Q215">
            <v>438</v>
          </cell>
          <cell r="R215">
            <v>2</v>
          </cell>
          <cell r="S215">
            <v>11.35</v>
          </cell>
          <cell r="T215">
            <v>3859004</v>
          </cell>
          <cell r="U215">
            <v>49602708</v>
          </cell>
          <cell r="V215">
            <v>1621438</v>
          </cell>
          <cell r="W215">
            <v>7.78</v>
          </cell>
        </row>
        <row r="216">
          <cell r="A216" t="str">
            <v>2018AZ</v>
          </cell>
          <cell r="B216">
            <v>2018</v>
          </cell>
          <cell r="C216" t="str">
            <v>AZ</v>
          </cell>
          <cell r="D216">
            <v>4425192</v>
          </cell>
          <cell r="E216">
            <v>34660297</v>
          </cell>
          <cell r="F216">
            <v>2808352</v>
          </cell>
          <cell r="G216">
            <v>12.77</v>
          </cell>
          <cell r="H216">
            <v>3158290</v>
          </cell>
          <cell r="I216">
            <v>29683550</v>
          </cell>
          <cell r="J216">
            <v>322135</v>
          </cell>
          <cell r="K216">
            <v>10.64</v>
          </cell>
          <cell r="L216">
            <v>916272</v>
          </cell>
          <cell r="M216">
            <v>13994441</v>
          </cell>
          <cell r="N216">
            <v>7794</v>
          </cell>
          <cell r="O216">
            <v>6.55</v>
          </cell>
          <cell r="P216">
            <v>803</v>
          </cell>
          <cell r="Q216">
            <v>8014</v>
          </cell>
          <cell r="R216">
            <v>2</v>
          </cell>
          <cell r="S216">
            <v>10.02</v>
          </cell>
          <cell r="T216">
            <v>8500556</v>
          </cell>
          <cell r="U216">
            <v>78346302</v>
          </cell>
          <cell r="V216">
            <v>3138283</v>
          </cell>
          <cell r="W216">
            <v>10.85</v>
          </cell>
        </row>
        <row r="217">
          <cell r="A217" t="str">
            <v>2018CA</v>
          </cell>
          <cell r="B217">
            <v>2018</v>
          </cell>
          <cell r="C217" t="str">
            <v>CA</v>
          </cell>
          <cell r="D217">
            <v>16782222</v>
          </cell>
          <cell r="E217">
            <v>89099985</v>
          </cell>
          <cell r="F217">
            <v>13591152</v>
          </cell>
          <cell r="G217">
            <v>18.84</v>
          </cell>
          <cell r="H217">
            <v>18924312</v>
          </cell>
          <cell r="I217">
            <v>115786492</v>
          </cell>
          <cell r="J217">
            <v>1714875</v>
          </cell>
          <cell r="K217">
            <v>16.34</v>
          </cell>
          <cell r="L217">
            <v>6546363</v>
          </cell>
          <cell r="M217">
            <v>49587913</v>
          </cell>
          <cell r="N217">
            <v>148644</v>
          </cell>
          <cell r="O217">
            <v>13.2</v>
          </cell>
          <cell r="P217">
            <v>64821</v>
          </cell>
          <cell r="Q217">
            <v>749882</v>
          </cell>
          <cell r="R217">
            <v>12</v>
          </cell>
          <cell r="S217">
            <v>8.64</v>
          </cell>
          <cell r="T217">
            <v>42317717</v>
          </cell>
          <cell r="U217">
            <v>255224272</v>
          </cell>
          <cell r="V217">
            <v>15454683</v>
          </cell>
          <cell r="W217">
            <v>16.579999999999998</v>
          </cell>
        </row>
        <row r="218">
          <cell r="A218" t="str">
            <v>2018CO</v>
          </cell>
          <cell r="B218">
            <v>2018</v>
          </cell>
          <cell r="C218" t="str">
            <v>CO</v>
          </cell>
          <cell r="D218">
            <v>2342778</v>
          </cell>
          <cell r="E218">
            <v>19286952</v>
          </cell>
          <cell r="F218">
            <v>2326976</v>
          </cell>
          <cell r="G218">
            <v>12.15</v>
          </cell>
          <cell r="H218">
            <v>2105709</v>
          </cell>
          <cell r="I218">
            <v>21023300</v>
          </cell>
          <cell r="J218">
            <v>376104</v>
          </cell>
          <cell r="K218">
            <v>10.02</v>
          </cell>
          <cell r="L218">
            <v>1198532</v>
          </cell>
          <cell r="M218">
            <v>16047258</v>
          </cell>
          <cell r="N218">
            <v>15985</v>
          </cell>
          <cell r="O218">
            <v>7.47</v>
          </cell>
          <cell r="P218">
            <v>8371</v>
          </cell>
          <cell r="Q218">
            <v>92970</v>
          </cell>
          <cell r="R218">
            <v>1</v>
          </cell>
          <cell r="S218">
            <v>9</v>
          </cell>
          <cell r="T218">
            <v>5655389</v>
          </cell>
          <cell r="U218">
            <v>56450480</v>
          </cell>
          <cell r="V218">
            <v>2719066</v>
          </cell>
          <cell r="W218">
            <v>10.02</v>
          </cell>
        </row>
        <row r="219">
          <cell r="A219" t="str">
            <v>2018CT</v>
          </cell>
          <cell r="B219">
            <v>2018</v>
          </cell>
          <cell r="C219" t="str">
            <v>CT</v>
          </cell>
          <cell r="D219">
            <v>2769111</v>
          </cell>
          <cell r="E219">
            <v>13061372</v>
          </cell>
          <cell r="F219">
            <v>1503701</v>
          </cell>
          <cell r="G219">
            <v>21.2</v>
          </cell>
          <cell r="H219">
            <v>2074987</v>
          </cell>
          <cell r="I219">
            <v>12381063</v>
          </cell>
          <cell r="J219">
            <v>153824</v>
          </cell>
          <cell r="K219">
            <v>16.760000000000002</v>
          </cell>
          <cell r="L219">
            <v>441995</v>
          </cell>
          <cell r="M219">
            <v>3209992</v>
          </cell>
          <cell r="N219">
            <v>4308</v>
          </cell>
          <cell r="O219">
            <v>13.77</v>
          </cell>
          <cell r="P219">
            <v>23296</v>
          </cell>
          <cell r="Q219">
            <v>181498</v>
          </cell>
          <cell r="R219">
            <v>4</v>
          </cell>
          <cell r="S219">
            <v>12.84</v>
          </cell>
          <cell r="T219">
            <v>5309389</v>
          </cell>
          <cell r="U219">
            <v>28833925</v>
          </cell>
          <cell r="V219">
            <v>1661837</v>
          </cell>
          <cell r="W219">
            <v>18.41</v>
          </cell>
        </row>
        <row r="220">
          <cell r="A220" t="str">
            <v>2018DC</v>
          </cell>
          <cell r="B220">
            <v>2018</v>
          </cell>
          <cell r="C220" t="str">
            <v>DC</v>
          </cell>
          <cell r="D220">
            <v>332869</v>
          </cell>
          <cell r="E220">
            <v>2592242</v>
          </cell>
          <cell r="F220">
            <v>274613</v>
          </cell>
          <cell r="G220">
            <v>12.84</v>
          </cell>
          <cell r="H220">
            <v>985752</v>
          </cell>
          <cell r="I220">
            <v>8236225</v>
          </cell>
          <cell r="J220">
            <v>26336</v>
          </cell>
          <cell r="K220">
            <v>11.97</v>
          </cell>
          <cell r="L220">
            <v>15982</v>
          </cell>
          <cell r="M220">
            <v>192662</v>
          </cell>
          <cell r="N220">
            <v>1</v>
          </cell>
          <cell r="O220">
            <v>8.3000000000000007</v>
          </cell>
          <cell r="P220">
            <v>32125</v>
          </cell>
          <cell r="Q220">
            <v>336781</v>
          </cell>
          <cell r="R220">
            <v>3</v>
          </cell>
          <cell r="S220">
            <v>9.5399999999999991</v>
          </cell>
          <cell r="T220">
            <v>1366729</v>
          </cell>
          <cell r="U220">
            <v>11357910</v>
          </cell>
          <cell r="V220">
            <v>300953</v>
          </cell>
          <cell r="W220">
            <v>12.03</v>
          </cell>
        </row>
        <row r="221">
          <cell r="A221" t="str">
            <v>2018DE</v>
          </cell>
          <cell r="B221">
            <v>2018</v>
          </cell>
          <cell r="C221" t="str">
            <v>DE</v>
          </cell>
          <cell r="D221">
            <v>635362</v>
          </cell>
          <cell r="E221">
            <v>5070175</v>
          </cell>
          <cell r="F221">
            <v>432449</v>
          </cell>
          <cell r="G221">
            <v>12.53</v>
          </cell>
          <cell r="H221">
            <v>419179</v>
          </cell>
          <cell r="I221">
            <v>4342340</v>
          </cell>
          <cell r="J221">
            <v>54904</v>
          </cell>
          <cell r="K221">
            <v>9.65</v>
          </cell>
          <cell r="L221">
            <v>187698</v>
          </cell>
          <cell r="M221">
            <v>2360585</v>
          </cell>
          <cell r="N221">
            <v>837</v>
          </cell>
          <cell r="O221">
            <v>7.95</v>
          </cell>
          <cell r="P221">
            <v>0</v>
          </cell>
          <cell r="Q221">
            <v>0</v>
          </cell>
          <cell r="R221">
            <v>0</v>
          </cell>
          <cell r="S221">
            <v>0</v>
          </cell>
          <cell r="T221">
            <v>1242239</v>
          </cell>
          <cell r="U221">
            <v>11773100</v>
          </cell>
          <cell r="V221">
            <v>488190</v>
          </cell>
          <cell r="W221">
            <v>10.55</v>
          </cell>
        </row>
        <row r="222">
          <cell r="A222" t="str">
            <v>2018FL</v>
          </cell>
          <cell r="B222">
            <v>2018</v>
          </cell>
          <cell r="C222" t="str">
            <v>FL</v>
          </cell>
          <cell r="D222">
            <v>14485280</v>
          </cell>
          <cell r="E222">
            <v>125528047</v>
          </cell>
          <cell r="F222">
            <v>9423022</v>
          </cell>
          <cell r="G222">
            <v>11.54</v>
          </cell>
          <cell r="H222">
            <v>8845109</v>
          </cell>
          <cell r="I222">
            <v>96265276</v>
          </cell>
          <cell r="J222">
            <v>1229559</v>
          </cell>
          <cell r="K222">
            <v>9.19</v>
          </cell>
          <cell r="L222">
            <v>1276341</v>
          </cell>
          <cell r="M222">
            <v>16689129</v>
          </cell>
          <cell r="N222">
            <v>21327</v>
          </cell>
          <cell r="O222">
            <v>7.65</v>
          </cell>
          <cell r="P222">
            <v>6854</v>
          </cell>
          <cell r="Q222">
            <v>82939</v>
          </cell>
          <cell r="R222">
            <v>2</v>
          </cell>
          <cell r="S222">
            <v>8.26</v>
          </cell>
          <cell r="T222">
            <v>24613584</v>
          </cell>
          <cell r="U222">
            <v>238565391</v>
          </cell>
          <cell r="V222">
            <v>10673910</v>
          </cell>
          <cell r="W222">
            <v>10.32</v>
          </cell>
        </row>
        <row r="223">
          <cell r="A223" t="str">
            <v>2018GA</v>
          </cell>
          <cell r="B223">
            <v>2018</v>
          </cell>
          <cell r="C223" t="str">
            <v>GA</v>
          </cell>
          <cell r="D223">
            <v>6847325</v>
          </cell>
          <cell r="E223">
            <v>59689106</v>
          </cell>
          <cell r="F223">
            <v>4354021</v>
          </cell>
          <cell r="G223">
            <v>11.47</v>
          </cell>
          <cell r="H223">
            <v>4633071</v>
          </cell>
          <cell r="I223">
            <v>47311675</v>
          </cell>
          <cell r="J223">
            <v>579468</v>
          </cell>
          <cell r="K223">
            <v>9.7899999999999991</v>
          </cell>
          <cell r="L223">
            <v>1963178</v>
          </cell>
          <cell r="M223">
            <v>32695791</v>
          </cell>
          <cell r="N223">
            <v>23065</v>
          </cell>
          <cell r="O223">
            <v>6</v>
          </cell>
          <cell r="P223">
            <v>9354</v>
          </cell>
          <cell r="Q223">
            <v>169502</v>
          </cell>
          <cell r="R223">
            <v>1</v>
          </cell>
          <cell r="S223">
            <v>5.52</v>
          </cell>
          <cell r="T223">
            <v>13452928</v>
          </cell>
          <cell r="U223">
            <v>139866074</v>
          </cell>
          <cell r="V223">
            <v>4956555</v>
          </cell>
          <cell r="W223">
            <v>9.6199999999999992</v>
          </cell>
        </row>
        <row r="224">
          <cell r="A224" t="str">
            <v>2018HI</v>
          </cell>
          <cell r="B224">
            <v>2018</v>
          </cell>
          <cell r="C224" t="str">
            <v>HI</v>
          </cell>
          <cell r="D224">
            <v>880207</v>
          </cell>
          <cell r="E224">
            <v>2710698</v>
          </cell>
          <cell r="F224">
            <v>436266</v>
          </cell>
          <cell r="G224">
            <v>32.47</v>
          </cell>
          <cell r="H224">
            <v>906817</v>
          </cell>
          <cell r="I224">
            <v>3033009</v>
          </cell>
          <cell r="J224">
            <v>59661</v>
          </cell>
          <cell r="K224">
            <v>29.9</v>
          </cell>
          <cell r="L224">
            <v>937994</v>
          </cell>
          <cell r="M224">
            <v>3593454</v>
          </cell>
          <cell r="N224">
            <v>814</v>
          </cell>
          <cell r="O224">
            <v>26.1</v>
          </cell>
          <cell r="P224">
            <v>0</v>
          </cell>
          <cell r="Q224">
            <v>0</v>
          </cell>
          <cell r="R224">
            <v>0</v>
          </cell>
          <cell r="S224">
            <v>0</v>
          </cell>
          <cell r="T224">
            <v>2725018</v>
          </cell>
          <cell r="U224">
            <v>9337161</v>
          </cell>
          <cell r="V224">
            <v>496741</v>
          </cell>
          <cell r="W224">
            <v>29.18</v>
          </cell>
        </row>
        <row r="225">
          <cell r="A225" t="str">
            <v>2018IA</v>
          </cell>
          <cell r="B225">
            <v>2018</v>
          </cell>
          <cell r="C225" t="str">
            <v>IA</v>
          </cell>
          <cell r="D225">
            <v>1817122</v>
          </cell>
          <cell r="E225">
            <v>14840349</v>
          </cell>
          <cell r="F225">
            <v>1385756</v>
          </cell>
          <cell r="G225">
            <v>12.24</v>
          </cell>
          <cell r="H225">
            <v>1202569</v>
          </cell>
          <cell r="I225">
            <v>12417671</v>
          </cell>
          <cell r="J225">
            <v>239703</v>
          </cell>
          <cell r="K225">
            <v>9.68</v>
          </cell>
          <cell r="L225">
            <v>1546011</v>
          </cell>
          <cell r="M225">
            <v>23952635</v>
          </cell>
          <cell r="N225">
            <v>7890</v>
          </cell>
          <cell r="O225">
            <v>6.45</v>
          </cell>
          <cell r="P225">
            <v>0</v>
          </cell>
          <cell r="Q225">
            <v>0</v>
          </cell>
          <cell r="R225">
            <v>0</v>
          </cell>
          <cell r="S225">
            <v>0</v>
          </cell>
          <cell r="T225">
            <v>4565702</v>
          </cell>
          <cell r="U225">
            <v>51210655</v>
          </cell>
          <cell r="V225">
            <v>1633349</v>
          </cell>
          <cell r="W225">
            <v>8.92</v>
          </cell>
        </row>
        <row r="226">
          <cell r="A226" t="str">
            <v>2018ID</v>
          </cell>
          <cell r="B226">
            <v>2018</v>
          </cell>
          <cell r="C226" t="str">
            <v>ID</v>
          </cell>
          <cell r="D226">
            <v>855157</v>
          </cell>
          <cell r="E226">
            <v>8427578</v>
          </cell>
          <cell r="F226">
            <v>743567</v>
          </cell>
          <cell r="G226">
            <v>10.15</v>
          </cell>
          <cell r="H226">
            <v>510534</v>
          </cell>
          <cell r="I226">
            <v>6436893</v>
          </cell>
          <cell r="J226">
            <v>110797</v>
          </cell>
          <cell r="K226">
            <v>7.93</v>
          </cell>
          <cell r="L226">
            <v>575247</v>
          </cell>
          <cell r="M226">
            <v>8889037</v>
          </cell>
          <cell r="N226">
            <v>28418</v>
          </cell>
          <cell r="O226">
            <v>6.47</v>
          </cell>
          <cell r="P226">
            <v>0</v>
          </cell>
          <cell r="Q226">
            <v>0</v>
          </cell>
          <cell r="R226">
            <v>0</v>
          </cell>
          <cell r="S226">
            <v>0</v>
          </cell>
          <cell r="T226">
            <v>1940939</v>
          </cell>
          <cell r="U226">
            <v>23753508</v>
          </cell>
          <cell r="V226">
            <v>882782</v>
          </cell>
          <cell r="W226">
            <v>8.17</v>
          </cell>
        </row>
        <row r="227">
          <cell r="A227" t="str">
            <v>2018IL</v>
          </cell>
          <cell r="B227">
            <v>2018</v>
          </cell>
          <cell r="C227" t="str">
            <v>IL</v>
          </cell>
          <cell r="D227">
            <v>6028532</v>
          </cell>
          <cell r="E227">
            <v>47225915</v>
          </cell>
          <cell r="F227">
            <v>5289573</v>
          </cell>
          <cell r="G227">
            <v>12.77</v>
          </cell>
          <cell r="H227">
            <v>4631432</v>
          </cell>
          <cell r="I227">
            <v>50762829</v>
          </cell>
          <cell r="J227">
            <v>616192</v>
          </cell>
          <cell r="K227">
            <v>9.1199999999999992</v>
          </cell>
          <cell r="L227">
            <v>2998939</v>
          </cell>
          <cell r="M227">
            <v>44114711</v>
          </cell>
          <cell r="N227">
            <v>5717</v>
          </cell>
          <cell r="O227">
            <v>6.8</v>
          </cell>
          <cell r="P227">
            <v>37205</v>
          </cell>
          <cell r="Q227">
            <v>551353</v>
          </cell>
          <cell r="R227">
            <v>3</v>
          </cell>
          <cell r="S227">
            <v>6.75</v>
          </cell>
          <cell r="T227">
            <v>13696108</v>
          </cell>
          <cell r="U227">
            <v>142654808</v>
          </cell>
          <cell r="V227">
            <v>5911485</v>
          </cell>
          <cell r="W227">
            <v>9.6</v>
          </cell>
        </row>
        <row r="228">
          <cell r="A228" t="str">
            <v>2018IN</v>
          </cell>
          <cell r="B228">
            <v>2018</v>
          </cell>
          <cell r="C228" t="str">
            <v>IN</v>
          </cell>
          <cell r="D228">
            <v>4239862</v>
          </cell>
          <cell r="E228">
            <v>34574664</v>
          </cell>
          <cell r="F228">
            <v>2863358</v>
          </cell>
          <cell r="G228">
            <v>12.26</v>
          </cell>
          <cell r="H228">
            <v>2575962</v>
          </cell>
          <cell r="I228">
            <v>24305199</v>
          </cell>
          <cell r="J228">
            <v>354730</v>
          </cell>
          <cell r="K228">
            <v>10.6</v>
          </cell>
          <cell r="L228">
            <v>3343388</v>
          </cell>
          <cell r="M228">
            <v>45293322</v>
          </cell>
          <cell r="N228">
            <v>17763</v>
          </cell>
          <cell r="O228">
            <v>7.38</v>
          </cell>
          <cell r="P228">
            <v>2213</v>
          </cell>
          <cell r="Q228">
            <v>21191</v>
          </cell>
          <cell r="R228">
            <v>1</v>
          </cell>
          <cell r="S228">
            <v>10.44</v>
          </cell>
          <cell r="T228">
            <v>10161425</v>
          </cell>
          <cell r="U228">
            <v>104194376</v>
          </cell>
          <cell r="V228">
            <v>3235852</v>
          </cell>
          <cell r="W228">
            <v>9.75</v>
          </cell>
        </row>
        <row r="229">
          <cell r="A229" t="str">
            <v>2018KS</v>
          </cell>
          <cell r="B229">
            <v>2018</v>
          </cell>
          <cell r="C229" t="str">
            <v>KS</v>
          </cell>
          <cell r="D229">
            <v>1894142</v>
          </cell>
          <cell r="E229">
            <v>14187192</v>
          </cell>
          <cell r="F229">
            <v>1266044</v>
          </cell>
          <cell r="G229">
            <v>13.35</v>
          </cell>
          <cell r="H229">
            <v>1723136</v>
          </cell>
          <cell r="I229">
            <v>16168750</v>
          </cell>
          <cell r="J229">
            <v>234091</v>
          </cell>
          <cell r="K229">
            <v>10.66</v>
          </cell>
          <cell r="L229">
            <v>887449</v>
          </cell>
          <cell r="M229">
            <v>11681037</v>
          </cell>
          <cell r="N229">
            <v>24185</v>
          </cell>
          <cell r="O229">
            <v>7.6</v>
          </cell>
          <cell r="P229">
            <v>0</v>
          </cell>
          <cell r="Q229">
            <v>0</v>
          </cell>
          <cell r="R229">
            <v>0</v>
          </cell>
          <cell r="S229">
            <v>0</v>
          </cell>
          <cell r="T229">
            <v>4504726</v>
          </cell>
          <cell r="U229">
            <v>42036979</v>
          </cell>
          <cell r="V229">
            <v>1524320</v>
          </cell>
          <cell r="W229">
            <v>10.72</v>
          </cell>
        </row>
        <row r="230">
          <cell r="A230" t="str">
            <v>2018KY</v>
          </cell>
          <cell r="B230">
            <v>2018</v>
          </cell>
          <cell r="C230" t="str">
            <v>KY</v>
          </cell>
          <cell r="D230">
            <v>2936379</v>
          </cell>
          <cell r="E230">
            <v>27712722</v>
          </cell>
          <cell r="F230">
            <v>1980209</v>
          </cell>
          <cell r="G230">
            <v>10.6</v>
          </cell>
          <cell r="H230">
            <v>1945913</v>
          </cell>
          <cell r="I230">
            <v>19980485</v>
          </cell>
          <cell r="J230">
            <v>305417</v>
          </cell>
          <cell r="K230">
            <v>9.74</v>
          </cell>
          <cell r="L230">
            <v>1642598</v>
          </cell>
          <cell r="M230">
            <v>28917429</v>
          </cell>
          <cell r="N230">
            <v>6750</v>
          </cell>
          <cell r="O230">
            <v>5.68</v>
          </cell>
          <cell r="P230">
            <v>0</v>
          </cell>
          <cell r="Q230">
            <v>0</v>
          </cell>
          <cell r="R230">
            <v>0</v>
          </cell>
          <cell r="S230">
            <v>0</v>
          </cell>
          <cell r="T230">
            <v>6524890</v>
          </cell>
          <cell r="U230">
            <v>76610636</v>
          </cell>
          <cell r="V230">
            <v>2292376</v>
          </cell>
          <cell r="W230">
            <v>8.52</v>
          </cell>
        </row>
        <row r="231">
          <cell r="A231" t="str">
            <v>2018LA</v>
          </cell>
          <cell r="B231">
            <v>2018</v>
          </cell>
          <cell r="C231" t="str">
            <v>LA</v>
          </cell>
          <cell r="D231">
            <v>3074086</v>
          </cell>
          <cell r="E231">
            <v>32065538</v>
          </cell>
          <cell r="F231">
            <v>2085055</v>
          </cell>
          <cell r="G231">
            <v>9.59</v>
          </cell>
          <cell r="H231">
            <v>2184935</v>
          </cell>
          <cell r="I231">
            <v>24690904</v>
          </cell>
          <cell r="J231">
            <v>292752</v>
          </cell>
          <cell r="K231">
            <v>8.85</v>
          </cell>
          <cell r="L231">
            <v>2002500</v>
          </cell>
          <cell r="M231">
            <v>37416715</v>
          </cell>
          <cell r="N231">
            <v>19558</v>
          </cell>
          <cell r="O231">
            <v>5.35</v>
          </cell>
          <cell r="P231">
            <v>1189</v>
          </cell>
          <cell r="Q231">
            <v>12915</v>
          </cell>
          <cell r="R231">
            <v>1</v>
          </cell>
          <cell r="S231">
            <v>9.2100000000000009</v>
          </cell>
          <cell r="T231">
            <v>7262710</v>
          </cell>
          <cell r="U231">
            <v>94186072</v>
          </cell>
          <cell r="V231">
            <v>2397366</v>
          </cell>
          <cell r="W231">
            <v>7.71</v>
          </cell>
        </row>
        <row r="232">
          <cell r="A232" t="str">
            <v>2018MA</v>
          </cell>
          <cell r="B232">
            <v>2018</v>
          </cell>
          <cell r="C232" t="str">
            <v>MA</v>
          </cell>
          <cell r="D232">
            <v>4383449</v>
          </cell>
          <cell r="E232">
            <v>20284674</v>
          </cell>
          <cell r="F232">
            <v>2784243</v>
          </cell>
          <cell r="G232">
            <v>21.61</v>
          </cell>
          <cell r="H232">
            <v>4456596</v>
          </cell>
          <cell r="I232">
            <v>25952481</v>
          </cell>
          <cell r="J232">
            <v>408972</v>
          </cell>
          <cell r="K232">
            <v>17.170000000000002</v>
          </cell>
          <cell r="L232">
            <v>997600</v>
          </cell>
          <cell r="M232">
            <v>6699302</v>
          </cell>
          <cell r="N232">
            <v>10503</v>
          </cell>
          <cell r="O232">
            <v>14.89</v>
          </cell>
          <cell r="P232">
            <v>22255</v>
          </cell>
          <cell r="Q232">
            <v>348572</v>
          </cell>
          <cell r="R232">
            <v>2</v>
          </cell>
          <cell r="S232">
            <v>6.38</v>
          </cell>
          <cell r="T232">
            <v>9859899</v>
          </cell>
          <cell r="U232">
            <v>53285029</v>
          </cell>
          <cell r="V232">
            <v>3203720</v>
          </cell>
          <cell r="W232">
            <v>18.5</v>
          </cell>
        </row>
        <row r="233">
          <cell r="A233" t="str">
            <v>2018MD</v>
          </cell>
          <cell r="B233">
            <v>2018</v>
          </cell>
          <cell r="C233" t="str">
            <v>MD</v>
          </cell>
          <cell r="D233">
            <v>3741620</v>
          </cell>
          <cell r="E233">
            <v>28138474</v>
          </cell>
          <cell r="F233">
            <v>2332517</v>
          </cell>
          <cell r="G233">
            <v>13.3</v>
          </cell>
          <cell r="H233">
            <v>3082523</v>
          </cell>
          <cell r="I233">
            <v>29547518</v>
          </cell>
          <cell r="J233">
            <v>254163</v>
          </cell>
          <cell r="K233">
            <v>10.43</v>
          </cell>
          <cell r="L233">
            <v>318402</v>
          </cell>
          <cell r="M233">
            <v>3870188</v>
          </cell>
          <cell r="N233">
            <v>8801</v>
          </cell>
          <cell r="O233">
            <v>8.23</v>
          </cell>
          <cell r="P233">
            <v>39440</v>
          </cell>
          <cell r="Q233">
            <v>530275</v>
          </cell>
          <cell r="R233">
            <v>5</v>
          </cell>
          <cell r="S233">
            <v>7.44</v>
          </cell>
          <cell r="T233">
            <v>7181985</v>
          </cell>
          <cell r="U233">
            <v>62086455</v>
          </cell>
          <cell r="V233">
            <v>2595486</v>
          </cell>
          <cell r="W233">
            <v>11.57</v>
          </cell>
        </row>
        <row r="234">
          <cell r="A234" t="str">
            <v>2018ME</v>
          </cell>
          <cell r="B234">
            <v>2018</v>
          </cell>
          <cell r="C234" t="str">
            <v>ME</v>
          </cell>
          <cell r="D234">
            <v>820564</v>
          </cell>
          <cell r="E234">
            <v>4872001</v>
          </cell>
          <cell r="F234">
            <v>709848</v>
          </cell>
          <cell r="G234">
            <v>16.84</v>
          </cell>
          <cell r="H234">
            <v>556411</v>
          </cell>
          <cell r="I234">
            <v>4447245</v>
          </cell>
          <cell r="J234">
            <v>96066</v>
          </cell>
          <cell r="K234">
            <v>12.51</v>
          </cell>
          <cell r="L234">
            <v>282922</v>
          </cell>
          <cell r="M234">
            <v>3035573</v>
          </cell>
          <cell r="N234">
            <v>3064</v>
          </cell>
          <cell r="O234">
            <v>9.32</v>
          </cell>
          <cell r="P234">
            <v>0</v>
          </cell>
          <cell r="Q234">
            <v>0</v>
          </cell>
          <cell r="R234">
            <v>0</v>
          </cell>
          <cell r="S234">
            <v>0</v>
          </cell>
          <cell r="T234">
            <v>1659897</v>
          </cell>
          <cell r="U234">
            <v>12354819</v>
          </cell>
          <cell r="V234">
            <v>808978</v>
          </cell>
          <cell r="W234">
            <v>13.44</v>
          </cell>
        </row>
        <row r="235">
          <cell r="A235" t="str">
            <v>2018MI</v>
          </cell>
          <cell r="B235">
            <v>2018</v>
          </cell>
          <cell r="C235" t="str">
            <v>MI</v>
          </cell>
          <cell r="D235">
            <v>5426835</v>
          </cell>
          <cell r="E235">
            <v>35131422</v>
          </cell>
          <cell r="F235">
            <v>4365529</v>
          </cell>
          <cell r="G235">
            <v>15.45</v>
          </cell>
          <cell r="H235">
            <v>4339291</v>
          </cell>
          <cell r="I235">
            <v>38925268</v>
          </cell>
          <cell r="J235">
            <v>543261</v>
          </cell>
          <cell r="K235">
            <v>11.15</v>
          </cell>
          <cell r="L235">
            <v>2187188</v>
          </cell>
          <cell r="M235">
            <v>30806023</v>
          </cell>
          <cell r="N235">
            <v>5972</v>
          </cell>
          <cell r="O235">
            <v>7.1</v>
          </cell>
          <cell r="P235">
            <v>730</v>
          </cell>
          <cell r="Q235">
            <v>6783</v>
          </cell>
          <cell r="R235">
            <v>2</v>
          </cell>
          <cell r="S235">
            <v>10.76</v>
          </cell>
          <cell r="T235">
            <v>11954044</v>
          </cell>
          <cell r="U235">
            <v>104869496</v>
          </cell>
          <cell r="V235">
            <v>4914764</v>
          </cell>
          <cell r="W235">
            <v>11.4</v>
          </cell>
        </row>
        <row r="236">
          <cell r="A236" t="str">
            <v>2018MN</v>
          </cell>
          <cell r="B236">
            <v>2018</v>
          </cell>
          <cell r="C236" t="str">
            <v>MN</v>
          </cell>
          <cell r="D236">
            <v>3001391</v>
          </cell>
          <cell r="E236">
            <v>22837140</v>
          </cell>
          <cell r="F236">
            <v>2420325</v>
          </cell>
          <cell r="G236">
            <v>13.14</v>
          </cell>
          <cell r="H236">
            <v>2429217</v>
          </cell>
          <cell r="I236">
            <v>23398557</v>
          </cell>
          <cell r="J236">
            <v>295855</v>
          </cell>
          <cell r="K236">
            <v>10.38</v>
          </cell>
          <cell r="L236">
            <v>1688832</v>
          </cell>
          <cell r="M236">
            <v>22446853</v>
          </cell>
          <cell r="N236">
            <v>9066</v>
          </cell>
          <cell r="O236">
            <v>7.52</v>
          </cell>
          <cell r="P236">
            <v>2475</v>
          </cell>
          <cell r="Q236">
            <v>25832</v>
          </cell>
          <cell r="R236">
            <v>1</v>
          </cell>
          <cell r="S236">
            <v>9.58</v>
          </cell>
          <cell r="T236">
            <v>7121914</v>
          </cell>
          <cell r="U236">
            <v>68708382</v>
          </cell>
          <cell r="V236">
            <v>2725247</v>
          </cell>
          <cell r="W236">
            <v>10.37</v>
          </cell>
        </row>
        <row r="237">
          <cell r="A237" t="str">
            <v>2018MO</v>
          </cell>
          <cell r="B237">
            <v>2018</v>
          </cell>
          <cell r="C237" t="str">
            <v>MO</v>
          </cell>
          <cell r="D237">
            <v>4248638</v>
          </cell>
          <cell r="E237">
            <v>37463390</v>
          </cell>
          <cell r="F237">
            <v>2792459</v>
          </cell>
          <cell r="G237">
            <v>11.34</v>
          </cell>
          <cell r="H237">
            <v>2931288</v>
          </cell>
          <cell r="I237">
            <v>31179283</v>
          </cell>
          <cell r="J237">
            <v>384493</v>
          </cell>
          <cell r="K237">
            <v>9.4</v>
          </cell>
          <cell r="L237">
            <v>966201</v>
          </cell>
          <cell r="M237">
            <v>13389587</v>
          </cell>
          <cell r="N237">
            <v>8085</v>
          </cell>
          <cell r="O237">
            <v>7.22</v>
          </cell>
          <cell r="P237">
            <v>2008</v>
          </cell>
          <cell r="Q237">
            <v>23575</v>
          </cell>
          <cell r="R237">
            <v>2</v>
          </cell>
          <cell r="S237">
            <v>8.52</v>
          </cell>
          <cell r="T237">
            <v>8148136</v>
          </cell>
          <cell r="U237">
            <v>82055835</v>
          </cell>
          <cell r="V237">
            <v>3185039</v>
          </cell>
          <cell r="W237">
            <v>9.93</v>
          </cell>
        </row>
        <row r="238">
          <cell r="A238" t="str">
            <v>2018MS</v>
          </cell>
          <cell r="B238">
            <v>2018</v>
          </cell>
          <cell r="C238" t="str">
            <v>MS</v>
          </cell>
          <cell r="D238">
            <v>2146535</v>
          </cell>
          <cell r="E238">
            <v>19310527</v>
          </cell>
          <cell r="F238">
            <v>1290281</v>
          </cell>
          <cell r="G238">
            <v>11.12</v>
          </cell>
          <cell r="H238">
            <v>1515723</v>
          </cell>
          <cell r="I238">
            <v>14530226</v>
          </cell>
          <cell r="J238">
            <v>236871</v>
          </cell>
          <cell r="K238">
            <v>10.43</v>
          </cell>
          <cell r="L238">
            <v>993099</v>
          </cell>
          <cell r="M238">
            <v>16549315</v>
          </cell>
          <cell r="N238">
            <v>10988</v>
          </cell>
          <cell r="O238">
            <v>6</v>
          </cell>
          <cell r="P238">
            <v>0</v>
          </cell>
          <cell r="Q238">
            <v>0</v>
          </cell>
          <cell r="R238">
            <v>0</v>
          </cell>
          <cell r="S238">
            <v>0</v>
          </cell>
          <cell r="T238">
            <v>4655357</v>
          </cell>
          <cell r="U238">
            <v>50390068</v>
          </cell>
          <cell r="V238">
            <v>1538140</v>
          </cell>
          <cell r="W238">
            <v>9.24</v>
          </cell>
        </row>
        <row r="239">
          <cell r="A239" t="str">
            <v>2018MT</v>
          </cell>
          <cell r="B239">
            <v>2018</v>
          </cell>
          <cell r="C239" t="str">
            <v>MT</v>
          </cell>
          <cell r="D239">
            <v>569768</v>
          </cell>
          <cell r="E239">
            <v>5197686</v>
          </cell>
          <cell r="F239">
            <v>509526</v>
          </cell>
          <cell r="G239">
            <v>10.96</v>
          </cell>
          <cell r="H239">
            <v>497390</v>
          </cell>
          <cell r="I239">
            <v>4921231</v>
          </cell>
          <cell r="J239">
            <v>108695</v>
          </cell>
          <cell r="K239">
            <v>10.11</v>
          </cell>
          <cell r="L239">
            <v>245120</v>
          </cell>
          <cell r="M239">
            <v>4719928</v>
          </cell>
          <cell r="N239">
            <v>9915</v>
          </cell>
          <cell r="O239">
            <v>5.19</v>
          </cell>
          <cell r="P239">
            <v>0</v>
          </cell>
          <cell r="Q239">
            <v>0</v>
          </cell>
          <cell r="R239">
            <v>0</v>
          </cell>
          <cell r="S239">
            <v>0</v>
          </cell>
          <cell r="T239">
            <v>1312279</v>
          </cell>
          <cell r="U239">
            <v>14838845</v>
          </cell>
          <cell r="V239">
            <v>628136</v>
          </cell>
          <cell r="W239">
            <v>8.84</v>
          </cell>
        </row>
        <row r="240">
          <cell r="A240" t="str">
            <v>2018NC</v>
          </cell>
          <cell r="B240">
            <v>2018</v>
          </cell>
          <cell r="C240" t="str">
            <v>NC</v>
          </cell>
          <cell r="D240">
            <v>6834735</v>
          </cell>
          <cell r="E240">
            <v>61622454</v>
          </cell>
          <cell r="F240">
            <v>4550420</v>
          </cell>
          <cell r="G240">
            <v>11.09</v>
          </cell>
          <cell r="H240">
            <v>4228751</v>
          </cell>
          <cell r="I240">
            <v>49298402</v>
          </cell>
          <cell r="J240">
            <v>691673</v>
          </cell>
          <cell r="K240">
            <v>8.58</v>
          </cell>
          <cell r="L240">
            <v>1732371</v>
          </cell>
          <cell r="M240">
            <v>27353560</v>
          </cell>
          <cell r="N240">
            <v>10025</v>
          </cell>
          <cell r="O240">
            <v>6.33</v>
          </cell>
          <cell r="P240">
            <v>1042</v>
          </cell>
          <cell r="Q240">
            <v>12988</v>
          </cell>
          <cell r="R240">
            <v>1</v>
          </cell>
          <cell r="S240">
            <v>8.02</v>
          </cell>
          <cell r="T240">
            <v>12796899</v>
          </cell>
          <cell r="U240">
            <v>138287404</v>
          </cell>
          <cell r="V240">
            <v>5252119</v>
          </cell>
          <cell r="W240">
            <v>9.25</v>
          </cell>
        </row>
        <row r="241">
          <cell r="A241" t="str">
            <v>2018ND</v>
          </cell>
          <cell r="B241">
            <v>2018</v>
          </cell>
          <cell r="C241" t="str">
            <v>ND</v>
          </cell>
          <cell r="D241">
            <v>526145</v>
          </cell>
          <cell r="E241">
            <v>5133171</v>
          </cell>
          <cell r="F241">
            <v>382596</v>
          </cell>
          <cell r="G241">
            <v>10.25</v>
          </cell>
          <cell r="H241">
            <v>621753</v>
          </cell>
          <cell r="I241">
            <v>6835913</v>
          </cell>
          <cell r="J241">
            <v>75148</v>
          </cell>
          <cell r="K241">
            <v>9.1</v>
          </cell>
          <cell r="L241">
            <v>694475</v>
          </cell>
          <cell r="M241">
            <v>8700422</v>
          </cell>
          <cell r="N241">
            <v>8985</v>
          </cell>
          <cell r="O241">
            <v>7.98</v>
          </cell>
          <cell r="P241">
            <v>0</v>
          </cell>
          <cell r="Q241">
            <v>0</v>
          </cell>
          <cell r="R241">
            <v>0</v>
          </cell>
          <cell r="S241">
            <v>0</v>
          </cell>
          <cell r="T241">
            <v>1842373</v>
          </cell>
          <cell r="U241">
            <v>20669506</v>
          </cell>
          <cell r="V241">
            <v>466729</v>
          </cell>
          <cell r="W241">
            <v>8.91</v>
          </cell>
        </row>
        <row r="242">
          <cell r="A242" t="str">
            <v>2018NE</v>
          </cell>
          <cell r="B242">
            <v>2018</v>
          </cell>
          <cell r="C242" t="str">
            <v>NE</v>
          </cell>
          <cell r="D242">
            <v>1114442</v>
          </cell>
          <cell r="E242">
            <v>10412008</v>
          </cell>
          <cell r="F242">
            <v>849898</v>
          </cell>
          <cell r="G242">
            <v>10.7</v>
          </cell>
          <cell r="H242">
            <v>843309</v>
          </cell>
          <cell r="I242">
            <v>9553396</v>
          </cell>
          <cell r="J242">
            <v>153749</v>
          </cell>
          <cell r="K242">
            <v>8.83</v>
          </cell>
          <cell r="L242">
            <v>833976</v>
          </cell>
          <cell r="M242">
            <v>10974088</v>
          </cell>
          <cell r="N242">
            <v>61968</v>
          </cell>
          <cell r="O242">
            <v>7.6</v>
          </cell>
          <cell r="P242">
            <v>0</v>
          </cell>
          <cell r="Q242">
            <v>0</v>
          </cell>
          <cell r="R242">
            <v>0</v>
          </cell>
          <cell r="S242">
            <v>0</v>
          </cell>
          <cell r="T242">
            <v>2791727</v>
          </cell>
          <cell r="U242">
            <v>30939492</v>
          </cell>
          <cell r="V242">
            <v>1065615</v>
          </cell>
          <cell r="W242">
            <v>9.02</v>
          </cell>
        </row>
        <row r="243">
          <cell r="A243" t="str">
            <v>2018NH</v>
          </cell>
          <cell r="B243">
            <v>2018</v>
          </cell>
          <cell r="C243" t="str">
            <v>NH</v>
          </cell>
          <cell r="D243">
            <v>913613</v>
          </cell>
          <cell r="E243">
            <v>4641013</v>
          </cell>
          <cell r="F243">
            <v>622671</v>
          </cell>
          <cell r="G243">
            <v>19.690000000000001</v>
          </cell>
          <cell r="H243">
            <v>702541</v>
          </cell>
          <cell r="I243">
            <v>4442560</v>
          </cell>
          <cell r="J243">
            <v>107805</v>
          </cell>
          <cell r="K243">
            <v>15.81</v>
          </cell>
          <cell r="L243">
            <v>263361</v>
          </cell>
          <cell r="M243">
            <v>1962711</v>
          </cell>
          <cell r="N243">
            <v>3176</v>
          </cell>
          <cell r="O243">
            <v>13.42</v>
          </cell>
          <cell r="P243">
            <v>0</v>
          </cell>
          <cell r="Q243">
            <v>0</v>
          </cell>
          <cell r="R243">
            <v>0</v>
          </cell>
          <cell r="S243">
            <v>0</v>
          </cell>
          <cell r="T243">
            <v>1879514</v>
          </cell>
          <cell r="U243">
            <v>11046284</v>
          </cell>
          <cell r="V243">
            <v>733652</v>
          </cell>
          <cell r="W243">
            <v>17.010000000000002</v>
          </cell>
        </row>
        <row r="244">
          <cell r="A244" t="str">
            <v>2018NJ</v>
          </cell>
          <cell r="B244">
            <v>2018</v>
          </cell>
          <cell r="C244" t="str">
            <v>NJ</v>
          </cell>
          <cell r="D244">
            <v>4550431</v>
          </cell>
          <cell r="E244">
            <v>29530689</v>
          </cell>
          <cell r="F244">
            <v>3568044</v>
          </cell>
          <cell r="G244">
            <v>15.41</v>
          </cell>
          <cell r="H244">
            <v>4736982</v>
          </cell>
          <cell r="I244">
            <v>38807065</v>
          </cell>
          <cell r="J244">
            <v>521429</v>
          </cell>
          <cell r="K244">
            <v>12.21</v>
          </cell>
          <cell r="L244">
            <v>741934</v>
          </cell>
          <cell r="M244">
            <v>7369106</v>
          </cell>
          <cell r="N244">
            <v>11877</v>
          </cell>
          <cell r="O244">
            <v>10.07</v>
          </cell>
          <cell r="P244">
            <v>28094</v>
          </cell>
          <cell r="Q244">
            <v>309902</v>
          </cell>
          <cell r="R244">
            <v>6</v>
          </cell>
          <cell r="S244">
            <v>9.07</v>
          </cell>
          <cell r="T244">
            <v>10057440</v>
          </cell>
          <cell r="U244">
            <v>76016762</v>
          </cell>
          <cell r="V244">
            <v>4101356</v>
          </cell>
          <cell r="W244">
            <v>13.23</v>
          </cell>
        </row>
        <row r="245">
          <cell r="A245" t="str">
            <v>2018NM</v>
          </cell>
          <cell r="B245">
            <v>2018</v>
          </cell>
          <cell r="C245" t="str">
            <v>NM</v>
          </cell>
          <cell r="D245">
            <v>865755</v>
          </cell>
          <cell r="E245">
            <v>6826442</v>
          </cell>
          <cell r="F245">
            <v>889841</v>
          </cell>
          <cell r="G245">
            <v>12.68</v>
          </cell>
          <cell r="H245">
            <v>905498</v>
          </cell>
          <cell r="I245">
            <v>9035272</v>
          </cell>
          <cell r="J245">
            <v>143874</v>
          </cell>
          <cell r="K245">
            <v>10.02</v>
          </cell>
          <cell r="L245">
            <v>478397</v>
          </cell>
          <cell r="M245">
            <v>8186897</v>
          </cell>
          <cell r="N245">
            <v>9360</v>
          </cell>
          <cell r="O245">
            <v>5.84</v>
          </cell>
          <cell r="P245">
            <v>0</v>
          </cell>
          <cell r="Q245">
            <v>0</v>
          </cell>
          <cell r="R245">
            <v>0</v>
          </cell>
          <cell r="S245">
            <v>0</v>
          </cell>
          <cell r="T245">
            <v>2249649</v>
          </cell>
          <cell r="U245">
            <v>24048611</v>
          </cell>
          <cell r="V245">
            <v>1043075</v>
          </cell>
          <cell r="W245">
            <v>9.35</v>
          </cell>
        </row>
        <row r="246">
          <cell r="A246" t="str">
            <v>2018NV</v>
          </cell>
          <cell r="B246">
            <v>2018</v>
          </cell>
          <cell r="C246" t="str">
            <v>NV</v>
          </cell>
          <cell r="D246">
            <v>1593360</v>
          </cell>
          <cell r="E246">
            <v>13449743</v>
          </cell>
          <cell r="F246">
            <v>1183660</v>
          </cell>
          <cell r="G246">
            <v>11.85</v>
          </cell>
          <cell r="H246">
            <v>938631</v>
          </cell>
          <cell r="I246">
            <v>12123896</v>
          </cell>
          <cell r="J246">
            <v>164982</v>
          </cell>
          <cell r="K246">
            <v>7.74</v>
          </cell>
          <cell r="L246">
            <v>744443</v>
          </cell>
          <cell r="M246">
            <v>12198273</v>
          </cell>
          <cell r="N246">
            <v>3446</v>
          </cell>
          <cell r="O246">
            <v>6.1</v>
          </cell>
          <cell r="P246">
            <v>694</v>
          </cell>
          <cell r="Q246">
            <v>8351</v>
          </cell>
          <cell r="R246">
            <v>1</v>
          </cell>
          <cell r="S246">
            <v>8.31</v>
          </cell>
          <cell r="T246">
            <v>3277128</v>
          </cell>
          <cell r="U246">
            <v>37780263</v>
          </cell>
          <cell r="V246">
            <v>1352089</v>
          </cell>
          <cell r="W246">
            <v>8.67</v>
          </cell>
        </row>
        <row r="247">
          <cell r="A247" t="str">
            <v>2018NY</v>
          </cell>
          <cell r="B247">
            <v>2018</v>
          </cell>
          <cell r="C247" t="str">
            <v>NY</v>
          </cell>
          <cell r="D247">
            <v>9658622</v>
          </cell>
          <cell r="E247">
            <v>52153246</v>
          </cell>
          <cell r="F247">
            <v>7190906</v>
          </cell>
          <cell r="G247">
            <v>18.52</v>
          </cell>
          <cell r="H247">
            <v>11128003</v>
          </cell>
          <cell r="I247">
            <v>76745463</v>
          </cell>
          <cell r="J247">
            <v>1106650</v>
          </cell>
          <cell r="K247">
            <v>14.5</v>
          </cell>
          <cell r="L247">
            <v>1087828</v>
          </cell>
          <cell r="M247">
            <v>18076792</v>
          </cell>
          <cell r="N247">
            <v>6884</v>
          </cell>
          <cell r="O247">
            <v>6.02</v>
          </cell>
          <cell r="P247">
            <v>358602</v>
          </cell>
          <cell r="Q247">
            <v>2954350</v>
          </cell>
          <cell r="R247">
            <v>8</v>
          </cell>
          <cell r="S247">
            <v>12.14</v>
          </cell>
          <cell r="T247">
            <v>22233054</v>
          </cell>
          <cell r="U247">
            <v>149929851</v>
          </cell>
          <cell r="V247">
            <v>8304448</v>
          </cell>
          <cell r="W247">
            <v>14.83</v>
          </cell>
        </row>
        <row r="248">
          <cell r="A248" t="str">
            <v>2018OH</v>
          </cell>
          <cell r="B248">
            <v>2018</v>
          </cell>
          <cell r="C248" t="str">
            <v>OH</v>
          </cell>
          <cell r="D248">
            <v>6839823</v>
          </cell>
          <cell r="E248">
            <v>54451714</v>
          </cell>
          <cell r="F248">
            <v>4964855</v>
          </cell>
          <cell r="G248">
            <v>12.56</v>
          </cell>
          <cell r="H248">
            <v>4768817</v>
          </cell>
          <cell r="I248">
            <v>47191540</v>
          </cell>
          <cell r="J248">
            <v>630210</v>
          </cell>
          <cell r="K248">
            <v>10.11</v>
          </cell>
          <cell r="L248">
            <v>3591707</v>
          </cell>
          <cell r="M248">
            <v>51235995</v>
          </cell>
          <cell r="N248">
            <v>18715</v>
          </cell>
          <cell r="O248">
            <v>7.01</v>
          </cell>
          <cell r="P248">
            <v>2632</v>
          </cell>
          <cell r="Q248">
            <v>35918</v>
          </cell>
          <cell r="R248">
            <v>2</v>
          </cell>
          <cell r="S248">
            <v>7.33</v>
          </cell>
          <cell r="T248">
            <v>15202980</v>
          </cell>
          <cell r="U248">
            <v>152915167</v>
          </cell>
          <cell r="V248">
            <v>5613782</v>
          </cell>
          <cell r="W248">
            <v>9.94</v>
          </cell>
        </row>
        <row r="249">
          <cell r="A249" t="str">
            <v>2018OK</v>
          </cell>
          <cell r="B249">
            <v>2018</v>
          </cell>
          <cell r="C249" t="str">
            <v>OK</v>
          </cell>
          <cell r="D249">
            <v>2484031</v>
          </cell>
          <cell r="E249">
            <v>24116808</v>
          </cell>
          <cell r="F249">
            <v>1764980</v>
          </cell>
          <cell r="G249">
            <v>10.3</v>
          </cell>
          <cell r="H249">
            <v>1712885</v>
          </cell>
          <cell r="I249">
            <v>21229143</v>
          </cell>
          <cell r="J249">
            <v>282875</v>
          </cell>
          <cell r="K249">
            <v>8.07</v>
          </cell>
          <cell r="L249">
            <v>1027324</v>
          </cell>
          <cell r="M249">
            <v>19229365</v>
          </cell>
          <cell r="N249">
            <v>18700</v>
          </cell>
          <cell r="O249">
            <v>5.34</v>
          </cell>
          <cell r="P249">
            <v>0</v>
          </cell>
          <cell r="Q249">
            <v>0</v>
          </cell>
          <cell r="R249">
            <v>0</v>
          </cell>
          <cell r="S249">
            <v>0</v>
          </cell>
          <cell r="T249">
            <v>5224240</v>
          </cell>
          <cell r="U249">
            <v>64575316</v>
          </cell>
          <cell r="V249">
            <v>2066555</v>
          </cell>
          <cell r="W249">
            <v>8.09</v>
          </cell>
        </row>
        <row r="250">
          <cell r="A250" t="str">
            <v>2018OR</v>
          </cell>
          <cell r="B250">
            <v>2018</v>
          </cell>
          <cell r="C250" t="str">
            <v>OR</v>
          </cell>
          <cell r="D250">
            <v>2079228</v>
          </cell>
          <cell r="E250">
            <v>18930583</v>
          </cell>
          <cell r="F250">
            <v>1750240</v>
          </cell>
          <cell r="G250">
            <v>10.98</v>
          </cell>
          <cell r="H250">
            <v>1467790</v>
          </cell>
          <cell r="I250">
            <v>16470027</v>
          </cell>
          <cell r="J250">
            <v>237942</v>
          </cell>
          <cell r="K250">
            <v>8.91</v>
          </cell>
          <cell r="L250">
            <v>814163</v>
          </cell>
          <cell r="M250">
            <v>13899298</v>
          </cell>
          <cell r="N250">
            <v>24821</v>
          </cell>
          <cell r="O250">
            <v>5.86</v>
          </cell>
          <cell r="P250">
            <v>2381</v>
          </cell>
          <cell r="Q250">
            <v>25996</v>
          </cell>
          <cell r="R250">
            <v>2</v>
          </cell>
          <cell r="S250">
            <v>9.16</v>
          </cell>
          <cell r="T250">
            <v>4363562</v>
          </cell>
          <cell r="U250">
            <v>49325904</v>
          </cell>
          <cell r="V250">
            <v>2013005</v>
          </cell>
          <cell r="W250">
            <v>8.85</v>
          </cell>
        </row>
        <row r="251">
          <cell r="A251" t="str">
            <v>2018PA</v>
          </cell>
          <cell r="B251">
            <v>2018</v>
          </cell>
          <cell r="C251" t="str">
            <v>PA</v>
          </cell>
          <cell r="D251">
            <v>7764870</v>
          </cell>
          <cell r="E251">
            <v>55896453</v>
          </cell>
          <cell r="F251">
            <v>5390428</v>
          </cell>
          <cell r="G251">
            <v>13.89</v>
          </cell>
          <cell r="H251">
            <v>3864304</v>
          </cell>
          <cell r="I251">
            <v>43221520</v>
          </cell>
          <cell r="J251">
            <v>716936</v>
          </cell>
          <cell r="K251">
            <v>8.94</v>
          </cell>
          <cell r="L251">
            <v>3361585</v>
          </cell>
          <cell r="M251">
            <v>49155499</v>
          </cell>
          <cell r="N251">
            <v>11743</v>
          </cell>
          <cell r="O251">
            <v>6.84</v>
          </cell>
          <cell r="P251">
            <v>54696</v>
          </cell>
          <cell r="Q251">
            <v>703259</v>
          </cell>
          <cell r="R251">
            <v>6</v>
          </cell>
          <cell r="S251">
            <v>7.78</v>
          </cell>
          <cell r="T251">
            <v>15045455</v>
          </cell>
          <cell r="U251">
            <v>148976731</v>
          </cell>
          <cell r="V251">
            <v>6119113</v>
          </cell>
          <cell r="W251">
            <v>10.1</v>
          </cell>
        </row>
        <row r="252">
          <cell r="A252" t="str">
            <v>2018RI</v>
          </cell>
          <cell r="B252">
            <v>2018</v>
          </cell>
          <cell r="C252" t="str">
            <v>RI</v>
          </cell>
          <cell r="D252">
            <v>642041</v>
          </cell>
          <cell r="E252">
            <v>3124168</v>
          </cell>
          <cell r="F252">
            <v>442005</v>
          </cell>
          <cell r="G252">
            <v>20.55</v>
          </cell>
          <cell r="H252">
            <v>613083</v>
          </cell>
          <cell r="I252">
            <v>3697587</v>
          </cell>
          <cell r="J252">
            <v>60128</v>
          </cell>
          <cell r="K252">
            <v>16.579999999999998</v>
          </cell>
          <cell r="L252">
            <v>113051</v>
          </cell>
          <cell r="M252">
            <v>734618</v>
          </cell>
          <cell r="N252">
            <v>1773</v>
          </cell>
          <cell r="O252">
            <v>15.39</v>
          </cell>
          <cell r="P252">
            <v>4586</v>
          </cell>
          <cell r="Q252">
            <v>26966</v>
          </cell>
          <cell r="R252">
            <v>1</v>
          </cell>
          <cell r="S252">
            <v>17.010000000000002</v>
          </cell>
          <cell r="T252">
            <v>1372759</v>
          </cell>
          <cell r="U252">
            <v>7583339</v>
          </cell>
          <cell r="V252">
            <v>503907</v>
          </cell>
          <cell r="W252">
            <v>18.100000000000001</v>
          </cell>
        </row>
        <row r="253">
          <cell r="A253" t="str">
            <v>2018SC</v>
          </cell>
          <cell r="B253">
            <v>2018</v>
          </cell>
          <cell r="C253" t="str">
            <v>SC</v>
          </cell>
          <cell r="D253">
            <v>3962861</v>
          </cell>
          <cell r="E253">
            <v>31852419</v>
          </cell>
          <cell r="F253">
            <v>2290200</v>
          </cell>
          <cell r="G253">
            <v>12.44</v>
          </cell>
          <cell r="H253">
            <v>2247543</v>
          </cell>
          <cell r="I253">
            <v>22232833</v>
          </cell>
          <cell r="J253">
            <v>376842</v>
          </cell>
          <cell r="K253">
            <v>10.11</v>
          </cell>
          <cell r="L253">
            <v>1680837</v>
          </cell>
          <cell r="M253">
            <v>27555886</v>
          </cell>
          <cell r="N253">
            <v>4324</v>
          </cell>
          <cell r="O253">
            <v>6.1</v>
          </cell>
          <cell r="P253">
            <v>0</v>
          </cell>
          <cell r="Q253">
            <v>0</v>
          </cell>
          <cell r="R253">
            <v>0</v>
          </cell>
          <cell r="S253">
            <v>0</v>
          </cell>
          <cell r="T253">
            <v>7891241</v>
          </cell>
          <cell r="U253">
            <v>81641138</v>
          </cell>
          <cell r="V253">
            <v>2671366</v>
          </cell>
          <cell r="W253">
            <v>9.67</v>
          </cell>
        </row>
        <row r="254">
          <cell r="A254" t="str">
            <v>2018SD</v>
          </cell>
          <cell r="B254">
            <v>2018</v>
          </cell>
          <cell r="C254" t="str">
            <v>SD</v>
          </cell>
          <cell r="D254">
            <v>581764</v>
          </cell>
          <cell r="E254">
            <v>5018360</v>
          </cell>
          <cell r="F254">
            <v>400150</v>
          </cell>
          <cell r="G254">
            <v>11.59</v>
          </cell>
          <cell r="H254">
            <v>471755</v>
          </cell>
          <cell r="I254">
            <v>4903243</v>
          </cell>
          <cell r="J254">
            <v>72106</v>
          </cell>
          <cell r="K254">
            <v>9.6199999999999992</v>
          </cell>
          <cell r="L254">
            <v>228011</v>
          </cell>
          <cell r="M254">
            <v>2935335</v>
          </cell>
          <cell r="N254">
            <v>3923</v>
          </cell>
          <cell r="O254">
            <v>7.77</v>
          </cell>
          <cell r="P254">
            <v>0</v>
          </cell>
          <cell r="Q254">
            <v>0</v>
          </cell>
          <cell r="R254">
            <v>0</v>
          </cell>
          <cell r="S254">
            <v>0</v>
          </cell>
          <cell r="T254">
            <v>1281530</v>
          </cell>
          <cell r="U254">
            <v>12856938</v>
          </cell>
          <cell r="V254">
            <v>476179</v>
          </cell>
          <cell r="W254">
            <v>9.9700000000000006</v>
          </cell>
        </row>
        <row r="255">
          <cell r="A255" t="str">
            <v>2018TN</v>
          </cell>
          <cell r="B255">
            <v>2018</v>
          </cell>
          <cell r="C255" t="str">
            <v>TN</v>
          </cell>
          <cell r="D255">
            <v>4751657</v>
          </cell>
          <cell r="E255">
            <v>44381957</v>
          </cell>
          <cell r="F255">
            <v>2882992</v>
          </cell>
          <cell r="G255">
            <v>10.71</v>
          </cell>
          <cell r="H255">
            <v>3881859</v>
          </cell>
          <cell r="I255">
            <v>36930451</v>
          </cell>
          <cell r="J255">
            <v>491567</v>
          </cell>
          <cell r="K255">
            <v>10.51</v>
          </cell>
          <cell r="L255">
            <v>1227684</v>
          </cell>
          <cell r="M255">
            <v>21598775</v>
          </cell>
          <cell r="N255">
            <v>1010</v>
          </cell>
          <cell r="O255">
            <v>5.68</v>
          </cell>
          <cell r="P255">
            <v>0</v>
          </cell>
          <cell r="Q255">
            <v>0</v>
          </cell>
          <cell r="R255">
            <v>0</v>
          </cell>
          <cell r="S255">
            <v>0</v>
          </cell>
          <cell r="T255">
            <v>9861200</v>
          </cell>
          <cell r="U255">
            <v>102911183</v>
          </cell>
          <cell r="V255">
            <v>3375569</v>
          </cell>
          <cell r="W255">
            <v>9.58</v>
          </cell>
        </row>
        <row r="256">
          <cell r="A256" t="str">
            <v>2018TX</v>
          </cell>
          <cell r="B256">
            <v>2018</v>
          </cell>
          <cell r="C256" t="str">
            <v>TX</v>
          </cell>
          <cell r="D256">
            <v>17609632</v>
          </cell>
          <cell r="E256">
            <v>157267913</v>
          </cell>
          <cell r="F256">
            <v>11148784</v>
          </cell>
          <cell r="G256">
            <v>11.2</v>
          </cell>
          <cell r="H256">
            <v>11714651</v>
          </cell>
          <cell r="I256">
            <v>143524631</v>
          </cell>
          <cell r="J256">
            <v>1591150</v>
          </cell>
          <cell r="K256">
            <v>8.16</v>
          </cell>
          <cell r="L256">
            <v>6654236</v>
          </cell>
          <cell r="M256">
            <v>123438829</v>
          </cell>
          <cell r="N256">
            <v>125714</v>
          </cell>
          <cell r="O256">
            <v>5.39</v>
          </cell>
          <cell r="P256">
            <v>15123</v>
          </cell>
          <cell r="Q256">
            <v>187255</v>
          </cell>
          <cell r="R256">
            <v>3</v>
          </cell>
          <cell r="S256">
            <v>8.08</v>
          </cell>
          <cell r="T256">
            <v>35993641</v>
          </cell>
          <cell r="U256">
            <v>424418628</v>
          </cell>
          <cell r="V256">
            <v>12865651</v>
          </cell>
          <cell r="W256">
            <v>8.48</v>
          </cell>
        </row>
        <row r="257">
          <cell r="A257" t="str">
            <v>2018UT</v>
          </cell>
          <cell r="B257">
            <v>2018</v>
          </cell>
          <cell r="C257" t="str">
            <v>UT</v>
          </cell>
          <cell r="D257">
            <v>1011446</v>
          </cell>
          <cell r="E257">
            <v>9714507</v>
          </cell>
          <cell r="F257">
            <v>1091162</v>
          </cell>
          <cell r="G257">
            <v>10.41</v>
          </cell>
          <cell r="H257">
            <v>994353</v>
          </cell>
          <cell r="I257">
            <v>12083833</v>
          </cell>
          <cell r="J257">
            <v>130053</v>
          </cell>
          <cell r="K257">
            <v>8.23</v>
          </cell>
          <cell r="L257">
            <v>553971</v>
          </cell>
          <cell r="M257">
            <v>9392709</v>
          </cell>
          <cell r="N257">
            <v>9666</v>
          </cell>
          <cell r="O257">
            <v>5.9</v>
          </cell>
          <cell r="P257">
            <v>5439</v>
          </cell>
          <cell r="Q257">
            <v>51359</v>
          </cell>
          <cell r="R257">
            <v>1</v>
          </cell>
          <cell r="S257">
            <v>10.59</v>
          </cell>
          <cell r="T257">
            <v>2565210</v>
          </cell>
          <cell r="U257">
            <v>31242408</v>
          </cell>
          <cell r="V257">
            <v>1230882</v>
          </cell>
          <cell r="W257">
            <v>8.2100000000000009</v>
          </cell>
        </row>
        <row r="258">
          <cell r="A258" t="str">
            <v>2018VA</v>
          </cell>
          <cell r="B258">
            <v>2018</v>
          </cell>
          <cell r="C258" t="str">
            <v>VA</v>
          </cell>
          <cell r="D258">
            <v>5624478</v>
          </cell>
          <cell r="E258">
            <v>47962606</v>
          </cell>
          <cell r="F258">
            <v>3431574</v>
          </cell>
          <cell r="G258">
            <v>11.73</v>
          </cell>
          <cell r="H258">
            <v>4346838</v>
          </cell>
          <cell r="I258">
            <v>52268211</v>
          </cell>
          <cell r="J258">
            <v>431058</v>
          </cell>
          <cell r="K258">
            <v>8.32</v>
          </cell>
          <cell r="L258">
            <v>1216724</v>
          </cell>
          <cell r="M258">
            <v>17736936</v>
          </cell>
          <cell r="N258">
            <v>3704</v>
          </cell>
          <cell r="O258">
            <v>6.86</v>
          </cell>
          <cell r="P258">
            <v>16434</v>
          </cell>
          <cell r="Q258">
            <v>198595</v>
          </cell>
          <cell r="R258">
            <v>1</v>
          </cell>
          <cell r="S258">
            <v>8.2799999999999994</v>
          </cell>
          <cell r="T258">
            <v>11204475</v>
          </cell>
          <cell r="U258">
            <v>118166348</v>
          </cell>
          <cell r="V258">
            <v>3866337</v>
          </cell>
          <cell r="W258">
            <v>9.48</v>
          </cell>
        </row>
        <row r="259">
          <cell r="A259" t="str">
            <v>2018VT</v>
          </cell>
          <cell r="B259">
            <v>2018</v>
          </cell>
          <cell r="C259" t="str">
            <v>VT</v>
          </cell>
          <cell r="D259">
            <v>381309</v>
          </cell>
          <cell r="E259">
            <v>2116045</v>
          </cell>
          <cell r="F259">
            <v>315138</v>
          </cell>
          <cell r="G259">
            <v>18.02</v>
          </cell>
          <cell r="H259">
            <v>305338</v>
          </cell>
          <cell r="I259">
            <v>2003515</v>
          </cell>
          <cell r="J259">
            <v>57037</v>
          </cell>
          <cell r="K259">
            <v>15.24</v>
          </cell>
          <cell r="L259">
            <v>150385</v>
          </cell>
          <cell r="M259">
            <v>1411388</v>
          </cell>
          <cell r="N259">
            <v>204</v>
          </cell>
          <cell r="O259">
            <v>10.66</v>
          </cell>
          <cell r="P259">
            <v>0</v>
          </cell>
          <cell r="Q259">
            <v>0</v>
          </cell>
          <cell r="R259">
            <v>0</v>
          </cell>
          <cell r="S259">
            <v>0</v>
          </cell>
          <cell r="T259">
            <v>837032</v>
          </cell>
          <cell r="U259">
            <v>5530948</v>
          </cell>
          <cell r="V259">
            <v>372379</v>
          </cell>
          <cell r="W259">
            <v>15.13</v>
          </cell>
        </row>
        <row r="260">
          <cell r="A260" t="str">
            <v>2018WA</v>
          </cell>
          <cell r="B260">
            <v>2018</v>
          </cell>
          <cell r="C260" t="str">
            <v>WA</v>
          </cell>
          <cell r="D260">
            <v>3446381</v>
          </cell>
          <cell r="E260">
            <v>35338978</v>
          </cell>
          <cell r="F260">
            <v>3076868</v>
          </cell>
          <cell r="G260">
            <v>9.75</v>
          </cell>
          <cell r="H260">
            <v>2562244</v>
          </cell>
          <cell r="I260">
            <v>29396404</v>
          </cell>
          <cell r="J260">
            <v>384366</v>
          </cell>
          <cell r="K260">
            <v>8.7200000000000006</v>
          </cell>
          <cell r="L260">
            <v>1191154</v>
          </cell>
          <cell r="M260">
            <v>25263272</v>
          </cell>
          <cell r="N260">
            <v>27284</v>
          </cell>
          <cell r="O260">
            <v>4.72</v>
          </cell>
          <cell r="P260">
            <v>670</v>
          </cell>
          <cell r="Q260">
            <v>7137</v>
          </cell>
          <cell r="R260">
            <v>6</v>
          </cell>
          <cell r="S260">
            <v>9.3800000000000008</v>
          </cell>
          <cell r="T260">
            <v>7200449</v>
          </cell>
          <cell r="U260">
            <v>90005791</v>
          </cell>
          <cell r="V260">
            <v>3488524</v>
          </cell>
          <cell r="W260">
            <v>8</v>
          </cell>
        </row>
        <row r="261">
          <cell r="A261" t="str">
            <v>2018WI</v>
          </cell>
          <cell r="B261">
            <v>2018</v>
          </cell>
          <cell r="C261" t="str">
            <v>WI</v>
          </cell>
          <cell r="D261">
            <v>3146091</v>
          </cell>
          <cell r="E261">
            <v>22441335</v>
          </cell>
          <cell r="F261">
            <v>2700245</v>
          </cell>
          <cell r="G261">
            <v>14.02</v>
          </cell>
          <cell r="H261">
            <v>2571408</v>
          </cell>
          <cell r="I261">
            <v>24093421</v>
          </cell>
          <cell r="J261">
            <v>354557</v>
          </cell>
          <cell r="K261">
            <v>10.67</v>
          </cell>
          <cell r="L261">
            <v>1790668</v>
          </cell>
          <cell r="M261">
            <v>24424585</v>
          </cell>
          <cell r="N261">
            <v>5789</v>
          </cell>
          <cell r="O261">
            <v>7.33</v>
          </cell>
          <cell r="P261">
            <v>29</v>
          </cell>
          <cell r="Q261">
            <v>208</v>
          </cell>
          <cell r="R261">
            <v>1</v>
          </cell>
          <cell r="S261">
            <v>13.85</v>
          </cell>
          <cell r="T261">
            <v>7508196</v>
          </cell>
          <cell r="U261">
            <v>70959549</v>
          </cell>
          <cell r="V261">
            <v>3060592</v>
          </cell>
          <cell r="W261">
            <v>10.58</v>
          </cell>
        </row>
        <row r="262">
          <cell r="A262" t="str">
            <v>2018WV</v>
          </cell>
          <cell r="B262">
            <v>2018</v>
          </cell>
          <cell r="C262" t="str">
            <v>WV</v>
          </cell>
          <cell r="D262">
            <v>1306097</v>
          </cell>
          <cell r="E262">
            <v>11679455</v>
          </cell>
          <cell r="F262">
            <v>859039</v>
          </cell>
          <cell r="G262">
            <v>11.18</v>
          </cell>
          <cell r="H262">
            <v>718595</v>
          </cell>
          <cell r="I262">
            <v>7774429</v>
          </cell>
          <cell r="J262">
            <v>144478</v>
          </cell>
          <cell r="K262">
            <v>9.24</v>
          </cell>
          <cell r="L262">
            <v>907954</v>
          </cell>
          <cell r="M262">
            <v>14192929</v>
          </cell>
          <cell r="N262">
            <v>11515</v>
          </cell>
          <cell r="O262">
            <v>6.4</v>
          </cell>
          <cell r="P262">
            <v>0</v>
          </cell>
          <cell r="Q262">
            <v>0</v>
          </cell>
          <cell r="R262">
            <v>0</v>
          </cell>
          <cell r="S262">
            <v>0</v>
          </cell>
          <cell r="T262">
            <v>2932646</v>
          </cell>
          <cell r="U262">
            <v>33646813</v>
          </cell>
          <cell r="V262">
            <v>1015032</v>
          </cell>
          <cell r="W262">
            <v>8.7200000000000006</v>
          </cell>
        </row>
        <row r="263">
          <cell r="A263" t="str">
            <v>2018WY</v>
          </cell>
          <cell r="B263">
            <v>2018</v>
          </cell>
          <cell r="C263" t="str">
            <v>WY</v>
          </cell>
          <cell r="D263">
            <v>310226</v>
          </cell>
          <cell r="E263">
            <v>2748356</v>
          </cell>
          <cell r="F263">
            <v>272427</v>
          </cell>
          <cell r="G263">
            <v>11.29</v>
          </cell>
          <cell r="H263">
            <v>359772</v>
          </cell>
          <cell r="I263">
            <v>3757211</v>
          </cell>
          <cell r="J263">
            <v>58318</v>
          </cell>
          <cell r="K263">
            <v>9.58</v>
          </cell>
          <cell r="L263">
            <v>694804</v>
          </cell>
          <cell r="M263">
            <v>10359111</v>
          </cell>
          <cell r="N263">
            <v>10940</v>
          </cell>
          <cell r="O263">
            <v>6.71</v>
          </cell>
          <cell r="P263">
            <v>0</v>
          </cell>
          <cell r="Q263">
            <v>0</v>
          </cell>
          <cell r="R263">
            <v>0</v>
          </cell>
          <cell r="S263">
            <v>0</v>
          </cell>
          <cell r="T263">
            <v>1364803</v>
          </cell>
          <cell r="U263">
            <v>16864678</v>
          </cell>
          <cell r="V263">
            <v>341685</v>
          </cell>
          <cell r="W263">
            <v>8.09</v>
          </cell>
        </row>
        <row r="264">
          <cell r="A264" t="str">
            <v>2018US</v>
          </cell>
          <cell r="B264">
            <v>2018</v>
          </cell>
          <cell r="C264" t="str">
            <v>US</v>
          </cell>
          <cell r="D264">
            <v>189032969</v>
          </cell>
          <cell r="E264">
            <v>1469093059</v>
          </cell>
          <cell r="F264">
            <v>133893321</v>
          </cell>
          <cell r="G264">
            <v>12.87</v>
          </cell>
          <cell r="H264">
            <v>147425170</v>
          </cell>
          <cell r="I264">
            <v>1381754845</v>
          </cell>
          <cell r="J264">
            <v>18605393</v>
          </cell>
          <cell r="K264">
            <v>10.67</v>
          </cell>
          <cell r="L264">
            <v>69218432</v>
          </cell>
          <cell r="M264">
            <v>1000672553</v>
          </cell>
          <cell r="N264">
            <v>840321</v>
          </cell>
          <cell r="O264">
            <v>6.92</v>
          </cell>
          <cell r="P264">
            <v>743609</v>
          </cell>
          <cell r="Q264">
            <v>7664804</v>
          </cell>
          <cell r="R264">
            <v>83</v>
          </cell>
          <cell r="S264">
            <v>9.6999999999999993</v>
          </cell>
          <cell r="T264">
            <v>406420180</v>
          </cell>
          <cell r="U264">
            <v>3859185261</v>
          </cell>
          <cell r="V264">
            <v>153339118</v>
          </cell>
          <cell r="W264">
            <v>10.53</v>
          </cell>
        </row>
        <row r="265">
          <cell r="A265" t="str">
            <v>2017AK</v>
          </cell>
          <cell r="B265">
            <v>2017</v>
          </cell>
          <cell r="C265" t="str">
            <v>AK</v>
          </cell>
          <cell r="D265">
            <v>438240</v>
          </cell>
          <cell r="E265">
            <v>2060349</v>
          </cell>
          <cell r="F265">
            <v>285697</v>
          </cell>
          <cell r="G265">
            <v>21.27</v>
          </cell>
          <cell r="H265">
            <v>510932</v>
          </cell>
          <cell r="I265">
            <v>2704890</v>
          </cell>
          <cell r="J265">
            <v>53472</v>
          </cell>
          <cell r="K265">
            <v>18.89</v>
          </cell>
          <cell r="L265">
            <v>232117</v>
          </cell>
          <cell r="M265">
            <v>1420560</v>
          </cell>
          <cell r="N265">
            <v>1374</v>
          </cell>
          <cell r="O265">
            <v>16.34</v>
          </cell>
          <cell r="P265">
            <v>0</v>
          </cell>
          <cell r="Q265">
            <v>0</v>
          </cell>
          <cell r="R265">
            <v>0</v>
          </cell>
          <cell r="S265">
            <v>0</v>
          </cell>
          <cell r="T265">
            <v>1181289</v>
          </cell>
          <cell r="U265">
            <v>6185799</v>
          </cell>
          <cell r="V265">
            <v>340543</v>
          </cell>
          <cell r="W265">
            <v>19.100000000000001</v>
          </cell>
        </row>
        <row r="266">
          <cell r="A266" t="str">
            <v>2017AL</v>
          </cell>
          <cell r="B266">
            <v>2017</v>
          </cell>
          <cell r="C266" t="str">
            <v>AL</v>
          </cell>
          <cell r="D266">
            <v>3786699</v>
          </cell>
          <cell r="E266">
            <v>30181045</v>
          </cell>
          <cell r="F266">
            <v>2213592</v>
          </cell>
          <cell r="G266">
            <v>12.55</v>
          </cell>
          <cell r="H266">
            <v>2637503</v>
          </cell>
          <cell r="I266">
            <v>22743813</v>
          </cell>
          <cell r="J266">
            <v>369984</v>
          </cell>
          <cell r="K266">
            <v>11.6</v>
          </cell>
          <cell r="L266">
            <v>2052257</v>
          </cell>
          <cell r="M266">
            <v>33316872</v>
          </cell>
          <cell r="N266">
            <v>8047</v>
          </cell>
          <cell r="O266">
            <v>6.16</v>
          </cell>
          <cell r="P266">
            <v>0</v>
          </cell>
          <cell r="Q266">
            <v>0</v>
          </cell>
          <cell r="R266">
            <v>0</v>
          </cell>
          <cell r="S266">
            <v>0</v>
          </cell>
          <cell r="T266">
            <v>8476458</v>
          </cell>
          <cell r="U266">
            <v>86241730</v>
          </cell>
          <cell r="V266">
            <v>2591623</v>
          </cell>
          <cell r="W266">
            <v>9.83</v>
          </cell>
        </row>
        <row r="267">
          <cell r="A267" t="str">
            <v>2017AR</v>
          </cell>
          <cell r="B267">
            <v>2017</v>
          </cell>
          <cell r="C267" t="str">
            <v>AR</v>
          </cell>
          <cell r="D267">
            <v>1749676</v>
          </cell>
          <cell r="E267">
            <v>17026779</v>
          </cell>
          <cell r="F267">
            <v>1380157</v>
          </cell>
          <cell r="G267">
            <v>10.28</v>
          </cell>
          <cell r="H267">
            <v>1013943</v>
          </cell>
          <cell r="I267">
            <v>11912518</v>
          </cell>
          <cell r="J267">
            <v>191879</v>
          </cell>
          <cell r="K267">
            <v>8.51</v>
          </cell>
          <cell r="L267">
            <v>1041103</v>
          </cell>
          <cell r="M267">
            <v>17146265</v>
          </cell>
          <cell r="N267">
            <v>35595</v>
          </cell>
          <cell r="O267">
            <v>6.07</v>
          </cell>
          <cell r="P267">
            <v>48</v>
          </cell>
          <cell r="Q267">
            <v>389</v>
          </cell>
          <cell r="R267">
            <v>2</v>
          </cell>
          <cell r="S267">
            <v>12.26</v>
          </cell>
          <cell r="T267">
            <v>3804770</v>
          </cell>
          <cell r="U267">
            <v>46085951</v>
          </cell>
          <cell r="V267">
            <v>1607633</v>
          </cell>
          <cell r="W267">
            <v>8.26</v>
          </cell>
        </row>
        <row r="268">
          <cell r="A268" t="str">
            <v>2017AZ</v>
          </cell>
          <cell r="B268">
            <v>2017</v>
          </cell>
          <cell r="C268" t="str">
            <v>AZ</v>
          </cell>
          <cell r="D268">
            <v>4259275</v>
          </cell>
          <cell r="E268">
            <v>34251220</v>
          </cell>
          <cell r="F268">
            <v>2764355</v>
          </cell>
          <cell r="G268">
            <v>12.44</v>
          </cell>
          <cell r="H268">
            <v>3115269</v>
          </cell>
          <cell r="I268">
            <v>29681441</v>
          </cell>
          <cell r="J268">
            <v>320562</v>
          </cell>
          <cell r="K268">
            <v>10.5</v>
          </cell>
          <cell r="L268">
            <v>884209</v>
          </cell>
          <cell r="M268">
            <v>13706041</v>
          </cell>
          <cell r="N268">
            <v>8133</v>
          </cell>
          <cell r="O268">
            <v>6.45</v>
          </cell>
          <cell r="P268">
            <v>730</v>
          </cell>
          <cell r="Q268">
            <v>7560</v>
          </cell>
          <cell r="R268">
            <v>2</v>
          </cell>
          <cell r="S268">
            <v>9.65</v>
          </cell>
          <cell r="T268">
            <v>8259483</v>
          </cell>
          <cell r="U268">
            <v>77646262</v>
          </cell>
          <cell r="V268">
            <v>3093052</v>
          </cell>
          <cell r="W268">
            <v>10.64</v>
          </cell>
        </row>
        <row r="269">
          <cell r="A269" t="str">
            <v>2017CA</v>
          </cell>
          <cell r="B269">
            <v>2017</v>
          </cell>
          <cell r="C269" t="str">
            <v>CA</v>
          </cell>
          <cell r="D269">
            <v>16500848</v>
          </cell>
          <cell r="E269">
            <v>90123505</v>
          </cell>
          <cell r="F269">
            <v>13548295</v>
          </cell>
          <cell r="G269">
            <v>18.309999999999999</v>
          </cell>
          <cell r="H269">
            <v>18552245</v>
          </cell>
          <cell r="I269">
            <v>117682380</v>
          </cell>
          <cell r="J269">
            <v>1696071</v>
          </cell>
          <cell r="K269">
            <v>15.76</v>
          </cell>
          <cell r="L269">
            <v>6189685</v>
          </cell>
          <cell r="M269">
            <v>48627406</v>
          </cell>
          <cell r="N269">
            <v>147754</v>
          </cell>
          <cell r="O269">
            <v>12.73</v>
          </cell>
          <cell r="P269">
            <v>72460</v>
          </cell>
          <cell r="Q269">
            <v>834646</v>
          </cell>
          <cell r="R269">
            <v>15</v>
          </cell>
          <cell r="S269">
            <v>8.68</v>
          </cell>
          <cell r="T269">
            <v>41315237</v>
          </cell>
          <cell r="U269">
            <v>257267937</v>
          </cell>
          <cell r="V269">
            <v>15392135</v>
          </cell>
          <cell r="W269">
            <v>16.059999999999999</v>
          </cell>
        </row>
        <row r="270">
          <cell r="A270" t="str">
            <v>2017CO</v>
          </cell>
          <cell r="B270">
            <v>2017</v>
          </cell>
          <cell r="C270" t="str">
            <v>CO</v>
          </cell>
          <cell r="D270">
            <v>2264556</v>
          </cell>
          <cell r="E270">
            <v>18615000</v>
          </cell>
          <cell r="F270">
            <v>2288358</v>
          </cell>
          <cell r="G270">
            <v>12.17</v>
          </cell>
          <cell r="H270">
            <v>2041429</v>
          </cell>
          <cell r="I270">
            <v>20640793</v>
          </cell>
          <cell r="J270">
            <v>370691</v>
          </cell>
          <cell r="K270">
            <v>9.89</v>
          </cell>
          <cell r="L270">
            <v>1163087</v>
          </cell>
          <cell r="M270">
            <v>15501238</v>
          </cell>
          <cell r="N270">
            <v>16228</v>
          </cell>
          <cell r="O270">
            <v>7.5</v>
          </cell>
          <cell r="P270">
            <v>7144</v>
          </cell>
          <cell r="Q270">
            <v>73155</v>
          </cell>
          <cell r="R270">
            <v>1</v>
          </cell>
          <cell r="S270">
            <v>9.77</v>
          </cell>
          <cell r="T270">
            <v>5476216</v>
          </cell>
          <cell r="U270">
            <v>54830186</v>
          </cell>
          <cell r="V270">
            <v>2675278</v>
          </cell>
          <cell r="W270">
            <v>9.99</v>
          </cell>
        </row>
        <row r="271">
          <cell r="A271" t="str">
            <v>2017CT</v>
          </cell>
          <cell r="B271">
            <v>2017</v>
          </cell>
          <cell r="C271" t="str">
            <v>CT</v>
          </cell>
          <cell r="D271">
            <v>2512033</v>
          </cell>
          <cell r="E271">
            <v>12379520</v>
          </cell>
          <cell r="F271">
            <v>1495577</v>
          </cell>
          <cell r="G271">
            <v>20.29</v>
          </cell>
          <cell r="H271">
            <v>1981398</v>
          </cell>
          <cell r="I271">
            <v>12335414</v>
          </cell>
          <cell r="J271">
            <v>152903</v>
          </cell>
          <cell r="K271">
            <v>16.059999999999999</v>
          </cell>
          <cell r="L271">
            <v>424986</v>
          </cell>
          <cell r="M271">
            <v>3243615</v>
          </cell>
          <cell r="N271">
            <v>4385</v>
          </cell>
          <cell r="O271">
            <v>13.1</v>
          </cell>
          <cell r="P271">
            <v>19380</v>
          </cell>
          <cell r="Q271">
            <v>176981</v>
          </cell>
          <cell r="R271">
            <v>4</v>
          </cell>
          <cell r="S271">
            <v>10.95</v>
          </cell>
          <cell r="T271">
            <v>4937798</v>
          </cell>
          <cell r="U271">
            <v>28135530</v>
          </cell>
          <cell r="V271">
            <v>1652869</v>
          </cell>
          <cell r="W271">
            <v>17.55</v>
          </cell>
        </row>
        <row r="272">
          <cell r="A272" t="str">
            <v>2017DC</v>
          </cell>
          <cell r="B272">
            <v>2017</v>
          </cell>
          <cell r="C272" t="str">
            <v>DC</v>
          </cell>
          <cell r="D272">
            <v>309764</v>
          </cell>
          <cell r="E272">
            <v>2394652</v>
          </cell>
          <cell r="F272">
            <v>267448</v>
          </cell>
          <cell r="G272">
            <v>12.94</v>
          </cell>
          <cell r="H272">
            <v>933369</v>
          </cell>
          <cell r="I272">
            <v>8006225</v>
          </cell>
          <cell r="J272">
            <v>26111</v>
          </cell>
          <cell r="K272">
            <v>11.66</v>
          </cell>
          <cell r="L272">
            <v>14826</v>
          </cell>
          <cell r="M272">
            <v>180183</v>
          </cell>
          <cell r="N272">
            <v>1</v>
          </cell>
          <cell r="O272">
            <v>8.23</v>
          </cell>
          <cell r="P272">
            <v>29842</v>
          </cell>
          <cell r="Q272">
            <v>335386</v>
          </cell>
          <cell r="R272">
            <v>3</v>
          </cell>
          <cell r="S272">
            <v>8.9</v>
          </cell>
          <cell r="T272">
            <v>1287801</v>
          </cell>
          <cell r="U272">
            <v>10916446</v>
          </cell>
          <cell r="V272">
            <v>293563</v>
          </cell>
          <cell r="W272">
            <v>11.8</v>
          </cell>
        </row>
        <row r="273">
          <cell r="A273" t="str">
            <v>2017DE</v>
          </cell>
          <cell r="B273">
            <v>2017</v>
          </cell>
          <cell r="C273" t="str">
            <v>DE</v>
          </cell>
          <cell r="D273">
            <v>622385</v>
          </cell>
          <cell r="E273">
            <v>4662598</v>
          </cell>
          <cell r="F273">
            <v>426071</v>
          </cell>
          <cell r="G273">
            <v>13.35</v>
          </cell>
          <cell r="H273">
            <v>413794</v>
          </cell>
          <cell r="I273">
            <v>4184668</v>
          </cell>
          <cell r="J273">
            <v>54105</v>
          </cell>
          <cell r="K273">
            <v>9.89</v>
          </cell>
          <cell r="L273">
            <v>177390</v>
          </cell>
          <cell r="M273">
            <v>2281337</v>
          </cell>
          <cell r="N273">
            <v>854</v>
          </cell>
          <cell r="O273">
            <v>7.78</v>
          </cell>
          <cell r="P273">
            <v>0</v>
          </cell>
          <cell r="Q273">
            <v>0</v>
          </cell>
          <cell r="R273">
            <v>0</v>
          </cell>
          <cell r="S273">
            <v>0</v>
          </cell>
          <cell r="T273">
            <v>1213569</v>
          </cell>
          <cell r="U273">
            <v>11128603</v>
          </cell>
          <cell r="V273">
            <v>481030</v>
          </cell>
          <cell r="W273">
            <v>10.91</v>
          </cell>
        </row>
        <row r="274">
          <cell r="A274" t="str">
            <v>2017FL</v>
          </cell>
          <cell r="B274">
            <v>2017</v>
          </cell>
          <cell r="C274" t="str">
            <v>FL</v>
          </cell>
          <cell r="D274">
            <v>14097730</v>
          </cell>
          <cell r="E274">
            <v>121462622</v>
          </cell>
          <cell r="F274">
            <v>9291707</v>
          </cell>
          <cell r="G274">
            <v>11.61</v>
          </cell>
          <cell r="H274">
            <v>8881601</v>
          </cell>
          <cell r="I274">
            <v>95003681</v>
          </cell>
          <cell r="J274">
            <v>1216939</v>
          </cell>
          <cell r="K274">
            <v>9.35</v>
          </cell>
          <cell r="L274">
            <v>1299364</v>
          </cell>
          <cell r="M274">
            <v>16601941</v>
          </cell>
          <cell r="N274">
            <v>21289</v>
          </cell>
          <cell r="O274">
            <v>7.83</v>
          </cell>
          <cell r="P274">
            <v>7443</v>
          </cell>
          <cell r="Q274">
            <v>86305</v>
          </cell>
          <cell r="R274">
            <v>2</v>
          </cell>
          <cell r="S274">
            <v>8.6199999999999992</v>
          </cell>
          <cell r="T274">
            <v>24286139</v>
          </cell>
          <cell r="U274">
            <v>233154549</v>
          </cell>
          <cell r="V274">
            <v>10529937</v>
          </cell>
          <cell r="W274">
            <v>10.42</v>
          </cell>
        </row>
        <row r="275">
          <cell r="A275" t="str">
            <v>2017GA</v>
          </cell>
          <cell r="B275">
            <v>2017</v>
          </cell>
          <cell r="C275" t="str">
            <v>GA</v>
          </cell>
          <cell r="D275">
            <v>6516806</v>
          </cell>
          <cell r="E275">
            <v>54771449</v>
          </cell>
          <cell r="F275">
            <v>4296977</v>
          </cell>
          <cell r="G275">
            <v>11.9</v>
          </cell>
          <cell r="H275">
            <v>4667211</v>
          </cell>
          <cell r="I275">
            <v>46265427</v>
          </cell>
          <cell r="J275">
            <v>572861</v>
          </cell>
          <cell r="K275">
            <v>10.09</v>
          </cell>
          <cell r="L275">
            <v>1921632</v>
          </cell>
          <cell r="M275">
            <v>32250691</v>
          </cell>
          <cell r="N275">
            <v>23108</v>
          </cell>
          <cell r="O275">
            <v>5.96</v>
          </cell>
          <cell r="P275">
            <v>9036</v>
          </cell>
          <cell r="Q275">
            <v>169053</v>
          </cell>
          <cell r="R275">
            <v>1</v>
          </cell>
          <cell r="S275">
            <v>5.35</v>
          </cell>
          <cell r="T275">
            <v>13114685</v>
          </cell>
          <cell r="U275">
            <v>133456620</v>
          </cell>
          <cell r="V275">
            <v>4892947</v>
          </cell>
          <cell r="W275">
            <v>9.83</v>
          </cell>
        </row>
        <row r="276">
          <cell r="A276" t="str">
            <v>2017HI</v>
          </cell>
          <cell r="B276">
            <v>2017</v>
          </cell>
          <cell r="C276" t="str">
            <v>HI</v>
          </cell>
          <cell r="D276">
            <v>775853</v>
          </cell>
          <cell r="E276">
            <v>2629679</v>
          </cell>
          <cell r="F276">
            <v>432952</v>
          </cell>
          <cell r="G276">
            <v>29.5</v>
          </cell>
          <cell r="H276">
            <v>825062</v>
          </cell>
          <cell r="I276">
            <v>3081632</v>
          </cell>
          <cell r="J276">
            <v>61236</v>
          </cell>
          <cell r="K276">
            <v>26.77</v>
          </cell>
          <cell r="L276">
            <v>828074</v>
          </cell>
          <cell r="M276">
            <v>3612890</v>
          </cell>
          <cell r="N276">
            <v>782</v>
          </cell>
          <cell r="O276">
            <v>22.92</v>
          </cell>
          <cell r="P276">
            <v>0</v>
          </cell>
          <cell r="Q276">
            <v>0</v>
          </cell>
          <cell r="R276">
            <v>0</v>
          </cell>
          <cell r="S276">
            <v>0</v>
          </cell>
          <cell r="T276">
            <v>2428989</v>
          </cell>
          <cell r="U276">
            <v>9324201</v>
          </cell>
          <cell r="V276">
            <v>494970</v>
          </cell>
          <cell r="W276">
            <v>26.05</v>
          </cell>
        </row>
        <row r="277">
          <cell r="A277" t="str">
            <v>2017IA</v>
          </cell>
          <cell r="B277">
            <v>2017</v>
          </cell>
          <cell r="C277" t="str">
            <v>IA</v>
          </cell>
          <cell r="D277">
            <v>1692832</v>
          </cell>
          <cell r="E277">
            <v>13721869</v>
          </cell>
          <cell r="F277">
            <v>1375599</v>
          </cell>
          <cell r="G277">
            <v>12.34</v>
          </cell>
          <cell r="H277">
            <v>1148435</v>
          </cell>
          <cell r="I277">
            <v>12135026</v>
          </cell>
          <cell r="J277">
            <v>237942</v>
          </cell>
          <cell r="K277">
            <v>9.4600000000000009</v>
          </cell>
          <cell r="L277">
            <v>1431706</v>
          </cell>
          <cell r="M277">
            <v>23065102</v>
          </cell>
          <cell r="N277">
            <v>7747</v>
          </cell>
          <cell r="O277">
            <v>6.21</v>
          </cell>
          <cell r="P277">
            <v>0</v>
          </cell>
          <cell r="Q277">
            <v>0</v>
          </cell>
          <cell r="R277">
            <v>0</v>
          </cell>
          <cell r="S277">
            <v>0</v>
          </cell>
          <cell r="T277">
            <v>4272972</v>
          </cell>
          <cell r="U277">
            <v>48921997</v>
          </cell>
          <cell r="V277">
            <v>1621288</v>
          </cell>
          <cell r="W277">
            <v>8.73</v>
          </cell>
        </row>
        <row r="278">
          <cell r="A278" t="str">
            <v>2017ID</v>
          </cell>
          <cell r="B278">
            <v>2017</v>
          </cell>
          <cell r="C278" t="str">
            <v>ID</v>
          </cell>
          <cell r="D278">
            <v>876364</v>
          </cell>
          <cell r="E278">
            <v>8727901</v>
          </cell>
          <cell r="F278">
            <v>727568</v>
          </cell>
          <cell r="G278">
            <v>10.039999999999999</v>
          </cell>
          <cell r="H278">
            <v>512664</v>
          </cell>
          <cell r="I278">
            <v>6421001</v>
          </cell>
          <cell r="J278">
            <v>108965</v>
          </cell>
          <cell r="K278">
            <v>7.98</v>
          </cell>
          <cell r="L278">
            <v>575797</v>
          </cell>
          <cell r="M278">
            <v>8644888</v>
          </cell>
          <cell r="N278">
            <v>28138</v>
          </cell>
          <cell r="O278">
            <v>6.66</v>
          </cell>
          <cell r="P278">
            <v>0</v>
          </cell>
          <cell r="Q278">
            <v>0</v>
          </cell>
          <cell r="R278">
            <v>0</v>
          </cell>
          <cell r="S278">
            <v>0</v>
          </cell>
          <cell r="T278">
            <v>1964825</v>
          </cell>
          <cell r="U278">
            <v>23793790</v>
          </cell>
          <cell r="V278">
            <v>864671</v>
          </cell>
          <cell r="W278">
            <v>8.26</v>
          </cell>
        </row>
        <row r="279">
          <cell r="A279" t="str">
            <v>2017IL</v>
          </cell>
          <cell r="B279">
            <v>2017</v>
          </cell>
          <cell r="C279" t="str">
            <v>IL</v>
          </cell>
          <cell r="D279">
            <v>5661904</v>
          </cell>
          <cell r="E279">
            <v>43717391</v>
          </cell>
          <cell r="F279">
            <v>5264333</v>
          </cell>
          <cell r="G279">
            <v>12.95</v>
          </cell>
          <cell r="H279">
            <v>4542608</v>
          </cell>
          <cell r="I279">
            <v>49987885</v>
          </cell>
          <cell r="J279">
            <v>611670</v>
          </cell>
          <cell r="K279">
            <v>9.09</v>
          </cell>
          <cell r="L279">
            <v>2782185</v>
          </cell>
          <cell r="M279">
            <v>42970694</v>
          </cell>
          <cell r="N279">
            <v>5693</v>
          </cell>
          <cell r="O279">
            <v>6.47</v>
          </cell>
          <cell r="P279">
            <v>33051</v>
          </cell>
          <cell r="Q279">
            <v>520340</v>
          </cell>
          <cell r="R279">
            <v>3</v>
          </cell>
          <cell r="S279">
            <v>6.35</v>
          </cell>
          <cell r="T279">
            <v>13019748</v>
          </cell>
          <cell r="U279">
            <v>137196310</v>
          </cell>
          <cell r="V279">
            <v>5881699</v>
          </cell>
          <cell r="W279">
            <v>9.49</v>
          </cell>
        </row>
        <row r="280">
          <cell r="A280" t="str">
            <v>2017IN</v>
          </cell>
          <cell r="B280">
            <v>2017</v>
          </cell>
          <cell r="C280" t="str">
            <v>IN</v>
          </cell>
          <cell r="D280">
            <v>3878281</v>
          </cell>
          <cell r="E280">
            <v>31551558</v>
          </cell>
          <cell r="F280">
            <v>2834090</v>
          </cell>
          <cell r="G280">
            <v>12.29</v>
          </cell>
          <cell r="H280">
            <v>2494593</v>
          </cell>
          <cell r="I280">
            <v>23656990</v>
          </cell>
          <cell r="J280">
            <v>352015</v>
          </cell>
          <cell r="K280">
            <v>10.54</v>
          </cell>
          <cell r="L280">
            <v>3298049</v>
          </cell>
          <cell r="M280">
            <v>43737384</v>
          </cell>
          <cell r="N280">
            <v>17917</v>
          </cell>
          <cell r="O280">
            <v>7.54</v>
          </cell>
          <cell r="P280">
            <v>2249</v>
          </cell>
          <cell r="Q280">
            <v>20036</v>
          </cell>
          <cell r="R280">
            <v>1</v>
          </cell>
          <cell r="S280">
            <v>11.23</v>
          </cell>
          <cell r="T280">
            <v>9673171</v>
          </cell>
          <cell r="U280">
            <v>98965968</v>
          </cell>
          <cell r="V280">
            <v>3204023</v>
          </cell>
          <cell r="W280">
            <v>9.77</v>
          </cell>
        </row>
        <row r="281">
          <cell r="A281" t="str">
            <v>2017KS</v>
          </cell>
          <cell r="B281">
            <v>2017</v>
          </cell>
          <cell r="C281" t="str">
            <v>KS</v>
          </cell>
          <cell r="D281">
            <v>1732461</v>
          </cell>
          <cell r="E281">
            <v>13013422</v>
          </cell>
          <cell r="F281">
            <v>1259226</v>
          </cell>
          <cell r="G281">
            <v>13.31</v>
          </cell>
          <cell r="H281">
            <v>1667404</v>
          </cell>
          <cell r="I281">
            <v>15739290</v>
          </cell>
          <cell r="J281">
            <v>232078</v>
          </cell>
          <cell r="K281">
            <v>10.59</v>
          </cell>
          <cell r="L281">
            <v>870243</v>
          </cell>
          <cell r="M281">
            <v>11535075</v>
          </cell>
          <cell r="N281">
            <v>24322</v>
          </cell>
          <cell r="O281">
            <v>7.54</v>
          </cell>
          <cell r="P281">
            <v>0</v>
          </cell>
          <cell r="Q281">
            <v>0</v>
          </cell>
          <cell r="R281">
            <v>0</v>
          </cell>
          <cell r="S281">
            <v>0</v>
          </cell>
          <cell r="T281">
            <v>4270108</v>
          </cell>
          <cell r="U281">
            <v>40287787</v>
          </cell>
          <cell r="V281">
            <v>1515626</v>
          </cell>
          <cell r="W281">
            <v>10.6</v>
          </cell>
        </row>
        <row r="282">
          <cell r="A282" t="str">
            <v>2017KY</v>
          </cell>
          <cell r="B282">
            <v>2017</v>
          </cell>
          <cell r="C282" t="str">
            <v>KY</v>
          </cell>
          <cell r="D282">
            <v>2699918</v>
          </cell>
          <cell r="E282">
            <v>24882582</v>
          </cell>
          <cell r="F282">
            <v>1971002</v>
          </cell>
          <cell r="G282">
            <v>10.85</v>
          </cell>
          <cell r="H282">
            <v>1900421</v>
          </cell>
          <cell r="I282">
            <v>19292518</v>
          </cell>
          <cell r="J282">
            <v>304457</v>
          </cell>
          <cell r="K282">
            <v>9.85</v>
          </cell>
          <cell r="L282">
            <v>1626511</v>
          </cell>
          <cell r="M282">
            <v>28459287</v>
          </cell>
          <cell r="N282">
            <v>7010</v>
          </cell>
          <cell r="O282">
            <v>5.72</v>
          </cell>
          <cell r="P282">
            <v>0</v>
          </cell>
          <cell r="Q282">
            <v>0</v>
          </cell>
          <cell r="R282">
            <v>0</v>
          </cell>
          <cell r="S282">
            <v>0</v>
          </cell>
          <cell r="T282">
            <v>6226850</v>
          </cell>
          <cell r="U282">
            <v>72634387</v>
          </cell>
          <cell r="V282">
            <v>2282469</v>
          </cell>
          <cell r="W282">
            <v>8.57</v>
          </cell>
        </row>
        <row r="283">
          <cell r="A283" t="str">
            <v>2017LA</v>
          </cell>
          <cell r="B283">
            <v>2017</v>
          </cell>
          <cell r="C283" t="str">
            <v>LA</v>
          </cell>
          <cell r="D283">
            <v>2874957</v>
          </cell>
          <cell r="E283">
            <v>29531960</v>
          </cell>
          <cell r="F283">
            <v>2073615</v>
          </cell>
          <cell r="G283">
            <v>9.74</v>
          </cell>
          <cell r="H283">
            <v>2192502</v>
          </cell>
          <cell r="I283">
            <v>24500349</v>
          </cell>
          <cell r="J283">
            <v>291404</v>
          </cell>
          <cell r="K283">
            <v>8.9499999999999993</v>
          </cell>
          <cell r="L283">
            <v>2035903</v>
          </cell>
          <cell r="M283">
            <v>37160685</v>
          </cell>
          <cell r="N283">
            <v>19611</v>
          </cell>
          <cell r="O283">
            <v>5.48</v>
          </cell>
          <cell r="P283">
            <v>1286</v>
          </cell>
          <cell r="Q283">
            <v>12941</v>
          </cell>
          <cell r="R283">
            <v>1</v>
          </cell>
          <cell r="S283">
            <v>9.93</v>
          </cell>
          <cell r="T283">
            <v>7104647</v>
          </cell>
          <cell r="U283">
            <v>91205935</v>
          </cell>
          <cell r="V283">
            <v>2384631</v>
          </cell>
          <cell r="W283">
            <v>7.79</v>
          </cell>
        </row>
        <row r="284">
          <cell r="A284" t="str">
            <v>2017MA</v>
          </cell>
          <cell r="B284">
            <v>2017</v>
          </cell>
          <cell r="C284" t="str">
            <v>MA</v>
          </cell>
          <cell r="D284">
            <v>3879096</v>
          </cell>
          <cell r="E284">
            <v>19337799</v>
          </cell>
          <cell r="F284">
            <v>2766154</v>
          </cell>
          <cell r="G284">
            <v>20.059999999999999</v>
          </cell>
          <cell r="H284">
            <v>4138004</v>
          </cell>
          <cell r="I284">
            <v>25968044</v>
          </cell>
          <cell r="J284">
            <v>409715</v>
          </cell>
          <cell r="K284">
            <v>15.94</v>
          </cell>
          <cell r="L284">
            <v>952295</v>
          </cell>
          <cell r="M284">
            <v>6859215</v>
          </cell>
          <cell r="N284">
            <v>10358</v>
          </cell>
          <cell r="O284">
            <v>13.88</v>
          </cell>
          <cell r="P284">
            <v>21659</v>
          </cell>
          <cell r="Q284">
            <v>348263</v>
          </cell>
          <cell r="R284">
            <v>2</v>
          </cell>
          <cell r="S284">
            <v>6.22</v>
          </cell>
          <cell r="T284">
            <v>8991053</v>
          </cell>
          <cell r="U284">
            <v>52513321</v>
          </cell>
          <cell r="V284">
            <v>3186229</v>
          </cell>
          <cell r="W284">
            <v>17.12</v>
          </cell>
        </row>
        <row r="285">
          <cell r="A285" t="str">
            <v>2017MD</v>
          </cell>
          <cell r="B285">
            <v>2017</v>
          </cell>
          <cell r="C285" t="str">
            <v>MD</v>
          </cell>
          <cell r="D285">
            <v>3640765</v>
          </cell>
          <cell r="E285">
            <v>26084176</v>
          </cell>
          <cell r="F285">
            <v>2313189</v>
          </cell>
          <cell r="G285">
            <v>13.96</v>
          </cell>
          <cell r="H285">
            <v>3106559</v>
          </cell>
          <cell r="I285">
            <v>28893046</v>
          </cell>
          <cell r="J285">
            <v>252966</v>
          </cell>
          <cell r="K285">
            <v>10.75</v>
          </cell>
          <cell r="L285">
            <v>317893</v>
          </cell>
          <cell r="M285">
            <v>3797822</v>
          </cell>
          <cell r="N285">
            <v>8754</v>
          </cell>
          <cell r="O285">
            <v>8.3699999999999992</v>
          </cell>
          <cell r="P285">
            <v>40932</v>
          </cell>
          <cell r="Q285">
            <v>528841</v>
          </cell>
          <cell r="R285">
            <v>5</v>
          </cell>
          <cell r="S285">
            <v>7.74</v>
          </cell>
          <cell r="T285">
            <v>7106149</v>
          </cell>
          <cell r="U285">
            <v>59303885</v>
          </cell>
          <cell r="V285">
            <v>2574914</v>
          </cell>
          <cell r="W285">
            <v>11.98</v>
          </cell>
        </row>
        <row r="286">
          <cell r="A286" t="str">
            <v>2017ME</v>
          </cell>
          <cell r="B286">
            <v>2017</v>
          </cell>
          <cell r="C286" t="str">
            <v>ME</v>
          </cell>
          <cell r="D286">
            <v>740677</v>
          </cell>
          <cell r="E286">
            <v>4638535</v>
          </cell>
          <cell r="F286">
            <v>707792</v>
          </cell>
          <cell r="G286">
            <v>15.97</v>
          </cell>
          <cell r="H286">
            <v>474531</v>
          </cell>
          <cell r="I286">
            <v>3916786</v>
          </cell>
          <cell r="J286">
            <v>99331</v>
          </cell>
          <cell r="K286">
            <v>12.12</v>
          </cell>
          <cell r="L286">
            <v>244676</v>
          </cell>
          <cell r="M286">
            <v>2658353</v>
          </cell>
          <cell r="N286">
            <v>3100</v>
          </cell>
          <cell r="O286">
            <v>9.1999999999999993</v>
          </cell>
          <cell r="P286">
            <v>0</v>
          </cell>
          <cell r="Q286">
            <v>0</v>
          </cell>
          <cell r="R286">
            <v>0</v>
          </cell>
          <cell r="S286">
            <v>0</v>
          </cell>
          <cell r="T286">
            <v>1459884</v>
          </cell>
          <cell r="U286">
            <v>11213674</v>
          </cell>
          <cell r="V286">
            <v>810223</v>
          </cell>
          <cell r="W286">
            <v>13.02</v>
          </cell>
        </row>
        <row r="287">
          <cell r="A287" t="str">
            <v>2017MI</v>
          </cell>
          <cell r="B287">
            <v>2017</v>
          </cell>
          <cell r="C287" t="str">
            <v>MI</v>
          </cell>
          <cell r="D287">
            <v>5078011</v>
          </cell>
          <cell r="E287">
            <v>32977374</v>
          </cell>
          <cell r="F287">
            <v>4344321</v>
          </cell>
          <cell r="G287">
            <v>15.4</v>
          </cell>
          <cell r="H287">
            <v>4217018</v>
          </cell>
          <cell r="I287">
            <v>38325322</v>
          </cell>
          <cell r="J287">
            <v>542959</v>
          </cell>
          <cell r="K287">
            <v>11</v>
          </cell>
          <cell r="L287">
            <v>2200758</v>
          </cell>
          <cell r="M287">
            <v>30590574</v>
          </cell>
          <cell r="N287">
            <v>6196</v>
          </cell>
          <cell r="O287">
            <v>7.19</v>
          </cell>
          <cell r="P287">
            <v>698</v>
          </cell>
          <cell r="Q287">
            <v>5823</v>
          </cell>
          <cell r="R287">
            <v>2</v>
          </cell>
          <cell r="S287">
            <v>11.99</v>
          </cell>
          <cell r="T287">
            <v>11496486</v>
          </cell>
          <cell r="U287">
            <v>101899093</v>
          </cell>
          <cell r="V287">
            <v>4893478</v>
          </cell>
          <cell r="W287">
            <v>11.28</v>
          </cell>
        </row>
        <row r="288">
          <cell r="A288" t="str">
            <v>2017MN</v>
          </cell>
          <cell r="B288">
            <v>2017</v>
          </cell>
          <cell r="C288" t="str">
            <v>MN</v>
          </cell>
          <cell r="D288">
            <v>2813969</v>
          </cell>
          <cell r="E288">
            <v>21573800</v>
          </cell>
          <cell r="F288">
            <v>2403168</v>
          </cell>
          <cell r="G288">
            <v>13.04</v>
          </cell>
          <cell r="H288">
            <v>2438774</v>
          </cell>
          <cell r="I288">
            <v>23273897</v>
          </cell>
          <cell r="J288">
            <v>292859</v>
          </cell>
          <cell r="K288">
            <v>10.48</v>
          </cell>
          <cell r="L288">
            <v>1642588</v>
          </cell>
          <cell r="M288">
            <v>22280917</v>
          </cell>
          <cell r="N288">
            <v>8984</v>
          </cell>
          <cell r="O288">
            <v>7.37</v>
          </cell>
          <cell r="P288">
            <v>2291</v>
          </cell>
          <cell r="Q288">
            <v>23966</v>
          </cell>
          <cell r="R288">
            <v>1</v>
          </cell>
          <cell r="S288">
            <v>9.56</v>
          </cell>
          <cell r="T288">
            <v>6897622</v>
          </cell>
          <cell r="U288">
            <v>67152580</v>
          </cell>
          <cell r="V288">
            <v>2705012</v>
          </cell>
          <cell r="W288">
            <v>10.27</v>
          </cell>
        </row>
        <row r="289">
          <cell r="A289" t="str">
            <v>2017MO</v>
          </cell>
          <cell r="B289">
            <v>2017</v>
          </cell>
          <cell r="C289" t="str">
            <v>MO</v>
          </cell>
          <cell r="D289">
            <v>3843968</v>
          </cell>
          <cell r="E289">
            <v>33051080</v>
          </cell>
          <cell r="F289">
            <v>2771123</v>
          </cell>
          <cell r="G289">
            <v>11.63</v>
          </cell>
          <cell r="H289">
            <v>2858219</v>
          </cell>
          <cell r="I289">
            <v>30176974</v>
          </cell>
          <cell r="J289">
            <v>381634</v>
          </cell>
          <cell r="K289">
            <v>9.4700000000000006</v>
          </cell>
          <cell r="L289">
            <v>968061</v>
          </cell>
          <cell r="M289">
            <v>13210525</v>
          </cell>
          <cell r="N289">
            <v>8191</v>
          </cell>
          <cell r="O289">
            <v>7.33</v>
          </cell>
          <cell r="P289">
            <v>1924</v>
          </cell>
          <cell r="Q289">
            <v>22840</v>
          </cell>
          <cell r="R289">
            <v>2</v>
          </cell>
          <cell r="S289">
            <v>8.42</v>
          </cell>
          <cell r="T289">
            <v>7672172</v>
          </cell>
          <cell r="U289">
            <v>76461419</v>
          </cell>
          <cell r="V289">
            <v>3160950</v>
          </cell>
          <cell r="W289">
            <v>10.029999999999999</v>
          </cell>
        </row>
        <row r="290">
          <cell r="A290" t="str">
            <v>2017MS</v>
          </cell>
          <cell r="B290">
            <v>2017</v>
          </cell>
          <cell r="C290" t="str">
            <v>MS</v>
          </cell>
          <cell r="D290">
            <v>1932657</v>
          </cell>
          <cell r="E290">
            <v>17444016</v>
          </cell>
          <cell r="F290">
            <v>1284578</v>
          </cell>
          <cell r="G290">
            <v>11.08</v>
          </cell>
          <cell r="H290">
            <v>1449402</v>
          </cell>
          <cell r="I290">
            <v>14256157</v>
          </cell>
          <cell r="J290">
            <v>235245</v>
          </cell>
          <cell r="K290">
            <v>10.17</v>
          </cell>
          <cell r="L290">
            <v>965966</v>
          </cell>
          <cell r="M290">
            <v>16128614</v>
          </cell>
          <cell r="N290">
            <v>11156</v>
          </cell>
          <cell r="O290">
            <v>5.99</v>
          </cell>
          <cell r="P290">
            <v>0</v>
          </cell>
          <cell r="Q290">
            <v>0</v>
          </cell>
          <cell r="R290">
            <v>0</v>
          </cell>
          <cell r="S290">
            <v>0</v>
          </cell>
          <cell r="T290">
            <v>4348025</v>
          </cell>
          <cell r="U290">
            <v>47828787</v>
          </cell>
          <cell r="V290">
            <v>1530979</v>
          </cell>
          <cell r="W290">
            <v>9.09</v>
          </cell>
        </row>
        <row r="291">
          <cell r="A291" t="str">
            <v>2017MT</v>
          </cell>
          <cell r="B291">
            <v>2017</v>
          </cell>
          <cell r="C291" t="str">
            <v>MT</v>
          </cell>
          <cell r="D291">
            <v>572287</v>
          </cell>
          <cell r="E291">
            <v>5224588</v>
          </cell>
          <cell r="F291">
            <v>503313</v>
          </cell>
          <cell r="G291">
            <v>10.95</v>
          </cell>
          <cell r="H291">
            <v>502970</v>
          </cell>
          <cell r="I291">
            <v>4970119</v>
          </cell>
          <cell r="J291">
            <v>107147</v>
          </cell>
          <cell r="K291">
            <v>10.119999999999999</v>
          </cell>
          <cell r="L291">
            <v>236952</v>
          </cell>
          <cell r="M291">
            <v>4514949</v>
          </cell>
          <cell r="N291">
            <v>9893</v>
          </cell>
          <cell r="O291">
            <v>5.25</v>
          </cell>
          <cell r="P291">
            <v>0</v>
          </cell>
          <cell r="Q291">
            <v>0</v>
          </cell>
          <cell r="R291">
            <v>0</v>
          </cell>
          <cell r="S291">
            <v>0</v>
          </cell>
          <cell r="T291">
            <v>1312209</v>
          </cell>
          <cell r="U291">
            <v>14709656</v>
          </cell>
          <cell r="V291">
            <v>620353</v>
          </cell>
          <cell r="W291">
            <v>8.92</v>
          </cell>
        </row>
        <row r="292">
          <cell r="A292" t="str">
            <v>2017NC</v>
          </cell>
          <cell r="B292">
            <v>2017</v>
          </cell>
          <cell r="C292" t="str">
            <v>NC</v>
          </cell>
          <cell r="D292">
            <v>6138404</v>
          </cell>
          <cell r="E292">
            <v>56133960</v>
          </cell>
          <cell r="F292">
            <v>4488039</v>
          </cell>
          <cell r="G292">
            <v>10.94</v>
          </cell>
          <cell r="H292">
            <v>4042918</v>
          </cell>
          <cell r="I292">
            <v>47890455</v>
          </cell>
          <cell r="J292">
            <v>680967</v>
          </cell>
          <cell r="K292">
            <v>8.44</v>
          </cell>
          <cell r="L292">
            <v>1699347</v>
          </cell>
          <cell r="M292">
            <v>27393364</v>
          </cell>
          <cell r="N292">
            <v>10045</v>
          </cell>
          <cell r="O292">
            <v>6.2</v>
          </cell>
          <cell r="P292">
            <v>303</v>
          </cell>
          <cell r="Q292">
            <v>3540</v>
          </cell>
          <cell r="R292">
            <v>1</v>
          </cell>
          <cell r="S292">
            <v>8.5500000000000007</v>
          </cell>
          <cell r="T292">
            <v>11880971</v>
          </cell>
          <cell r="U292">
            <v>131421319</v>
          </cell>
          <cell r="V292">
            <v>5179052</v>
          </cell>
          <cell r="W292">
            <v>9.0399999999999991</v>
          </cell>
        </row>
        <row r="293">
          <cell r="A293" t="str">
            <v>2017ND</v>
          </cell>
          <cell r="B293">
            <v>2017</v>
          </cell>
          <cell r="C293" t="str">
            <v>ND</v>
          </cell>
          <cell r="D293">
            <v>498902</v>
          </cell>
          <cell r="E293">
            <v>4848305</v>
          </cell>
          <cell r="F293">
            <v>380101</v>
          </cell>
          <cell r="G293">
            <v>10.29</v>
          </cell>
          <cell r="H293">
            <v>600239</v>
          </cell>
          <cell r="I293">
            <v>6529910</v>
          </cell>
          <cell r="J293">
            <v>74527</v>
          </cell>
          <cell r="K293">
            <v>9.19</v>
          </cell>
          <cell r="L293">
            <v>668782</v>
          </cell>
          <cell r="M293">
            <v>8762211</v>
          </cell>
          <cell r="N293">
            <v>8708</v>
          </cell>
          <cell r="O293">
            <v>7.63</v>
          </cell>
          <cell r="P293">
            <v>0</v>
          </cell>
          <cell r="Q293">
            <v>0</v>
          </cell>
          <cell r="R293">
            <v>0</v>
          </cell>
          <cell r="S293">
            <v>0</v>
          </cell>
          <cell r="T293">
            <v>1767923</v>
          </cell>
          <cell r="U293">
            <v>20140426</v>
          </cell>
          <cell r="V293">
            <v>463336</v>
          </cell>
          <cell r="W293">
            <v>8.7799999999999994</v>
          </cell>
        </row>
        <row r="294">
          <cell r="A294" t="str">
            <v>2017NE</v>
          </cell>
          <cell r="B294">
            <v>2017</v>
          </cell>
          <cell r="C294" t="str">
            <v>NE</v>
          </cell>
          <cell r="D294">
            <v>1060436</v>
          </cell>
          <cell r="E294">
            <v>9667990</v>
          </cell>
          <cell r="F294">
            <v>841965</v>
          </cell>
          <cell r="G294">
            <v>10.97</v>
          </cell>
          <cell r="H294">
            <v>822118</v>
          </cell>
          <cell r="I294">
            <v>9293401</v>
          </cell>
          <cell r="J294">
            <v>151485</v>
          </cell>
          <cell r="K294">
            <v>8.85</v>
          </cell>
          <cell r="L294">
            <v>873216</v>
          </cell>
          <cell r="M294">
            <v>11397616</v>
          </cell>
          <cell r="N294">
            <v>62066</v>
          </cell>
          <cell r="O294">
            <v>7.66</v>
          </cell>
          <cell r="P294">
            <v>0</v>
          </cell>
          <cell r="Q294">
            <v>0</v>
          </cell>
          <cell r="R294">
            <v>0</v>
          </cell>
          <cell r="S294">
            <v>0</v>
          </cell>
          <cell r="T294">
            <v>2755770</v>
          </cell>
          <cell r="U294">
            <v>30359007</v>
          </cell>
          <cell r="V294">
            <v>1055516</v>
          </cell>
          <cell r="W294">
            <v>9.08</v>
          </cell>
        </row>
        <row r="295">
          <cell r="A295" t="str">
            <v>2017NH</v>
          </cell>
          <cell r="B295">
            <v>2017</v>
          </cell>
          <cell r="C295" t="str">
            <v>NH</v>
          </cell>
          <cell r="D295">
            <v>852981</v>
          </cell>
          <cell r="E295">
            <v>4441497</v>
          </cell>
          <cell r="F295">
            <v>618356</v>
          </cell>
          <cell r="G295">
            <v>19.2</v>
          </cell>
          <cell r="H295">
            <v>649944</v>
          </cell>
          <cell r="I295">
            <v>4389838</v>
          </cell>
          <cell r="J295">
            <v>107436</v>
          </cell>
          <cell r="K295">
            <v>14.81</v>
          </cell>
          <cell r="L295">
            <v>241347</v>
          </cell>
          <cell r="M295">
            <v>1955926</v>
          </cell>
          <cell r="N295">
            <v>3220</v>
          </cell>
          <cell r="O295">
            <v>12.34</v>
          </cell>
          <cell r="P295">
            <v>0</v>
          </cell>
          <cell r="Q295">
            <v>0</v>
          </cell>
          <cell r="R295">
            <v>0</v>
          </cell>
          <cell r="S295">
            <v>0</v>
          </cell>
          <cell r="T295">
            <v>1744272</v>
          </cell>
          <cell r="U295">
            <v>10787261</v>
          </cell>
          <cell r="V295">
            <v>729012</v>
          </cell>
          <cell r="W295">
            <v>16.170000000000002</v>
          </cell>
        </row>
        <row r="296">
          <cell r="A296" t="str">
            <v>2017NJ</v>
          </cell>
          <cell r="B296">
            <v>2017</v>
          </cell>
          <cell r="C296" t="str">
            <v>NJ</v>
          </cell>
          <cell r="D296">
            <v>4344094</v>
          </cell>
          <cell r="E296">
            <v>27761879</v>
          </cell>
          <cell r="F296">
            <v>3536087</v>
          </cell>
          <cell r="G296">
            <v>15.65</v>
          </cell>
          <cell r="H296">
            <v>4663077</v>
          </cell>
          <cell r="I296">
            <v>37971404</v>
          </cell>
          <cell r="J296">
            <v>517404</v>
          </cell>
          <cell r="K296">
            <v>12.28</v>
          </cell>
          <cell r="L296">
            <v>742874</v>
          </cell>
          <cell r="M296">
            <v>7343012</v>
          </cell>
          <cell r="N296">
            <v>11773</v>
          </cell>
          <cell r="O296">
            <v>10.119999999999999</v>
          </cell>
          <cell r="P296">
            <v>27027</v>
          </cell>
          <cell r="Q296">
            <v>306645</v>
          </cell>
          <cell r="R296">
            <v>6</v>
          </cell>
          <cell r="S296">
            <v>8.81</v>
          </cell>
          <cell r="T296">
            <v>9777072</v>
          </cell>
          <cell r="U296">
            <v>73382940</v>
          </cell>
          <cell r="V296">
            <v>4065270</v>
          </cell>
          <cell r="W296">
            <v>13.32</v>
          </cell>
        </row>
        <row r="297">
          <cell r="A297" t="str">
            <v>2017NM</v>
          </cell>
          <cell r="B297">
            <v>2017</v>
          </cell>
          <cell r="C297" t="str">
            <v>NM</v>
          </cell>
          <cell r="D297">
            <v>836772</v>
          </cell>
          <cell r="E297">
            <v>6497207</v>
          </cell>
          <cell r="F297">
            <v>880867</v>
          </cell>
          <cell r="G297">
            <v>12.88</v>
          </cell>
          <cell r="H297">
            <v>895321</v>
          </cell>
          <cell r="I297">
            <v>8784312</v>
          </cell>
          <cell r="J297">
            <v>143326</v>
          </cell>
          <cell r="K297">
            <v>10.19</v>
          </cell>
          <cell r="L297">
            <v>475597</v>
          </cell>
          <cell r="M297">
            <v>7728065</v>
          </cell>
          <cell r="N297">
            <v>9395</v>
          </cell>
          <cell r="O297">
            <v>6.15</v>
          </cell>
          <cell r="P297">
            <v>0</v>
          </cell>
          <cell r="Q297">
            <v>0</v>
          </cell>
          <cell r="R297">
            <v>0</v>
          </cell>
          <cell r="S297">
            <v>0</v>
          </cell>
          <cell r="T297">
            <v>2207689</v>
          </cell>
          <cell r="U297">
            <v>23009584</v>
          </cell>
          <cell r="V297">
            <v>1033588</v>
          </cell>
          <cell r="W297">
            <v>9.59</v>
          </cell>
        </row>
        <row r="298">
          <cell r="A298" t="str">
            <v>2017NV</v>
          </cell>
          <cell r="B298">
            <v>2017</v>
          </cell>
          <cell r="C298" t="str">
            <v>NV</v>
          </cell>
          <cell r="D298">
            <v>1550498</v>
          </cell>
          <cell r="E298">
            <v>12936791</v>
          </cell>
          <cell r="F298">
            <v>1263101</v>
          </cell>
          <cell r="G298">
            <v>11.99</v>
          </cell>
          <cell r="H298">
            <v>885747</v>
          </cell>
          <cell r="I298">
            <v>11122755</v>
          </cell>
          <cell r="J298">
            <v>163356</v>
          </cell>
          <cell r="K298">
            <v>7.96</v>
          </cell>
          <cell r="L298">
            <v>774689</v>
          </cell>
          <cell r="M298">
            <v>12589549</v>
          </cell>
          <cell r="N298">
            <v>3447</v>
          </cell>
          <cell r="O298">
            <v>6.15</v>
          </cell>
          <cell r="P298">
            <v>748</v>
          </cell>
          <cell r="Q298">
            <v>8691</v>
          </cell>
          <cell r="R298">
            <v>1</v>
          </cell>
          <cell r="S298">
            <v>8.61</v>
          </cell>
          <cell r="T298">
            <v>3211682</v>
          </cell>
          <cell r="U298">
            <v>36657786</v>
          </cell>
          <cell r="V298">
            <v>1429905</v>
          </cell>
          <cell r="W298">
            <v>8.76</v>
          </cell>
        </row>
        <row r="299">
          <cell r="A299" t="str">
            <v>2017NY</v>
          </cell>
          <cell r="B299">
            <v>2017</v>
          </cell>
          <cell r="C299" t="str">
            <v>NY</v>
          </cell>
          <cell r="D299">
            <v>8849146</v>
          </cell>
          <cell r="E299">
            <v>49080757</v>
          </cell>
          <cell r="F299">
            <v>7144413</v>
          </cell>
          <cell r="G299">
            <v>18.03</v>
          </cell>
          <cell r="H299">
            <v>11111277</v>
          </cell>
          <cell r="I299">
            <v>75333485</v>
          </cell>
          <cell r="J299">
            <v>1089889</v>
          </cell>
          <cell r="K299">
            <v>14.75</v>
          </cell>
          <cell r="L299">
            <v>1055297</v>
          </cell>
          <cell r="M299">
            <v>17811455</v>
          </cell>
          <cell r="N299">
            <v>6997</v>
          </cell>
          <cell r="O299">
            <v>5.92</v>
          </cell>
          <cell r="P299">
            <v>350433</v>
          </cell>
          <cell r="Q299">
            <v>2766736</v>
          </cell>
          <cell r="R299">
            <v>8</v>
          </cell>
          <cell r="S299">
            <v>12.67</v>
          </cell>
          <cell r="T299">
            <v>21366152</v>
          </cell>
          <cell r="U299">
            <v>144992433</v>
          </cell>
          <cell r="V299">
            <v>8241307</v>
          </cell>
          <cell r="W299">
            <v>14.74</v>
          </cell>
        </row>
        <row r="300">
          <cell r="A300" t="str">
            <v>2017OH</v>
          </cell>
          <cell r="B300">
            <v>2017</v>
          </cell>
          <cell r="C300" t="str">
            <v>OH</v>
          </cell>
          <cell r="D300">
            <v>6287043</v>
          </cell>
          <cell r="E300">
            <v>49795540</v>
          </cell>
          <cell r="F300">
            <v>4936471</v>
          </cell>
          <cell r="G300">
            <v>12.63</v>
          </cell>
          <cell r="H300">
            <v>4639989</v>
          </cell>
          <cell r="I300">
            <v>46158399</v>
          </cell>
          <cell r="J300">
            <v>627168</v>
          </cell>
          <cell r="K300">
            <v>10.050000000000001</v>
          </cell>
          <cell r="L300">
            <v>3503104</v>
          </cell>
          <cell r="M300">
            <v>50650671</v>
          </cell>
          <cell r="N300">
            <v>18664</v>
          </cell>
          <cell r="O300">
            <v>6.92</v>
          </cell>
          <cell r="P300">
            <v>2940</v>
          </cell>
          <cell r="Q300">
            <v>39221</v>
          </cell>
          <cell r="R300">
            <v>2</v>
          </cell>
          <cell r="S300">
            <v>7.5</v>
          </cell>
          <cell r="T300">
            <v>14433075</v>
          </cell>
          <cell r="U300">
            <v>146643831</v>
          </cell>
          <cell r="V300">
            <v>5582305</v>
          </cell>
          <cell r="W300">
            <v>9.84</v>
          </cell>
        </row>
        <row r="301">
          <cell r="A301" t="str">
            <v>2017OK</v>
          </cell>
          <cell r="B301">
            <v>2017</v>
          </cell>
          <cell r="C301" t="str">
            <v>OK</v>
          </cell>
          <cell r="D301">
            <v>2316983</v>
          </cell>
          <cell r="E301">
            <v>21837596</v>
          </cell>
          <cell r="F301">
            <v>1751034</v>
          </cell>
          <cell r="G301">
            <v>10.61</v>
          </cell>
          <cell r="H301">
            <v>1661847</v>
          </cell>
          <cell r="I301">
            <v>20498860</v>
          </cell>
          <cell r="J301">
            <v>281267</v>
          </cell>
          <cell r="K301">
            <v>8.11</v>
          </cell>
          <cell r="L301">
            <v>984080</v>
          </cell>
          <cell r="M301">
            <v>18155672</v>
          </cell>
          <cell r="N301">
            <v>18782</v>
          </cell>
          <cell r="O301">
            <v>5.42</v>
          </cell>
          <cell r="P301">
            <v>0</v>
          </cell>
          <cell r="Q301">
            <v>0</v>
          </cell>
          <cell r="R301">
            <v>0</v>
          </cell>
          <cell r="S301">
            <v>0</v>
          </cell>
          <cell r="T301">
            <v>4962910</v>
          </cell>
          <cell r="U301">
            <v>60492128</v>
          </cell>
          <cell r="V301">
            <v>2051083</v>
          </cell>
          <cell r="W301">
            <v>8.1999999999999993</v>
          </cell>
        </row>
        <row r="302">
          <cell r="A302" t="str">
            <v>2017OR</v>
          </cell>
          <cell r="B302">
            <v>2017</v>
          </cell>
          <cell r="C302" t="str">
            <v>OR</v>
          </cell>
          <cell r="D302">
            <v>2138505</v>
          </cell>
          <cell r="E302">
            <v>20065930</v>
          </cell>
          <cell r="F302">
            <v>1725884</v>
          </cell>
          <cell r="G302">
            <v>10.66</v>
          </cell>
          <cell r="H302">
            <v>1467501</v>
          </cell>
          <cell r="I302">
            <v>16570754</v>
          </cell>
          <cell r="J302">
            <v>233823</v>
          </cell>
          <cell r="K302">
            <v>8.86</v>
          </cell>
          <cell r="L302">
            <v>800856</v>
          </cell>
          <cell r="M302">
            <v>13381811</v>
          </cell>
          <cell r="N302">
            <v>24383</v>
          </cell>
          <cell r="O302">
            <v>5.98</v>
          </cell>
          <cell r="P302">
            <v>2367</v>
          </cell>
          <cell r="Q302">
            <v>25321</v>
          </cell>
          <cell r="R302">
            <v>2</v>
          </cell>
          <cell r="S302">
            <v>9.35</v>
          </cell>
          <cell r="T302">
            <v>4409228</v>
          </cell>
          <cell r="U302">
            <v>50043816</v>
          </cell>
          <cell r="V302">
            <v>1984092</v>
          </cell>
          <cell r="W302">
            <v>8.81</v>
          </cell>
        </row>
        <row r="303">
          <cell r="A303" t="str">
            <v>2017PA</v>
          </cell>
          <cell r="B303">
            <v>2017</v>
          </cell>
          <cell r="C303" t="str">
            <v>PA</v>
          </cell>
          <cell r="D303">
            <v>7359033</v>
          </cell>
          <cell r="E303">
            <v>51724498</v>
          </cell>
          <cell r="F303">
            <v>5356693</v>
          </cell>
          <cell r="G303">
            <v>14.23</v>
          </cell>
          <cell r="H303">
            <v>3826399</v>
          </cell>
          <cell r="I303">
            <v>42622565</v>
          </cell>
          <cell r="J303">
            <v>698453</v>
          </cell>
          <cell r="K303">
            <v>8.98</v>
          </cell>
          <cell r="L303">
            <v>3241741</v>
          </cell>
          <cell r="M303">
            <v>47889117</v>
          </cell>
          <cell r="N303">
            <v>22726</v>
          </cell>
          <cell r="O303">
            <v>6.77</v>
          </cell>
          <cell r="P303">
            <v>54024</v>
          </cell>
          <cell r="Q303">
            <v>754716</v>
          </cell>
          <cell r="R303">
            <v>6</v>
          </cell>
          <cell r="S303">
            <v>7.16</v>
          </cell>
          <cell r="T303">
            <v>14481197</v>
          </cell>
          <cell r="U303">
            <v>142990896</v>
          </cell>
          <cell r="V303">
            <v>6077878</v>
          </cell>
          <cell r="W303">
            <v>10.130000000000001</v>
          </cell>
        </row>
        <row r="304">
          <cell r="A304" t="str">
            <v>2017RI</v>
          </cell>
          <cell r="B304">
            <v>2017</v>
          </cell>
          <cell r="C304" t="str">
            <v>RI</v>
          </cell>
          <cell r="D304">
            <v>554752</v>
          </cell>
          <cell r="E304">
            <v>3028267</v>
          </cell>
          <cell r="F304">
            <v>437124</v>
          </cell>
          <cell r="G304">
            <v>18.32</v>
          </cell>
          <cell r="H304">
            <v>547549</v>
          </cell>
          <cell r="I304">
            <v>3603085</v>
          </cell>
          <cell r="J304">
            <v>59447</v>
          </cell>
          <cell r="K304">
            <v>15.2</v>
          </cell>
          <cell r="L304">
            <v>105708</v>
          </cell>
          <cell r="M304">
            <v>725767</v>
          </cell>
          <cell r="N304">
            <v>1784</v>
          </cell>
          <cell r="O304">
            <v>14.57</v>
          </cell>
          <cell r="P304">
            <v>4707</v>
          </cell>
          <cell r="Q304">
            <v>27552</v>
          </cell>
          <cell r="R304">
            <v>1</v>
          </cell>
          <cell r="S304">
            <v>17.079999999999998</v>
          </cell>
          <cell r="T304">
            <v>1212716</v>
          </cell>
          <cell r="U304">
            <v>7384671</v>
          </cell>
          <cell r="V304">
            <v>498356</v>
          </cell>
          <cell r="W304">
            <v>16.420000000000002</v>
          </cell>
        </row>
        <row r="305">
          <cell r="A305" t="str">
            <v>2017SC</v>
          </cell>
          <cell r="B305">
            <v>2017</v>
          </cell>
          <cell r="C305" t="str">
            <v>SC</v>
          </cell>
          <cell r="D305">
            <v>3804261</v>
          </cell>
          <cell r="E305">
            <v>29224971</v>
          </cell>
          <cell r="F305">
            <v>2251558</v>
          </cell>
          <cell r="G305">
            <v>13.02</v>
          </cell>
          <cell r="H305">
            <v>2300878</v>
          </cell>
          <cell r="I305">
            <v>21758082</v>
          </cell>
          <cell r="J305">
            <v>373073</v>
          </cell>
          <cell r="K305">
            <v>10.57</v>
          </cell>
          <cell r="L305">
            <v>1677448</v>
          </cell>
          <cell r="M305">
            <v>27113704</v>
          </cell>
          <cell r="N305">
            <v>4379</v>
          </cell>
          <cell r="O305">
            <v>6.19</v>
          </cell>
          <cell r="P305">
            <v>0</v>
          </cell>
          <cell r="Q305">
            <v>0</v>
          </cell>
          <cell r="R305">
            <v>0</v>
          </cell>
          <cell r="S305">
            <v>0</v>
          </cell>
          <cell r="T305">
            <v>7782586</v>
          </cell>
          <cell r="U305">
            <v>78096757</v>
          </cell>
          <cell r="V305">
            <v>2629010</v>
          </cell>
          <cell r="W305">
            <v>9.9700000000000006</v>
          </cell>
        </row>
        <row r="306">
          <cell r="A306" t="str">
            <v>2017SD</v>
          </cell>
          <cell r="B306">
            <v>2017</v>
          </cell>
          <cell r="C306" t="str">
            <v>SD</v>
          </cell>
          <cell r="D306">
            <v>547554</v>
          </cell>
          <cell r="E306">
            <v>4652890</v>
          </cell>
          <cell r="F306">
            <v>396564</v>
          </cell>
          <cell r="G306">
            <v>11.77</v>
          </cell>
          <cell r="H306">
            <v>459762</v>
          </cell>
          <cell r="I306">
            <v>4722666</v>
          </cell>
          <cell r="J306">
            <v>71263</v>
          </cell>
          <cell r="K306">
            <v>9.74</v>
          </cell>
          <cell r="L306">
            <v>230254</v>
          </cell>
          <cell r="M306">
            <v>2938119</v>
          </cell>
          <cell r="N306">
            <v>3892</v>
          </cell>
          <cell r="O306">
            <v>7.84</v>
          </cell>
          <cell r="P306">
            <v>0</v>
          </cell>
          <cell r="Q306">
            <v>0</v>
          </cell>
          <cell r="R306">
            <v>0</v>
          </cell>
          <cell r="S306">
            <v>0</v>
          </cell>
          <cell r="T306">
            <v>1237570</v>
          </cell>
          <cell r="U306">
            <v>12313675</v>
          </cell>
          <cell r="V306">
            <v>471719</v>
          </cell>
          <cell r="W306">
            <v>10.050000000000001</v>
          </cell>
        </row>
        <row r="307">
          <cell r="A307" t="str">
            <v>2017TN</v>
          </cell>
          <cell r="B307">
            <v>2017</v>
          </cell>
          <cell r="C307" t="str">
            <v>TN</v>
          </cell>
          <cell r="D307">
            <v>4213506</v>
          </cell>
          <cell r="E307">
            <v>39292528</v>
          </cell>
          <cell r="F307">
            <v>2847696</v>
          </cell>
          <cell r="G307">
            <v>10.72</v>
          </cell>
          <cell r="H307">
            <v>3558682</v>
          </cell>
          <cell r="I307">
            <v>33727208</v>
          </cell>
          <cell r="J307">
            <v>484324</v>
          </cell>
          <cell r="K307">
            <v>10.55</v>
          </cell>
          <cell r="L307">
            <v>1412830</v>
          </cell>
          <cell r="M307">
            <v>24220149</v>
          </cell>
          <cell r="N307">
            <v>1167</v>
          </cell>
          <cell r="O307">
            <v>5.83</v>
          </cell>
          <cell r="P307">
            <v>0</v>
          </cell>
          <cell r="Q307">
            <v>0</v>
          </cell>
          <cell r="R307">
            <v>0</v>
          </cell>
          <cell r="S307">
            <v>0</v>
          </cell>
          <cell r="T307">
            <v>9185018</v>
          </cell>
          <cell r="U307">
            <v>97239885</v>
          </cell>
          <cell r="V307">
            <v>3333187</v>
          </cell>
          <cell r="W307">
            <v>9.4499999999999993</v>
          </cell>
        </row>
        <row r="308">
          <cell r="A308" t="str">
            <v>2017TX</v>
          </cell>
          <cell r="B308">
            <v>2017</v>
          </cell>
          <cell r="C308" t="str">
            <v>TX</v>
          </cell>
          <cell r="D308">
            <v>15886368</v>
          </cell>
          <cell r="E308">
            <v>144242131</v>
          </cell>
          <cell r="F308">
            <v>10809494</v>
          </cell>
          <cell r="G308">
            <v>11.01</v>
          </cell>
          <cell r="H308">
            <v>11352259</v>
          </cell>
          <cell r="I308">
            <v>137485841</v>
          </cell>
          <cell r="J308">
            <v>1514712</v>
          </cell>
          <cell r="K308">
            <v>8.26</v>
          </cell>
          <cell r="L308">
            <v>6424254</v>
          </cell>
          <cell r="M308">
            <v>119970143</v>
          </cell>
          <cell r="N308">
            <v>114857</v>
          </cell>
          <cell r="O308">
            <v>5.35</v>
          </cell>
          <cell r="P308">
            <v>14866</v>
          </cell>
          <cell r="Q308">
            <v>182259</v>
          </cell>
          <cell r="R308">
            <v>3</v>
          </cell>
          <cell r="S308">
            <v>8.16</v>
          </cell>
          <cell r="T308">
            <v>33677747</v>
          </cell>
          <cell r="U308">
            <v>401880374</v>
          </cell>
          <cell r="V308">
            <v>12439066</v>
          </cell>
          <cell r="W308">
            <v>8.3800000000000008</v>
          </cell>
        </row>
        <row r="309">
          <cell r="A309" t="str">
            <v>2017UT</v>
          </cell>
          <cell r="B309">
            <v>2017</v>
          </cell>
          <cell r="C309" t="str">
            <v>UT</v>
          </cell>
          <cell r="D309">
            <v>1041820</v>
          </cell>
          <cell r="E309">
            <v>9510783</v>
          </cell>
          <cell r="F309">
            <v>1063292</v>
          </cell>
          <cell r="G309">
            <v>10.95</v>
          </cell>
          <cell r="H309">
            <v>1014847</v>
          </cell>
          <cell r="I309">
            <v>11739121</v>
          </cell>
          <cell r="J309">
            <v>127113</v>
          </cell>
          <cell r="K309">
            <v>8.65</v>
          </cell>
          <cell r="L309">
            <v>569088</v>
          </cell>
          <cell r="M309">
            <v>9283036</v>
          </cell>
          <cell r="N309">
            <v>9594</v>
          </cell>
          <cell r="O309">
            <v>6.13</v>
          </cell>
          <cell r="P309">
            <v>5752</v>
          </cell>
          <cell r="Q309">
            <v>56081</v>
          </cell>
          <cell r="R309">
            <v>1</v>
          </cell>
          <cell r="S309">
            <v>10.26</v>
          </cell>
          <cell r="T309">
            <v>2631505</v>
          </cell>
          <cell r="U309">
            <v>30589021</v>
          </cell>
          <cell r="V309">
            <v>1200000</v>
          </cell>
          <cell r="W309">
            <v>8.6</v>
          </cell>
        </row>
        <row r="310">
          <cell r="A310" t="str">
            <v>2017VA</v>
          </cell>
          <cell r="B310">
            <v>2017</v>
          </cell>
          <cell r="C310" t="str">
            <v>VA</v>
          </cell>
          <cell r="D310">
            <v>5078889</v>
          </cell>
          <cell r="E310">
            <v>43982440</v>
          </cell>
          <cell r="F310">
            <v>3398529</v>
          </cell>
          <cell r="G310">
            <v>11.55</v>
          </cell>
          <cell r="H310">
            <v>4023032</v>
          </cell>
          <cell r="I310">
            <v>50200525</v>
          </cell>
          <cell r="J310">
            <v>422256</v>
          </cell>
          <cell r="K310">
            <v>8.01</v>
          </cell>
          <cell r="L310">
            <v>1117710</v>
          </cell>
          <cell r="M310">
            <v>17168820</v>
          </cell>
          <cell r="N310">
            <v>3692</v>
          </cell>
          <cell r="O310">
            <v>6.51</v>
          </cell>
          <cell r="P310">
            <v>14431</v>
          </cell>
          <cell r="Q310">
            <v>177947</v>
          </cell>
          <cell r="R310">
            <v>1</v>
          </cell>
          <cell r="S310">
            <v>8.11</v>
          </cell>
          <cell r="T310">
            <v>10234062</v>
          </cell>
          <cell r="U310">
            <v>111529732</v>
          </cell>
          <cell r="V310">
            <v>3824478</v>
          </cell>
          <cell r="W310">
            <v>9.18</v>
          </cell>
        </row>
        <row r="311">
          <cell r="A311" t="str">
            <v>2017VT</v>
          </cell>
          <cell r="B311">
            <v>2017</v>
          </cell>
          <cell r="C311" t="str">
            <v>VT</v>
          </cell>
          <cell r="D311">
            <v>357641</v>
          </cell>
          <cell r="E311">
            <v>2023424</v>
          </cell>
          <cell r="F311">
            <v>313670</v>
          </cell>
          <cell r="G311">
            <v>17.68</v>
          </cell>
          <cell r="H311">
            <v>288831</v>
          </cell>
          <cell r="I311">
            <v>1976594</v>
          </cell>
          <cell r="J311">
            <v>56388</v>
          </cell>
          <cell r="K311">
            <v>14.61</v>
          </cell>
          <cell r="L311">
            <v>145424</v>
          </cell>
          <cell r="M311">
            <v>1423644</v>
          </cell>
          <cell r="N311">
            <v>187</v>
          </cell>
          <cell r="O311">
            <v>10.210000000000001</v>
          </cell>
          <cell r="P311">
            <v>0</v>
          </cell>
          <cell r="Q311">
            <v>0</v>
          </cell>
          <cell r="R311">
            <v>0</v>
          </cell>
          <cell r="S311">
            <v>0</v>
          </cell>
          <cell r="T311">
            <v>791896</v>
          </cell>
          <cell r="U311">
            <v>5423662</v>
          </cell>
          <cell r="V311">
            <v>370245</v>
          </cell>
          <cell r="W311">
            <v>14.6</v>
          </cell>
        </row>
        <row r="312">
          <cell r="A312" t="str">
            <v>2017WA</v>
          </cell>
          <cell r="B312">
            <v>2017</v>
          </cell>
          <cell r="C312" t="str">
            <v>WA</v>
          </cell>
          <cell r="D312">
            <v>3600615</v>
          </cell>
          <cell r="E312">
            <v>37282901</v>
          </cell>
          <cell r="F312">
            <v>3037674</v>
          </cell>
          <cell r="G312">
            <v>9.66</v>
          </cell>
          <cell r="H312">
            <v>2553289</v>
          </cell>
          <cell r="I312">
            <v>29799505</v>
          </cell>
          <cell r="J312">
            <v>381028</v>
          </cell>
          <cell r="K312">
            <v>8.57</v>
          </cell>
          <cell r="L312">
            <v>1143982</v>
          </cell>
          <cell r="M312">
            <v>24858604</v>
          </cell>
          <cell r="N312">
            <v>27825</v>
          </cell>
          <cell r="O312">
            <v>4.5999999999999996</v>
          </cell>
          <cell r="P312">
            <v>658</v>
          </cell>
          <cell r="Q312">
            <v>7162</v>
          </cell>
          <cell r="R312">
            <v>6</v>
          </cell>
          <cell r="S312">
            <v>9.18</v>
          </cell>
          <cell r="T312">
            <v>7298544</v>
          </cell>
          <cell r="U312">
            <v>91948172</v>
          </cell>
          <cell r="V312">
            <v>3446533</v>
          </cell>
          <cell r="W312">
            <v>7.94</v>
          </cell>
        </row>
        <row r="313">
          <cell r="A313" t="str">
            <v>2017WI</v>
          </cell>
          <cell r="B313">
            <v>2017</v>
          </cell>
          <cell r="C313" t="str">
            <v>WI</v>
          </cell>
          <cell r="D313">
            <v>3045972</v>
          </cell>
          <cell r="E313">
            <v>21233154</v>
          </cell>
          <cell r="F313">
            <v>2681341</v>
          </cell>
          <cell r="G313">
            <v>14.35</v>
          </cell>
          <cell r="H313">
            <v>2570834</v>
          </cell>
          <cell r="I313">
            <v>23641127</v>
          </cell>
          <cell r="J313">
            <v>351707</v>
          </cell>
          <cell r="K313">
            <v>10.87</v>
          </cell>
          <cell r="L313">
            <v>1813523</v>
          </cell>
          <cell r="M313">
            <v>24204631</v>
          </cell>
          <cell r="N313">
            <v>5666</v>
          </cell>
          <cell r="O313">
            <v>7.49</v>
          </cell>
          <cell r="P313">
            <v>28</v>
          </cell>
          <cell r="Q313">
            <v>197</v>
          </cell>
          <cell r="R313">
            <v>1</v>
          </cell>
          <cell r="S313">
            <v>14.31</v>
          </cell>
          <cell r="T313">
            <v>7430357</v>
          </cell>
          <cell r="U313">
            <v>69079109</v>
          </cell>
          <cell r="V313">
            <v>3038715</v>
          </cell>
          <cell r="W313">
            <v>10.76</v>
          </cell>
        </row>
        <row r="314">
          <cell r="A314" t="str">
            <v>2017WV</v>
          </cell>
          <cell r="B314">
            <v>2017</v>
          </cell>
          <cell r="C314" t="str">
            <v>WV</v>
          </cell>
          <cell r="D314">
            <v>1229699</v>
          </cell>
          <cell r="E314">
            <v>10573463</v>
          </cell>
          <cell r="F314">
            <v>858961</v>
          </cell>
          <cell r="G314">
            <v>11.63</v>
          </cell>
          <cell r="H314">
            <v>722937</v>
          </cell>
          <cell r="I314">
            <v>7549430</v>
          </cell>
          <cell r="J314">
            <v>143951</v>
          </cell>
          <cell r="K314">
            <v>9.58</v>
          </cell>
          <cell r="L314">
            <v>902668</v>
          </cell>
          <cell r="M314">
            <v>13586126</v>
          </cell>
          <cell r="N314">
            <v>11529</v>
          </cell>
          <cell r="O314">
            <v>6.64</v>
          </cell>
          <cell r="P314">
            <v>0</v>
          </cell>
          <cell r="Q314">
            <v>0</v>
          </cell>
          <cell r="R314">
            <v>0</v>
          </cell>
          <cell r="S314">
            <v>0</v>
          </cell>
          <cell r="T314">
            <v>2855303</v>
          </cell>
          <cell r="U314">
            <v>31709019</v>
          </cell>
          <cell r="V314">
            <v>1014441</v>
          </cell>
          <cell r="W314">
            <v>9</v>
          </cell>
        </row>
        <row r="315">
          <cell r="A315" t="str">
            <v>2017WY</v>
          </cell>
          <cell r="B315">
            <v>2017</v>
          </cell>
          <cell r="C315" t="str">
            <v>WY</v>
          </cell>
          <cell r="D315">
            <v>315284</v>
          </cell>
          <cell r="E315">
            <v>2772371</v>
          </cell>
          <cell r="F315">
            <v>270576</v>
          </cell>
          <cell r="G315">
            <v>11.37</v>
          </cell>
          <cell r="H315">
            <v>364808</v>
          </cell>
          <cell r="I315">
            <v>3762086</v>
          </cell>
          <cell r="J315">
            <v>57863</v>
          </cell>
          <cell r="K315">
            <v>9.6999999999999993</v>
          </cell>
          <cell r="L315">
            <v>708573</v>
          </cell>
          <cell r="M315">
            <v>10243610</v>
          </cell>
          <cell r="N315">
            <v>10931</v>
          </cell>
          <cell r="O315">
            <v>6.92</v>
          </cell>
          <cell r="P315">
            <v>0</v>
          </cell>
          <cell r="Q315">
            <v>0</v>
          </cell>
          <cell r="R315">
            <v>0</v>
          </cell>
          <cell r="S315">
            <v>0</v>
          </cell>
          <cell r="T315">
            <v>1388664</v>
          </cell>
          <cell r="U315">
            <v>16778067</v>
          </cell>
          <cell r="V315">
            <v>339370</v>
          </cell>
          <cell r="W315">
            <v>8.2799999999999994</v>
          </cell>
        </row>
        <row r="316">
          <cell r="A316" t="str">
            <v>2017US</v>
          </cell>
          <cell r="B316">
            <v>2017</v>
          </cell>
          <cell r="C316" t="str">
            <v>US</v>
          </cell>
          <cell r="D316">
            <v>177661167</v>
          </cell>
          <cell r="E316">
            <v>1378647742</v>
          </cell>
          <cell r="F316">
            <v>132579747</v>
          </cell>
          <cell r="G316">
            <v>12.89</v>
          </cell>
          <cell r="H316">
            <v>144241940</v>
          </cell>
          <cell r="I316">
            <v>1352887694</v>
          </cell>
          <cell r="J316">
            <v>18359427</v>
          </cell>
          <cell r="K316">
            <v>10.66</v>
          </cell>
          <cell r="L316">
            <v>67690702</v>
          </cell>
          <cell r="M316">
            <v>984297945</v>
          </cell>
          <cell r="N316">
            <v>840329</v>
          </cell>
          <cell r="O316">
            <v>6.88</v>
          </cell>
          <cell r="P316">
            <v>728456</v>
          </cell>
          <cell r="Q316">
            <v>7522593</v>
          </cell>
          <cell r="R316">
            <v>86</v>
          </cell>
          <cell r="S316">
            <v>9.68</v>
          </cell>
          <cell r="T316">
            <v>390322265</v>
          </cell>
          <cell r="U316">
            <v>3723355974</v>
          </cell>
          <cell r="V316">
            <v>151779589</v>
          </cell>
          <cell r="W316">
            <v>10.48</v>
          </cell>
        </row>
        <row r="317">
          <cell r="A317" t="str">
            <v>2016AK</v>
          </cell>
          <cell r="B317">
            <v>2016</v>
          </cell>
          <cell r="C317" t="str">
            <v>AK</v>
          </cell>
          <cell r="D317">
            <v>407365</v>
          </cell>
          <cell r="E317">
            <v>2006392</v>
          </cell>
          <cell r="F317">
            <v>283260</v>
          </cell>
          <cell r="G317">
            <v>20.3</v>
          </cell>
          <cell r="H317">
            <v>479547</v>
          </cell>
          <cell r="I317">
            <v>2731499</v>
          </cell>
          <cell r="J317">
            <v>52804</v>
          </cell>
          <cell r="K317">
            <v>17.559999999999999</v>
          </cell>
          <cell r="L317">
            <v>210807</v>
          </cell>
          <cell r="M317">
            <v>1385311</v>
          </cell>
          <cell r="N317">
            <v>1343</v>
          </cell>
          <cell r="O317">
            <v>15.22</v>
          </cell>
          <cell r="P317">
            <v>0</v>
          </cell>
          <cell r="Q317">
            <v>0</v>
          </cell>
          <cell r="R317">
            <v>0</v>
          </cell>
          <cell r="S317">
            <v>0</v>
          </cell>
          <cell r="T317">
            <v>1097719</v>
          </cell>
          <cell r="U317">
            <v>6123202</v>
          </cell>
          <cell r="V317">
            <v>337407</v>
          </cell>
          <cell r="W317">
            <v>17.93</v>
          </cell>
        </row>
        <row r="318">
          <cell r="A318" t="str">
            <v>2016AL</v>
          </cell>
          <cell r="B318">
            <v>2016</v>
          </cell>
          <cell r="C318" t="str">
            <v>AL</v>
          </cell>
          <cell r="D318">
            <v>3843395</v>
          </cell>
          <cell r="E318">
            <v>32055546</v>
          </cell>
          <cell r="F318">
            <v>2200574</v>
          </cell>
          <cell r="G318">
            <v>11.99</v>
          </cell>
          <cell r="H318">
            <v>2626821</v>
          </cell>
          <cell r="I318">
            <v>23634474</v>
          </cell>
          <cell r="J318">
            <v>367009</v>
          </cell>
          <cell r="K318">
            <v>11.11</v>
          </cell>
          <cell r="L318">
            <v>1966223</v>
          </cell>
          <cell r="M318">
            <v>32535121</v>
          </cell>
          <cell r="N318">
            <v>7266</v>
          </cell>
          <cell r="O318">
            <v>6.04</v>
          </cell>
          <cell r="P318">
            <v>0</v>
          </cell>
          <cell r="Q318">
            <v>0</v>
          </cell>
          <cell r="R318">
            <v>0</v>
          </cell>
          <cell r="S318">
            <v>0</v>
          </cell>
          <cell r="T318">
            <v>8436439</v>
          </cell>
          <cell r="U318">
            <v>88225141</v>
          </cell>
          <cell r="V318">
            <v>2574849</v>
          </cell>
          <cell r="W318">
            <v>9.56</v>
          </cell>
        </row>
        <row r="319">
          <cell r="A319" t="str">
            <v>2016AR</v>
          </cell>
          <cell r="B319">
            <v>2016</v>
          </cell>
          <cell r="C319" t="str">
            <v>AR</v>
          </cell>
          <cell r="D319">
            <v>1764930</v>
          </cell>
          <cell r="E319">
            <v>17784233</v>
          </cell>
          <cell r="F319">
            <v>1368867</v>
          </cell>
          <cell r="G319">
            <v>9.92</v>
          </cell>
          <cell r="H319">
            <v>1002233</v>
          </cell>
          <cell r="I319">
            <v>12177633</v>
          </cell>
          <cell r="J319">
            <v>190181</v>
          </cell>
          <cell r="K319">
            <v>8.23</v>
          </cell>
          <cell r="L319">
            <v>986087</v>
          </cell>
          <cell r="M319">
            <v>16226147</v>
          </cell>
          <cell r="N319">
            <v>36428</v>
          </cell>
          <cell r="O319">
            <v>6.08</v>
          </cell>
          <cell r="P319">
            <v>44</v>
          </cell>
          <cell r="Q319">
            <v>425</v>
          </cell>
          <cell r="R319">
            <v>2</v>
          </cell>
          <cell r="S319">
            <v>10.4</v>
          </cell>
          <cell r="T319">
            <v>3753295</v>
          </cell>
          <cell r="U319">
            <v>46188438</v>
          </cell>
          <cell r="V319">
            <v>1595478</v>
          </cell>
          <cell r="W319">
            <v>8.1300000000000008</v>
          </cell>
        </row>
        <row r="320">
          <cell r="A320" t="str">
            <v>2016AZ</v>
          </cell>
          <cell r="B320">
            <v>2016</v>
          </cell>
          <cell r="C320" t="str">
            <v>AZ</v>
          </cell>
          <cell r="D320">
            <v>4094426</v>
          </cell>
          <cell r="E320">
            <v>33690783</v>
          </cell>
          <cell r="F320">
            <v>2725510</v>
          </cell>
          <cell r="G320">
            <v>12.15</v>
          </cell>
          <cell r="H320">
            <v>3078184</v>
          </cell>
          <cell r="I320">
            <v>29564157</v>
          </cell>
          <cell r="J320">
            <v>318197</v>
          </cell>
          <cell r="K320">
            <v>10.41</v>
          </cell>
          <cell r="L320">
            <v>908697</v>
          </cell>
          <cell r="M320">
            <v>14975656</v>
          </cell>
          <cell r="N320">
            <v>8130</v>
          </cell>
          <cell r="O320">
            <v>6.07</v>
          </cell>
          <cell r="P320">
            <v>718</v>
          </cell>
          <cell r="Q320">
            <v>7232</v>
          </cell>
          <cell r="R320">
            <v>2</v>
          </cell>
          <cell r="S320">
            <v>9.93</v>
          </cell>
          <cell r="T320">
            <v>8082024</v>
          </cell>
          <cell r="U320">
            <v>78237828</v>
          </cell>
          <cell r="V320">
            <v>3051839</v>
          </cell>
          <cell r="W320">
            <v>10.33</v>
          </cell>
        </row>
        <row r="321">
          <cell r="A321" t="str">
            <v>2016CA</v>
          </cell>
          <cell r="B321">
            <v>2016</v>
          </cell>
          <cell r="C321" t="str">
            <v>CA</v>
          </cell>
          <cell r="D321">
            <v>15359796</v>
          </cell>
          <cell r="E321">
            <v>88311069</v>
          </cell>
          <cell r="F321">
            <v>13445133</v>
          </cell>
          <cell r="G321">
            <v>17.39</v>
          </cell>
          <cell r="H321">
            <v>17603177</v>
          </cell>
          <cell r="I321">
            <v>116774684</v>
          </cell>
          <cell r="J321">
            <v>1692326</v>
          </cell>
          <cell r="K321">
            <v>15.07</v>
          </cell>
          <cell r="L321">
            <v>6076719</v>
          </cell>
          <cell r="M321">
            <v>50979124</v>
          </cell>
          <cell r="N321">
            <v>148549</v>
          </cell>
          <cell r="O321">
            <v>11.92</v>
          </cell>
          <cell r="P321">
            <v>76635</v>
          </cell>
          <cell r="Q321">
            <v>781758</v>
          </cell>
          <cell r="R321">
            <v>15</v>
          </cell>
          <cell r="S321">
            <v>9.8000000000000007</v>
          </cell>
          <cell r="T321">
            <v>39116327</v>
          </cell>
          <cell r="U321">
            <v>256846635</v>
          </cell>
          <cell r="V321">
            <v>15286023</v>
          </cell>
          <cell r="W321">
            <v>15.23</v>
          </cell>
        </row>
        <row r="322">
          <cell r="A322" t="str">
            <v>2016CO</v>
          </cell>
          <cell r="B322">
            <v>2016</v>
          </cell>
          <cell r="C322" t="str">
            <v>CO</v>
          </cell>
          <cell r="D322">
            <v>2273979</v>
          </cell>
          <cell r="E322">
            <v>18833722</v>
          </cell>
          <cell r="F322">
            <v>2260068</v>
          </cell>
          <cell r="G322">
            <v>12.07</v>
          </cell>
          <cell r="H322">
            <v>1996042</v>
          </cell>
          <cell r="I322">
            <v>20800136</v>
          </cell>
          <cell r="J322">
            <v>367001</v>
          </cell>
          <cell r="K322">
            <v>9.6</v>
          </cell>
          <cell r="L322">
            <v>1109890</v>
          </cell>
          <cell r="M322">
            <v>15103434</v>
          </cell>
          <cell r="N322">
            <v>16245</v>
          </cell>
          <cell r="O322">
            <v>7.35</v>
          </cell>
          <cell r="P322">
            <v>6348</v>
          </cell>
          <cell r="Q322">
            <v>64745</v>
          </cell>
          <cell r="R322">
            <v>1</v>
          </cell>
          <cell r="S322">
            <v>9.8000000000000007</v>
          </cell>
          <cell r="T322">
            <v>5386259</v>
          </cell>
          <cell r="U322">
            <v>54802037</v>
          </cell>
          <cell r="V322">
            <v>2643315</v>
          </cell>
          <cell r="W322">
            <v>9.83</v>
          </cell>
        </row>
        <row r="323">
          <cell r="A323" t="str">
            <v>2016CT</v>
          </cell>
          <cell r="B323">
            <v>2016</v>
          </cell>
          <cell r="C323" t="str">
            <v>CT</v>
          </cell>
          <cell r="D323">
            <v>2536772</v>
          </cell>
          <cell r="E323">
            <v>12676983</v>
          </cell>
          <cell r="F323">
            <v>1486741</v>
          </cell>
          <cell r="G323">
            <v>20.010000000000002</v>
          </cell>
          <cell r="H323">
            <v>2000464</v>
          </cell>
          <cell r="I323">
            <v>12701264</v>
          </cell>
          <cell r="J323">
            <v>152182</v>
          </cell>
          <cell r="K323">
            <v>15.75</v>
          </cell>
          <cell r="L323">
            <v>431744</v>
          </cell>
          <cell r="M323">
            <v>3370068</v>
          </cell>
          <cell r="N323">
            <v>4408</v>
          </cell>
          <cell r="O323">
            <v>12.81</v>
          </cell>
          <cell r="P323">
            <v>19821</v>
          </cell>
          <cell r="Q323">
            <v>182772</v>
          </cell>
          <cell r="R323">
            <v>4</v>
          </cell>
          <cell r="S323">
            <v>10.84</v>
          </cell>
          <cell r="T323">
            <v>4988800</v>
          </cell>
          <cell r="U323">
            <v>28931087</v>
          </cell>
          <cell r="V323">
            <v>1643335</v>
          </cell>
          <cell r="W323">
            <v>17.239999999999998</v>
          </cell>
        </row>
        <row r="324">
          <cell r="A324" t="str">
            <v>2016DC</v>
          </cell>
          <cell r="B324">
            <v>2016</v>
          </cell>
          <cell r="C324" t="str">
            <v>DC</v>
          </cell>
          <cell r="D324">
            <v>307506</v>
          </cell>
          <cell r="E324">
            <v>2501892</v>
          </cell>
          <cell r="F324">
            <v>259392</v>
          </cell>
          <cell r="G324">
            <v>12.29</v>
          </cell>
          <cell r="H324">
            <v>980630</v>
          </cell>
          <cell r="I324">
            <v>8368479</v>
          </cell>
          <cell r="J324">
            <v>25924</v>
          </cell>
          <cell r="K324">
            <v>11.72</v>
          </cell>
          <cell r="L324">
            <v>16943</v>
          </cell>
          <cell r="M324">
            <v>192454</v>
          </cell>
          <cell r="N324">
            <v>1</v>
          </cell>
          <cell r="O324">
            <v>8.8000000000000007</v>
          </cell>
          <cell r="P324">
            <v>31550</v>
          </cell>
          <cell r="Q324">
            <v>331178</v>
          </cell>
          <cell r="R324">
            <v>3</v>
          </cell>
          <cell r="S324">
            <v>9.5299999999999994</v>
          </cell>
          <cell r="T324">
            <v>1336629</v>
          </cell>
          <cell r="U324">
            <v>11394003</v>
          </cell>
          <cell r="V324">
            <v>285320</v>
          </cell>
          <cell r="W324">
            <v>11.73</v>
          </cell>
        </row>
        <row r="325">
          <cell r="A325" t="str">
            <v>2016DE</v>
          </cell>
          <cell r="B325">
            <v>2016</v>
          </cell>
          <cell r="C325" t="str">
            <v>DE</v>
          </cell>
          <cell r="D325">
            <v>639086</v>
          </cell>
          <cell r="E325">
            <v>4763106</v>
          </cell>
          <cell r="F325">
            <v>419234</v>
          </cell>
          <cell r="G325">
            <v>13.42</v>
          </cell>
          <cell r="H325">
            <v>426492</v>
          </cell>
          <cell r="I325">
            <v>4235231</v>
          </cell>
          <cell r="J325">
            <v>53366</v>
          </cell>
          <cell r="K325">
            <v>10.07</v>
          </cell>
          <cell r="L325">
            <v>183385</v>
          </cell>
          <cell r="M325">
            <v>2260101</v>
          </cell>
          <cell r="N325">
            <v>873</v>
          </cell>
          <cell r="O325">
            <v>8.11</v>
          </cell>
          <cell r="P325">
            <v>0</v>
          </cell>
          <cell r="Q325">
            <v>0</v>
          </cell>
          <cell r="R325">
            <v>0</v>
          </cell>
          <cell r="S325">
            <v>0</v>
          </cell>
          <cell r="T325">
            <v>1248963</v>
          </cell>
          <cell r="U325">
            <v>11258438</v>
          </cell>
          <cell r="V325">
            <v>473473</v>
          </cell>
          <cell r="W325">
            <v>11.09</v>
          </cell>
        </row>
        <row r="326">
          <cell r="A326" t="str">
            <v>2016FL</v>
          </cell>
          <cell r="B326">
            <v>2016</v>
          </cell>
          <cell r="C326" t="str">
            <v>FL</v>
          </cell>
          <cell r="D326">
            <v>13545273</v>
          </cell>
          <cell r="E326">
            <v>123320547</v>
          </cell>
          <cell r="F326">
            <v>9149214</v>
          </cell>
          <cell r="G326">
            <v>10.98</v>
          </cell>
          <cell r="H326">
            <v>8506823</v>
          </cell>
          <cell r="I326">
            <v>95547214</v>
          </cell>
          <cell r="J326">
            <v>1199897</v>
          </cell>
          <cell r="K326">
            <v>8.9</v>
          </cell>
          <cell r="L326">
            <v>1288401</v>
          </cell>
          <cell r="M326">
            <v>16758825</v>
          </cell>
          <cell r="N326">
            <v>21162</v>
          </cell>
          <cell r="O326">
            <v>7.69</v>
          </cell>
          <cell r="P326">
            <v>7921</v>
          </cell>
          <cell r="Q326">
            <v>95236</v>
          </cell>
          <cell r="R326">
            <v>2</v>
          </cell>
          <cell r="S326">
            <v>8.32</v>
          </cell>
          <cell r="T326">
            <v>23348418</v>
          </cell>
          <cell r="U326">
            <v>235721822</v>
          </cell>
          <cell r="V326">
            <v>10370275</v>
          </cell>
          <cell r="W326">
            <v>9.91</v>
          </cell>
        </row>
        <row r="327">
          <cell r="A327" t="str">
            <v>2016GA</v>
          </cell>
          <cell r="B327">
            <v>2016</v>
          </cell>
          <cell r="C327" t="str">
            <v>GA</v>
          </cell>
          <cell r="D327">
            <v>6659243</v>
          </cell>
          <cell r="E327">
            <v>57889379</v>
          </cell>
          <cell r="F327">
            <v>4240421</v>
          </cell>
          <cell r="G327">
            <v>11.5</v>
          </cell>
          <cell r="H327">
            <v>4687610</v>
          </cell>
          <cell r="I327">
            <v>47761768</v>
          </cell>
          <cell r="J327">
            <v>567431</v>
          </cell>
          <cell r="K327">
            <v>9.81</v>
          </cell>
          <cell r="L327">
            <v>1884161</v>
          </cell>
          <cell r="M327">
            <v>32290121</v>
          </cell>
          <cell r="N327">
            <v>21774</v>
          </cell>
          <cell r="O327">
            <v>5.84</v>
          </cell>
          <cell r="P327">
            <v>8677</v>
          </cell>
          <cell r="Q327">
            <v>170971</v>
          </cell>
          <cell r="R327">
            <v>1</v>
          </cell>
          <cell r="S327">
            <v>5.08</v>
          </cell>
          <cell r="T327">
            <v>13239690</v>
          </cell>
          <cell r="U327">
            <v>138112239</v>
          </cell>
          <cell r="V327">
            <v>4829627</v>
          </cell>
          <cell r="W327">
            <v>9.59</v>
          </cell>
        </row>
        <row r="328">
          <cell r="A328" t="str">
            <v>2016HI</v>
          </cell>
          <cell r="B328">
            <v>2016</v>
          </cell>
          <cell r="C328" t="str">
            <v>HI</v>
          </cell>
          <cell r="D328">
            <v>717390</v>
          </cell>
          <cell r="E328">
            <v>2611727</v>
          </cell>
          <cell r="F328">
            <v>430941</v>
          </cell>
          <cell r="G328">
            <v>27.47</v>
          </cell>
          <cell r="H328">
            <v>766699</v>
          </cell>
          <cell r="I328">
            <v>3111282</v>
          </cell>
          <cell r="J328">
            <v>60836</v>
          </cell>
          <cell r="K328">
            <v>24.64</v>
          </cell>
          <cell r="L328">
            <v>770337</v>
          </cell>
          <cell r="M328">
            <v>3722380</v>
          </cell>
          <cell r="N328">
            <v>801</v>
          </cell>
          <cell r="O328">
            <v>20.69</v>
          </cell>
          <cell r="P328">
            <v>0</v>
          </cell>
          <cell r="Q328">
            <v>0</v>
          </cell>
          <cell r="R328">
            <v>0</v>
          </cell>
          <cell r="S328">
            <v>0</v>
          </cell>
          <cell r="T328">
            <v>2254426</v>
          </cell>
          <cell r="U328">
            <v>9445389</v>
          </cell>
          <cell r="V328">
            <v>492578</v>
          </cell>
          <cell r="W328">
            <v>23.87</v>
          </cell>
        </row>
        <row r="329">
          <cell r="A329" t="str">
            <v>2016IA</v>
          </cell>
          <cell r="B329">
            <v>2016</v>
          </cell>
          <cell r="C329" t="str">
            <v>IA</v>
          </cell>
          <cell r="D329">
            <v>1682433</v>
          </cell>
          <cell r="E329">
            <v>14093678</v>
          </cell>
          <cell r="F329">
            <v>1358902</v>
          </cell>
          <cell r="G329">
            <v>11.94</v>
          </cell>
          <cell r="H329">
            <v>1126795</v>
          </cell>
          <cell r="I329">
            <v>12291332</v>
          </cell>
          <cell r="J329">
            <v>235813</v>
          </cell>
          <cell r="K329">
            <v>9.17</v>
          </cell>
          <cell r="L329">
            <v>1333452</v>
          </cell>
          <cell r="M329">
            <v>22046183</v>
          </cell>
          <cell r="N329">
            <v>7724</v>
          </cell>
          <cell r="O329">
            <v>6.05</v>
          </cell>
          <cell r="P329">
            <v>0</v>
          </cell>
          <cell r="Q329">
            <v>0</v>
          </cell>
          <cell r="R329">
            <v>0</v>
          </cell>
          <cell r="S329">
            <v>0</v>
          </cell>
          <cell r="T329">
            <v>4142680</v>
          </cell>
          <cell r="U329">
            <v>48431193</v>
          </cell>
          <cell r="V329">
            <v>1602439</v>
          </cell>
          <cell r="W329">
            <v>8.5500000000000007</v>
          </cell>
        </row>
        <row r="330">
          <cell r="A330" t="str">
            <v>2016ID</v>
          </cell>
          <cell r="B330">
            <v>2016</v>
          </cell>
          <cell r="C330" t="str">
            <v>ID</v>
          </cell>
          <cell r="D330">
            <v>813497</v>
          </cell>
          <cell r="E330">
            <v>8172022</v>
          </cell>
          <cell r="F330">
            <v>714365</v>
          </cell>
          <cell r="G330">
            <v>9.9499999999999993</v>
          </cell>
          <cell r="H330">
            <v>487083</v>
          </cell>
          <cell r="I330">
            <v>6279129</v>
          </cell>
          <cell r="J330">
            <v>107551</v>
          </cell>
          <cell r="K330">
            <v>7.76</v>
          </cell>
          <cell r="L330">
            <v>564023</v>
          </cell>
          <cell r="M330">
            <v>8611810</v>
          </cell>
          <cell r="N330">
            <v>27847</v>
          </cell>
          <cell r="O330">
            <v>6.55</v>
          </cell>
          <cell r="P330">
            <v>0</v>
          </cell>
          <cell r="Q330">
            <v>0</v>
          </cell>
          <cell r="R330">
            <v>0</v>
          </cell>
          <cell r="S330">
            <v>0</v>
          </cell>
          <cell r="T330">
            <v>1864603</v>
          </cell>
          <cell r="U330">
            <v>23062961</v>
          </cell>
          <cell r="V330">
            <v>849763</v>
          </cell>
          <cell r="W330">
            <v>8.08</v>
          </cell>
        </row>
        <row r="331">
          <cell r="A331" t="str">
            <v>2016IL</v>
          </cell>
          <cell r="B331">
            <v>2016</v>
          </cell>
          <cell r="C331" t="str">
            <v>IL</v>
          </cell>
          <cell r="D331">
            <v>5764945</v>
          </cell>
          <cell r="E331">
            <v>45990052</v>
          </cell>
          <cell r="F331">
            <v>5231541</v>
          </cell>
          <cell r="G331">
            <v>12.54</v>
          </cell>
          <cell r="H331">
            <v>4591721</v>
          </cell>
          <cell r="I331">
            <v>50910054</v>
          </cell>
          <cell r="J331">
            <v>606954</v>
          </cell>
          <cell r="K331">
            <v>9.02</v>
          </cell>
          <cell r="L331">
            <v>2839682</v>
          </cell>
          <cell r="M331">
            <v>43631754</v>
          </cell>
          <cell r="N331">
            <v>6054</v>
          </cell>
          <cell r="O331">
            <v>6.51</v>
          </cell>
          <cell r="P331">
            <v>34577</v>
          </cell>
          <cell r="Q331">
            <v>518549</v>
          </cell>
          <cell r="R331">
            <v>3</v>
          </cell>
          <cell r="S331">
            <v>6.67</v>
          </cell>
          <cell r="T331">
            <v>13230925</v>
          </cell>
          <cell r="U331">
            <v>141050409</v>
          </cell>
          <cell r="V331">
            <v>5844552</v>
          </cell>
          <cell r="W331">
            <v>9.3800000000000008</v>
          </cell>
        </row>
        <row r="332">
          <cell r="A332" t="str">
            <v>2016IN</v>
          </cell>
          <cell r="B332">
            <v>2016</v>
          </cell>
          <cell r="C332" t="str">
            <v>IN</v>
          </cell>
          <cell r="D332">
            <v>3892459</v>
          </cell>
          <cell r="E332">
            <v>33025955</v>
          </cell>
          <cell r="F332">
            <v>2821546</v>
          </cell>
          <cell r="G332">
            <v>11.79</v>
          </cell>
          <cell r="H332">
            <v>2425318</v>
          </cell>
          <cell r="I332">
            <v>24228779</v>
          </cell>
          <cell r="J332">
            <v>350645</v>
          </cell>
          <cell r="K332">
            <v>10.01</v>
          </cell>
          <cell r="L332">
            <v>3237626</v>
          </cell>
          <cell r="M332">
            <v>46429174</v>
          </cell>
          <cell r="N332">
            <v>18085</v>
          </cell>
          <cell r="O332">
            <v>6.97</v>
          </cell>
          <cell r="P332">
            <v>2054</v>
          </cell>
          <cell r="Q332">
            <v>20913</v>
          </cell>
          <cell r="R332">
            <v>1</v>
          </cell>
          <cell r="S332">
            <v>9.82</v>
          </cell>
          <cell r="T332">
            <v>9557456</v>
          </cell>
          <cell r="U332">
            <v>103704821</v>
          </cell>
          <cell r="V332">
            <v>3190277</v>
          </cell>
          <cell r="W332">
            <v>9.2200000000000006</v>
          </cell>
        </row>
        <row r="333">
          <cell r="A333" t="str">
            <v>2016KS</v>
          </cell>
          <cell r="B333">
            <v>2016</v>
          </cell>
          <cell r="C333" t="str">
            <v>KS</v>
          </cell>
          <cell r="D333">
            <v>1764173</v>
          </cell>
          <cell r="E333">
            <v>13509235</v>
          </cell>
          <cell r="F333">
            <v>1252846</v>
          </cell>
          <cell r="G333">
            <v>13.06</v>
          </cell>
          <cell r="H333">
            <v>1663730</v>
          </cell>
          <cell r="I333">
            <v>15887392</v>
          </cell>
          <cell r="J333">
            <v>232926</v>
          </cell>
          <cell r="K333">
            <v>10.47</v>
          </cell>
          <cell r="L333">
            <v>854601</v>
          </cell>
          <cell r="M333">
            <v>11413547</v>
          </cell>
          <cell r="N333">
            <v>23729</v>
          </cell>
          <cell r="O333">
            <v>7.49</v>
          </cell>
          <cell r="P333">
            <v>0</v>
          </cell>
          <cell r="Q333">
            <v>0</v>
          </cell>
          <cell r="R333">
            <v>0</v>
          </cell>
          <cell r="S333">
            <v>0</v>
          </cell>
          <cell r="T333">
            <v>4282504</v>
          </cell>
          <cell r="U333">
            <v>40810174</v>
          </cell>
          <cell r="V333">
            <v>1509501</v>
          </cell>
          <cell r="W333">
            <v>10.49</v>
          </cell>
        </row>
        <row r="334">
          <cell r="A334" t="str">
            <v>2016KY</v>
          </cell>
          <cell r="B334">
            <v>2016</v>
          </cell>
          <cell r="C334" t="str">
            <v>KY</v>
          </cell>
          <cell r="D334">
            <v>2763077</v>
          </cell>
          <cell r="E334">
            <v>26338437</v>
          </cell>
          <cell r="F334">
            <v>1957188</v>
          </cell>
          <cell r="G334">
            <v>10.49</v>
          </cell>
          <cell r="H334">
            <v>1912414</v>
          </cell>
          <cell r="I334">
            <v>19981122</v>
          </cell>
          <cell r="J334">
            <v>302040</v>
          </cell>
          <cell r="K334">
            <v>9.57</v>
          </cell>
          <cell r="L334">
            <v>1600131</v>
          </cell>
          <cell r="M334">
            <v>28234016</v>
          </cell>
          <cell r="N334">
            <v>7308</v>
          </cell>
          <cell r="O334">
            <v>5.67</v>
          </cell>
          <cell r="P334">
            <v>0</v>
          </cell>
          <cell r="Q334">
            <v>0</v>
          </cell>
          <cell r="R334">
            <v>0</v>
          </cell>
          <cell r="S334">
            <v>0</v>
          </cell>
          <cell r="T334">
            <v>6275622</v>
          </cell>
          <cell r="U334">
            <v>74553575</v>
          </cell>
          <cell r="V334">
            <v>2266536</v>
          </cell>
          <cell r="W334">
            <v>8.42</v>
          </cell>
        </row>
        <row r="335">
          <cell r="A335" t="str">
            <v>2016LA</v>
          </cell>
          <cell r="B335">
            <v>2016</v>
          </cell>
          <cell r="C335" t="str">
            <v>LA</v>
          </cell>
          <cell r="D335">
            <v>2861963</v>
          </cell>
          <cell r="E335">
            <v>30650067</v>
          </cell>
          <cell r="F335">
            <v>2059699</v>
          </cell>
          <cell r="G335">
            <v>9.34</v>
          </cell>
          <cell r="H335">
            <v>2139380</v>
          </cell>
          <cell r="I335">
            <v>24895713</v>
          </cell>
          <cell r="J335">
            <v>289780</v>
          </cell>
          <cell r="K335">
            <v>8.59</v>
          </cell>
          <cell r="L335">
            <v>1822080</v>
          </cell>
          <cell r="M335">
            <v>35894652</v>
          </cell>
          <cell r="N335">
            <v>19231</v>
          </cell>
          <cell r="O335">
            <v>5.08</v>
          </cell>
          <cell r="P335">
            <v>1104</v>
          </cell>
          <cell r="Q335">
            <v>12227</v>
          </cell>
          <cell r="R335">
            <v>1</v>
          </cell>
          <cell r="S335">
            <v>9.0299999999999994</v>
          </cell>
          <cell r="T335">
            <v>6824527</v>
          </cell>
          <cell r="U335">
            <v>91452659</v>
          </cell>
          <cell r="V335">
            <v>2368711</v>
          </cell>
          <cell r="W335">
            <v>7.46</v>
          </cell>
        </row>
        <row r="336">
          <cell r="A336" t="str">
            <v>2016MA</v>
          </cell>
          <cell r="B336">
            <v>2016</v>
          </cell>
          <cell r="C336" t="str">
            <v>MA</v>
          </cell>
          <cell r="D336">
            <v>3741859</v>
          </cell>
          <cell r="E336">
            <v>19692896</v>
          </cell>
          <cell r="F336">
            <v>2740865</v>
          </cell>
          <cell r="G336">
            <v>19</v>
          </cell>
          <cell r="H336">
            <v>4045730</v>
          </cell>
          <cell r="I336">
            <v>25933809</v>
          </cell>
          <cell r="J336">
            <v>402936</v>
          </cell>
          <cell r="K336">
            <v>15.6</v>
          </cell>
          <cell r="L336">
            <v>1004205</v>
          </cell>
          <cell r="M336">
            <v>7507380</v>
          </cell>
          <cell r="N336">
            <v>13675</v>
          </cell>
          <cell r="O336">
            <v>13.38</v>
          </cell>
          <cell r="P336">
            <v>20303</v>
          </cell>
          <cell r="Q336">
            <v>341803</v>
          </cell>
          <cell r="R336">
            <v>2</v>
          </cell>
          <cell r="S336">
            <v>5.94</v>
          </cell>
          <cell r="T336">
            <v>8812097</v>
          </cell>
          <cell r="U336">
            <v>53475888</v>
          </cell>
          <cell r="V336">
            <v>3157478</v>
          </cell>
          <cell r="W336">
            <v>16.48</v>
          </cell>
        </row>
        <row r="337">
          <cell r="A337" t="str">
            <v>2016MD</v>
          </cell>
          <cell r="B337">
            <v>2016</v>
          </cell>
          <cell r="C337" t="str">
            <v>MD</v>
          </cell>
          <cell r="D337">
            <v>3886430</v>
          </cell>
          <cell r="E337">
            <v>27316871</v>
          </cell>
          <cell r="F337">
            <v>2288301</v>
          </cell>
          <cell r="G337">
            <v>14.23</v>
          </cell>
          <cell r="H337">
            <v>3262005</v>
          </cell>
          <cell r="I337">
            <v>29675993</v>
          </cell>
          <cell r="J337">
            <v>250939</v>
          </cell>
          <cell r="K337">
            <v>10.99</v>
          </cell>
          <cell r="L337">
            <v>301389</v>
          </cell>
          <cell r="M337">
            <v>3821476</v>
          </cell>
          <cell r="N337">
            <v>8822</v>
          </cell>
          <cell r="O337">
            <v>7.89</v>
          </cell>
          <cell r="P337">
            <v>42342</v>
          </cell>
          <cell r="Q337">
            <v>539571</v>
          </cell>
          <cell r="R337">
            <v>5</v>
          </cell>
          <cell r="S337">
            <v>7.85</v>
          </cell>
          <cell r="T337">
            <v>7492166</v>
          </cell>
          <cell r="U337">
            <v>61353911</v>
          </cell>
          <cell r="V337">
            <v>2548067</v>
          </cell>
          <cell r="W337">
            <v>12.21</v>
          </cell>
        </row>
        <row r="338">
          <cell r="A338" t="str">
            <v>2016ME</v>
          </cell>
          <cell r="B338">
            <v>2016</v>
          </cell>
          <cell r="C338" t="str">
            <v>ME</v>
          </cell>
          <cell r="D338">
            <v>725746</v>
          </cell>
          <cell r="E338">
            <v>4585825</v>
          </cell>
          <cell r="F338">
            <v>699321</v>
          </cell>
          <cell r="G338">
            <v>15.83</v>
          </cell>
          <cell r="H338">
            <v>481742</v>
          </cell>
          <cell r="I338">
            <v>3986488</v>
          </cell>
          <cell r="J338">
            <v>97949</v>
          </cell>
          <cell r="K338">
            <v>12.08</v>
          </cell>
          <cell r="L338">
            <v>257723</v>
          </cell>
          <cell r="M338">
            <v>2876638</v>
          </cell>
          <cell r="N338">
            <v>3028</v>
          </cell>
          <cell r="O338">
            <v>8.9600000000000009</v>
          </cell>
          <cell r="P338">
            <v>0</v>
          </cell>
          <cell r="Q338">
            <v>0</v>
          </cell>
          <cell r="R338">
            <v>0</v>
          </cell>
          <cell r="S338">
            <v>0</v>
          </cell>
          <cell r="T338">
            <v>1465210</v>
          </cell>
          <cell r="U338">
            <v>11448951</v>
          </cell>
          <cell r="V338">
            <v>800298</v>
          </cell>
          <cell r="W338">
            <v>12.8</v>
          </cell>
        </row>
        <row r="339">
          <cell r="A339" t="str">
            <v>2016MI</v>
          </cell>
          <cell r="B339">
            <v>2016</v>
          </cell>
          <cell r="C339" t="str">
            <v>MI</v>
          </cell>
          <cell r="D339">
            <v>5258083</v>
          </cell>
          <cell r="E339">
            <v>34543262</v>
          </cell>
          <cell r="F339">
            <v>4311008</v>
          </cell>
          <cell r="G339">
            <v>15.22</v>
          </cell>
          <cell r="H339">
            <v>4146763</v>
          </cell>
          <cell r="I339">
            <v>38985906</v>
          </cell>
          <cell r="J339">
            <v>538677</v>
          </cell>
          <cell r="K339">
            <v>10.64</v>
          </cell>
          <cell r="L339">
            <v>2137716</v>
          </cell>
          <cell r="M339">
            <v>30934422</v>
          </cell>
          <cell r="N339">
            <v>6191</v>
          </cell>
          <cell r="O339">
            <v>6.91</v>
          </cell>
          <cell r="P339">
            <v>491</v>
          </cell>
          <cell r="Q339">
            <v>4223</v>
          </cell>
          <cell r="R339">
            <v>1</v>
          </cell>
          <cell r="S339">
            <v>11.63</v>
          </cell>
          <cell r="T339">
            <v>11543053</v>
          </cell>
          <cell r="U339">
            <v>104467813</v>
          </cell>
          <cell r="V339">
            <v>4855877</v>
          </cell>
          <cell r="W339">
            <v>11.05</v>
          </cell>
        </row>
        <row r="340">
          <cell r="A340" t="str">
            <v>2016MN</v>
          </cell>
          <cell r="B340">
            <v>2016</v>
          </cell>
          <cell r="C340" t="str">
            <v>MN</v>
          </cell>
          <cell r="D340">
            <v>2762790</v>
          </cell>
          <cell r="E340">
            <v>21803791</v>
          </cell>
          <cell r="F340">
            <v>2378681</v>
          </cell>
          <cell r="G340">
            <v>12.67</v>
          </cell>
          <cell r="H340">
            <v>2316287</v>
          </cell>
          <cell r="I340">
            <v>23501739</v>
          </cell>
          <cell r="J340">
            <v>291569</v>
          </cell>
          <cell r="K340">
            <v>9.86</v>
          </cell>
          <cell r="L340">
            <v>1564118</v>
          </cell>
          <cell r="M340">
            <v>21216798</v>
          </cell>
          <cell r="N340">
            <v>9000</v>
          </cell>
          <cell r="O340">
            <v>7.37</v>
          </cell>
          <cell r="P340">
            <v>2432</v>
          </cell>
          <cell r="Q340">
            <v>24164</v>
          </cell>
          <cell r="R340">
            <v>1</v>
          </cell>
          <cell r="S340">
            <v>10.06</v>
          </cell>
          <cell r="T340">
            <v>6645626</v>
          </cell>
          <cell r="U340">
            <v>66546492</v>
          </cell>
          <cell r="V340">
            <v>2679251</v>
          </cell>
          <cell r="W340">
            <v>9.99</v>
          </cell>
        </row>
        <row r="341">
          <cell r="A341" t="str">
            <v>2016MO</v>
          </cell>
          <cell r="B341">
            <v>2016</v>
          </cell>
          <cell r="C341" t="str">
            <v>MO</v>
          </cell>
          <cell r="D341">
            <v>3850746</v>
          </cell>
          <cell r="E341">
            <v>34354932</v>
          </cell>
          <cell r="F341">
            <v>2751460</v>
          </cell>
          <cell r="G341">
            <v>11.21</v>
          </cell>
          <cell r="H341">
            <v>2845734</v>
          </cell>
          <cell r="I341">
            <v>30728480</v>
          </cell>
          <cell r="J341">
            <v>376711</v>
          </cell>
          <cell r="K341">
            <v>9.26</v>
          </cell>
          <cell r="L341">
            <v>962263</v>
          </cell>
          <cell r="M341">
            <v>13513245</v>
          </cell>
          <cell r="N341">
            <v>10169</v>
          </cell>
          <cell r="O341">
            <v>7.12</v>
          </cell>
          <cell r="P341">
            <v>1779</v>
          </cell>
          <cell r="Q341">
            <v>21399</v>
          </cell>
          <cell r="R341">
            <v>2</v>
          </cell>
          <cell r="S341">
            <v>8.31</v>
          </cell>
          <cell r="T341">
            <v>7660522</v>
          </cell>
          <cell r="U341">
            <v>78618056</v>
          </cell>
          <cell r="V341">
            <v>3138342</v>
          </cell>
          <cell r="W341">
            <v>9.74</v>
          </cell>
        </row>
        <row r="342">
          <cell r="A342" t="str">
            <v>2016MS</v>
          </cell>
          <cell r="B342">
            <v>2016</v>
          </cell>
          <cell r="C342" t="str">
            <v>MS</v>
          </cell>
          <cell r="D342">
            <v>1931958</v>
          </cell>
          <cell r="E342">
            <v>18458928</v>
          </cell>
          <cell r="F342">
            <v>1278616</v>
          </cell>
          <cell r="G342">
            <v>10.47</v>
          </cell>
          <cell r="H342">
            <v>1390347</v>
          </cell>
          <cell r="I342">
            <v>14522538</v>
          </cell>
          <cell r="J342">
            <v>232885</v>
          </cell>
          <cell r="K342">
            <v>9.57</v>
          </cell>
          <cell r="L342">
            <v>931023</v>
          </cell>
          <cell r="M342">
            <v>16068698</v>
          </cell>
          <cell r="N342">
            <v>11214</v>
          </cell>
          <cell r="O342">
            <v>5.79</v>
          </cell>
          <cell r="P342">
            <v>0</v>
          </cell>
          <cell r="Q342">
            <v>0</v>
          </cell>
          <cell r="R342">
            <v>0</v>
          </cell>
          <cell r="S342">
            <v>0</v>
          </cell>
          <cell r="T342">
            <v>4253328</v>
          </cell>
          <cell r="U342">
            <v>49050164</v>
          </cell>
          <cell r="V342">
            <v>1522715</v>
          </cell>
          <cell r="W342">
            <v>8.67</v>
          </cell>
        </row>
        <row r="343">
          <cell r="A343" t="str">
            <v>2016MT</v>
          </cell>
          <cell r="B343">
            <v>2016</v>
          </cell>
          <cell r="C343" t="str">
            <v>MT</v>
          </cell>
          <cell r="D343">
            <v>530661</v>
          </cell>
          <cell r="E343">
            <v>4852547</v>
          </cell>
          <cell r="F343">
            <v>497170</v>
          </cell>
          <cell r="G343">
            <v>10.94</v>
          </cell>
          <cell r="H343">
            <v>492348</v>
          </cell>
          <cell r="I343">
            <v>4831636</v>
          </cell>
          <cell r="J343">
            <v>105934</v>
          </cell>
          <cell r="K343">
            <v>10.19</v>
          </cell>
          <cell r="L343">
            <v>223302</v>
          </cell>
          <cell r="M343">
            <v>4416418</v>
          </cell>
          <cell r="N343">
            <v>9814</v>
          </cell>
          <cell r="O343">
            <v>5.0599999999999996</v>
          </cell>
          <cell r="P343">
            <v>0</v>
          </cell>
          <cell r="Q343">
            <v>0</v>
          </cell>
          <cell r="R343">
            <v>0</v>
          </cell>
          <cell r="S343">
            <v>0</v>
          </cell>
          <cell r="T343">
            <v>1246312</v>
          </cell>
          <cell r="U343">
            <v>14100601</v>
          </cell>
          <cell r="V343">
            <v>612918</v>
          </cell>
          <cell r="W343">
            <v>8.84</v>
          </cell>
        </row>
        <row r="344">
          <cell r="A344" t="str">
            <v>2016NC</v>
          </cell>
          <cell r="B344">
            <v>2016</v>
          </cell>
          <cell r="C344" t="str">
            <v>NC</v>
          </cell>
          <cell r="D344">
            <v>6446114</v>
          </cell>
          <cell r="E344">
            <v>58456809</v>
          </cell>
          <cell r="F344">
            <v>4423532</v>
          </cell>
          <cell r="G344">
            <v>11.03</v>
          </cell>
          <cell r="H344">
            <v>4189494</v>
          </cell>
          <cell r="I344">
            <v>48604221</v>
          </cell>
          <cell r="J344">
            <v>672610</v>
          </cell>
          <cell r="K344">
            <v>8.6199999999999992</v>
          </cell>
          <cell r="L344">
            <v>1725487</v>
          </cell>
          <cell r="M344">
            <v>27336887</v>
          </cell>
          <cell r="N344">
            <v>10052</v>
          </cell>
          <cell r="O344">
            <v>6.31</v>
          </cell>
          <cell r="P344">
            <v>505</v>
          </cell>
          <cell r="Q344">
            <v>6402</v>
          </cell>
          <cell r="R344">
            <v>1</v>
          </cell>
          <cell r="S344">
            <v>7.88</v>
          </cell>
          <cell r="T344">
            <v>12361600</v>
          </cell>
          <cell r="U344">
            <v>134404319</v>
          </cell>
          <cell r="V344">
            <v>5106195</v>
          </cell>
          <cell r="W344">
            <v>9.1999999999999993</v>
          </cell>
        </row>
        <row r="345">
          <cell r="A345" t="str">
            <v>2016ND</v>
          </cell>
          <cell r="B345">
            <v>2016</v>
          </cell>
          <cell r="C345" t="str">
            <v>ND</v>
          </cell>
          <cell r="D345">
            <v>481747</v>
          </cell>
          <cell r="E345">
            <v>4741298</v>
          </cell>
          <cell r="F345">
            <v>377739</v>
          </cell>
          <cell r="G345">
            <v>10.16</v>
          </cell>
          <cell r="H345">
            <v>580437</v>
          </cell>
          <cell r="I345">
            <v>6346158</v>
          </cell>
          <cell r="J345">
            <v>73573</v>
          </cell>
          <cell r="K345">
            <v>9.15</v>
          </cell>
          <cell r="L345">
            <v>593271</v>
          </cell>
          <cell r="M345">
            <v>7432732</v>
          </cell>
          <cell r="N345">
            <v>8634</v>
          </cell>
          <cell r="O345">
            <v>7.98</v>
          </cell>
          <cell r="P345">
            <v>0</v>
          </cell>
          <cell r="Q345">
            <v>0</v>
          </cell>
          <cell r="R345">
            <v>0</v>
          </cell>
          <cell r="S345">
            <v>0</v>
          </cell>
          <cell r="T345">
            <v>1655454</v>
          </cell>
          <cell r="U345">
            <v>18520188</v>
          </cell>
          <cell r="V345">
            <v>459946</v>
          </cell>
          <cell r="W345">
            <v>8.94</v>
          </cell>
        </row>
        <row r="346">
          <cell r="A346" t="str">
            <v>2016NE</v>
          </cell>
          <cell r="B346">
            <v>2016</v>
          </cell>
          <cell r="C346" t="str">
            <v>NE</v>
          </cell>
          <cell r="D346">
            <v>1055594</v>
          </cell>
          <cell r="E346">
            <v>9738351</v>
          </cell>
          <cell r="F346">
            <v>834038</v>
          </cell>
          <cell r="G346">
            <v>10.84</v>
          </cell>
          <cell r="H346">
            <v>818933</v>
          </cell>
          <cell r="I346">
            <v>9306827</v>
          </cell>
          <cell r="J346">
            <v>149812</v>
          </cell>
          <cell r="K346">
            <v>8.8000000000000007</v>
          </cell>
          <cell r="L346">
            <v>857693</v>
          </cell>
          <cell r="M346">
            <v>11154176</v>
          </cell>
          <cell r="N346">
            <v>61613</v>
          </cell>
          <cell r="O346">
            <v>7.69</v>
          </cell>
          <cell r="P346">
            <v>0</v>
          </cell>
          <cell r="Q346">
            <v>0</v>
          </cell>
          <cell r="R346">
            <v>0</v>
          </cell>
          <cell r="S346">
            <v>0</v>
          </cell>
          <cell r="T346">
            <v>2732220</v>
          </cell>
          <cell r="U346">
            <v>30199354</v>
          </cell>
          <cell r="V346">
            <v>1045463</v>
          </cell>
          <cell r="W346">
            <v>9.0500000000000007</v>
          </cell>
        </row>
        <row r="347">
          <cell r="A347" t="str">
            <v>2016NH</v>
          </cell>
          <cell r="B347">
            <v>2016</v>
          </cell>
          <cell r="C347" t="str">
            <v>NH</v>
          </cell>
          <cell r="D347">
            <v>815783</v>
          </cell>
          <cell r="E347">
            <v>4438407</v>
          </cell>
          <cell r="F347">
            <v>612716</v>
          </cell>
          <cell r="G347">
            <v>18.38</v>
          </cell>
          <cell r="H347">
            <v>644623</v>
          </cell>
          <cell r="I347">
            <v>4466192</v>
          </cell>
          <cell r="J347">
            <v>106900</v>
          </cell>
          <cell r="K347">
            <v>14.43</v>
          </cell>
          <cell r="L347">
            <v>246798</v>
          </cell>
          <cell r="M347">
            <v>2000357</v>
          </cell>
          <cell r="N347">
            <v>3250</v>
          </cell>
          <cell r="O347">
            <v>12.34</v>
          </cell>
          <cell r="P347">
            <v>0</v>
          </cell>
          <cell r="Q347">
            <v>0</v>
          </cell>
          <cell r="R347">
            <v>0</v>
          </cell>
          <cell r="S347">
            <v>0</v>
          </cell>
          <cell r="T347">
            <v>1707204</v>
          </cell>
          <cell r="U347">
            <v>10904956</v>
          </cell>
          <cell r="V347">
            <v>722866</v>
          </cell>
          <cell r="W347">
            <v>15.66</v>
          </cell>
        </row>
        <row r="348">
          <cell r="A348" t="str">
            <v>2016NJ</v>
          </cell>
          <cell r="B348">
            <v>2016</v>
          </cell>
          <cell r="C348" t="str">
            <v>NJ</v>
          </cell>
          <cell r="D348">
            <v>4573774</v>
          </cell>
          <cell r="E348">
            <v>29090726</v>
          </cell>
          <cell r="F348">
            <v>3510141</v>
          </cell>
          <cell r="G348">
            <v>15.72</v>
          </cell>
          <cell r="H348">
            <v>4740342</v>
          </cell>
          <cell r="I348">
            <v>38672407</v>
          </cell>
          <cell r="J348">
            <v>514579</v>
          </cell>
          <cell r="K348">
            <v>12.26</v>
          </cell>
          <cell r="L348">
            <v>741084</v>
          </cell>
          <cell r="M348">
            <v>7293070</v>
          </cell>
          <cell r="N348">
            <v>11929</v>
          </cell>
          <cell r="O348">
            <v>10.16</v>
          </cell>
          <cell r="P348">
            <v>26323</v>
          </cell>
          <cell r="Q348">
            <v>303168</v>
          </cell>
          <cell r="R348">
            <v>7</v>
          </cell>
          <cell r="S348">
            <v>8.68</v>
          </cell>
          <cell r="T348">
            <v>10081522</v>
          </cell>
          <cell r="U348">
            <v>75359371</v>
          </cell>
          <cell r="V348">
            <v>4036656</v>
          </cell>
          <cell r="W348">
            <v>13.38</v>
          </cell>
        </row>
        <row r="349">
          <cell r="A349" t="str">
            <v>2016NM</v>
          </cell>
          <cell r="B349">
            <v>2016</v>
          </cell>
          <cell r="C349" t="str">
            <v>NM</v>
          </cell>
          <cell r="D349">
            <v>799336</v>
          </cell>
          <cell r="E349">
            <v>6642511</v>
          </cell>
          <cell r="F349">
            <v>876921</v>
          </cell>
          <cell r="G349">
            <v>12.03</v>
          </cell>
          <cell r="H349">
            <v>858346</v>
          </cell>
          <cell r="I349">
            <v>8805876</v>
          </cell>
          <cell r="J349">
            <v>141723</v>
          </cell>
          <cell r="K349">
            <v>9.75</v>
          </cell>
          <cell r="L349">
            <v>443256</v>
          </cell>
          <cell r="M349">
            <v>7591160</v>
          </cell>
          <cell r="N349">
            <v>9325</v>
          </cell>
          <cell r="O349">
            <v>5.84</v>
          </cell>
          <cell r="P349">
            <v>0</v>
          </cell>
          <cell r="Q349">
            <v>0</v>
          </cell>
          <cell r="R349">
            <v>0</v>
          </cell>
          <cell r="S349">
            <v>0</v>
          </cell>
          <cell r="T349">
            <v>2100939</v>
          </cell>
          <cell r="U349">
            <v>23039547</v>
          </cell>
          <cell r="V349">
            <v>1027969</v>
          </cell>
          <cell r="W349">
            <v>9.1199999999999992</v>
          </cell>
        </row>
        <row r="350">
          <cell r="A350" t="str">
            <v>2016NV</v>
          </cell>
          <cell r="B350">
            <v>2016</v>
          </cell>
          <cell r="C350" t="str">
            <v>NV</v>
          </cell>
          <cell r="D350">
            <v>1447619</v>
          </cell>
          <cell r="E350">
            <v>12691942</v>
          </cell>
          <cell r="F350">
            <v>1143667</v>
          </cell>
          <cell r="G350">
            <v>11.41</v>
          </cell>
          <cell r="H350">
            <v>787864</v>
          </cell>
          <cell r="I350">
            <v>9929076</v>
          </cell>
          <cell r="J350">
            <v>161594</v>
          </cell>
          <cell r="K350">
            <v>7.93</v>
          </cell>
          <cell r="L350">
            <v>794576</v>
          </cell>
          <cell r="M350">
            <v>13515234</v>
          </cell>
          <cell r="N350">
            <v>3654</v>
          </cell>
          <cell r="O350">
            <v>5.88</v>
          </cell>
          <cell r="P350">
            <v>656</v>
          </cell>
          <cell r="Q350">
            <v>8378</v>
          </cell>
          <cell r="R350">
            <v>1</v>
          </cell>
          <cell r="S350">
            <v>7.83</v>
          </cell>
          <cell r="T350">
            <v>3030715</v>
          </cell>
          <cell r="U350">
            <v>36144630</v>
          </cell>
          <cell r="V350">
            <v>1308916</v>
          </cell>
          <cell r="W350">
            <v>8.39</v>
          </cell>
        </row>
        <row r="351">
          <cell r="A351" t="str">
            <v>2016NY</v>
          </cell>
          <cell r="B351">
            <v>2016</v>
          </cell>
          <cell r="C351" t="str">
            <v>NY</v>
          </cell>
          <cell r="D351">
            <v>8933623</v>
          </cell>
          <cell r="E351">
            <v>50831287</v>
          </cell>
          <cell r="F351">
            <v>7118901</v>
          </cell>
          <cell r="G351">
            <v>17.579999999999998</v>
          </cell>
          <cell r="H351">
            <v>11054211</v>
          </cell>
          <cell r="I351">
            <v>76506968</v>
          </cell>
          <cell r="J351">
            <v>1072896</v>
          </cell>
          <cell r="K351">
            <v>14.45</v>
          </cell>
          <cell r="L351">
            <v>1067777</v>
          </cell>
          <cell r="M351">
            <v>17709218</v>
          </cell>
          <cell r="N351">
            <v>7646</v>
          </cell>
          <cell r="O351">
            <v>6.03</v>
          </cell>
          <cell r="P351">
            <v>332153</v>
          </cell>
          <cell r="Q351">
            <v>2755565</v>
          </cell>
          <cell r="R351">
            <v>8</v>
          </cell>
          <cell r="S351">
            <v>12.05</v>
          </cell>
          <cell r="T351">
            <v>21387763</v>
          </cell>
          <cell r="U351">
            <v>147803038</v>
          </cell>
          <cell r="V351">
            <v>8199451</v>
          </cell>
          <cell r="W351">
            <v>14.47</v>
          </cell>
        </row>
        <row r="352">
          <cell r="A352" t="str">
            <v>2016OH</v>
          </cell>
          <cell r="B352">
            <v>2016</v>
          </cell>
          <cell r="C352" t="str">
            <v>OH</v>
          </cell>
          <cell r="D352">
            <v>6551231</v>
          </cell>
          <cell r="E352">
            <v>52524141</v>
          </cell>
          <cell r="F352">
            <v>4911597</v>
          </cell>
          <cell r="G352">
            <v>12.47</v>
          </cell>
          <cell r="H352">
            <v>4762070</v>
          </cell>
          <cell r="I352">
            <v>47742269</v>
          </cell>
          <cell r="J352">
            <v>623730</v>
          </cell>
          <cell r="K352">
            <v>9.9700000000000006</v>
          </cell>
          <cell r="L352">
            <v>3508525</v>
          </cell>
          <cell r="M352">
            <v>50290693</v>
          </cell>
          <cell r="N352">
            <v>19095</v>
          </cell>
          <cell r="O352">
            <v>6.98</v>
          </cell>
          <cell r="P352">
            <v>3228</v>
          </cell>
          <cell r="Q352">
            <v>40693</v>
          </cell>
          <cell r="R352">
            <v>2</v>
          </cell>
          <cell r="S352">
            <v>7.93</v>
          </cell>
          <cell r="T352">
            <v>14825055</v>
          </cell>
          <cell r="U352">
            <v>150597796</v>
          </cell>
          <cell r="V352">
            <v>5554424</v>
          </cell>
          <cell r="W352">
            <v>9.84</v>
          </cell>
        </row>
        <row r="353">
          <cell r="A353" t="str">
            <v>2016OK</v>
          </cell>
          <cell r="B353">
            <v>2016</v>
          </cell>
          <cell r="C353" t="str">
            <v>OK</v>
          </cell>
          <cell r="D353">
            <v>2323581</v>
          </cell>
          <cell r="E353">
            <v>22789715</v>
          </cell>
          <cell r="F353">
            <v>1736819</v>
          </cell>
          <cell r="G353">
            <v>10.199999999999999</v>
          </cell>
          <cell r="H353">
            <v>1585720</v>
          </cell>
          <cell r="I353">
            <v>20695703</v>
          </cell>
          <cell r="J353">
            <v>278027</v>
          </cell>
          <cell r="K353">
            <v>7.66</v>
          </cell>
          <cell r="L353">
            <v>904809</v>
          </cell>
          <cell r="M353">
            <v>18031136</v>
          </cell>
          <cell r="N353">
            <v>19096</v>
          </cell>
          <cell r="O353">
            <v>5.0199999999999996</v>
          </cell>
          <cell r="P353">
            <v>0</v>
          </cell>
          <cell r="Q353">
            <v>0</v>
          </cell>
          <cell r="R353">
            <v>0</v>
          </cell>
          <cell r="S353">
            <v>0</v>
          </cell>
          <cell r="T353">
            <v>4814110</v>
          </cell>
          <cell r="U353">
            <v>61516554</v>
          </cell>
          <cell r="V353">
            <v>2033942</v>
          </cell>
          <cell r="W353">
            <v>7.83</v>
          </cell>
        </row>
        <row r="354">
          <cell r="A354" t="str">
            <v>2016OR</v>
          </cell>
          <cell r="B354">
            <v>2016</v>
          </cell>
          <cell r="C354" t="str">
            <v>OR</v>
          </cell>
          <cell r="D354">
            <v>1980615</v>
          </cell>
          <cell r="E354">
            <v>18573242</v>
          </cell>
          <cell r="F354">
            <v>1706622</v>
          </cell>
          <cell r="G354">
            <v>10.66</v>
          </cell>
          <cell r="H354">
            <v>1430623</v>
          </cell>
          <cell r="I354">
            <v>16060478</v>
          </cell>
          <cell r="J354">
            <v>231692</v>
          </cell>
          <cell r="K354">
            <v>8.91</v>
          </cell>
          <cell r="L354">
            <v>768364</v>
          </cell>
          <cell r="M354">
            <v>12691616</v>
          </cell>
          <cell r="N354">
            <v>24628</v>
          </cell>
          <cell r="O354">
            <v>6.05</v>
          </cell>
          <cell r="P354">
            <v>2224</v>
          </cell>
          <cell r="Q354">
            <v>24014</v>
          </cell>
          <cell r="R354">
            <v>2</v>
          </cell>
          <cell r="S354">
            <v>9.26</v>
          </cell>
          <cell r="T354">
            <v>4181825</v>
          </cell>
          <cell r="U354">
            <v>47349350</v>
          </cell>
          <cell r="V354">
            <v>1962944</v>
          </cell>
          <cell r="W354">
            <v>8.83</v>
          </cell>
        </row>
        <row r="355">
          <cell r="A355" t="str">
            <v>2016PA</v>
          </cell>
          <cell r="B355">
            <v>2016</v>
          </cell>
          <cell r="C355" t="str">
            <v>PA</v>
          </cell>
          <cell r="D355">
            <v>7470000</v>
          </cell>
          <cell r="E355">
            <v>53877130</v>
          </cell>
          <cell r="F355">
            <v>5335555</v>
          </cell>
          <cell r="G355">
            <v>13.86</v>
          </cell>
          <cell r="H355">
            <v>4013869</v>
          </cell>
          <cell r="I355">
            <v>43535432</v>
          </cell>
          <cell r="J355">
            <v>696080</v>
          </cell>
          <cell r="K355">
            <v>9.2200000000000006</v>
          </cell>
          <cell r="L355">
            <v>3262271</v>
          </cell>
          <cell r="M355">
            <v>47127932</v>
          </cell>
          <cell r="N355">
            <v>23372</v>
          </cell>
          <cell r="O355">
            <v>6.92</v>
          </cell>
          <cell r="P355">
            <v>60120</v>
          </cell>
          <cell r="Q355">
            <v>787189</v>
          </cell>
          <cell r="R355">
            <v>6</v>
          </cell>
          <cell r="S355">
            <v>7.64</v>
          </cell>
          <cell r="T355">
            <v>14806260</v>
          </cell>
          <cell r="U355">
            <v>145327683</v>
          </cell>
          <cell r="V355">
            <v>6055013</v>
          </cell>
          <cell r="W355">
            <v>10.19</v>
          </cell>
        </row>
        <row r="356">
          <cell r="A356" t="str">
            <v>2016RI</v>
          </cell>
          <cell r="B356">
            <v>2016</v>
          </cell>
          <cell r="C356" t="str">
            <v>RI</v>
          </cell>
          <cell r="D356">
            <v>573662</v>
          </cell>
          <cell r="E356">
            <v>3081562</v>
          </cell>
          <cell r="F356">
            <v>438507</v>
          </cell>
          <cell r="G356">
            <v>18.62</v>
          </cell>
          <cell r="H356">
            <v>543194</v>
          </cell>
          <cell r="I356">
            <v>3651317</v>
          </cell>
          <cell r="J356">
            <v>58907</v>
          </cell>
          <cell r="K356">
            <v>14.88</v>
          </cell>
          <cell r="L356">
            <v>103047</v>
          </cell>
          <cell r="M356">
            <v>764295</v>
          </cell>
          <cell r="N356">
            <v>1821</v>
          </cell>
          <cell r="O356">
            <v>13.48</v>
          </cell>
          <cell r="P356">
            <v>5071</v>
          </cell>
          <cell r="Q356">
            <v>27096</v>
          </cell>
          <cell r="R356">
            <v>1</v>
          </cell>
          <cell r="S356">
            <v>18.71</v>
          </cell>
          <cell r="T356">
            <v>1224972</v>
          </cell>
          <cell r="U356">
            <v>7524270</v>
          </cell>
          <cell r="V356">
            <v>499236</v>
          </cell>
          <cell r="W356">
            <v>16.28</v>
          </cell>
        </row>
        <row r="357">
          <cell r="A357" t="str">
            <v>2016SC</v>
          </cell>
          <cell r="B357">
            <v>2016</v>
          </cell>
          <cell r="C357" t="str">
            <v>SC</v>
          </cell>
          <cell r="D357">
            <v>3873817</v>
          </cell>
          <cell r="E357">
            <v>30615596</v>
          </cell>
          <cell r="F357">
            <v>2209783</v>
          </cell>
          <cell r="G357">
            <v>12.65</v>
          </cell>
          <cell r="H357">
            <v>2288955</v>
          </cell>
          <cell r="I357">
            <v>22274962</v>
          </cell>
          <cell r="J357">
            <v>369409</v>
          </cell>
          <cell r="K357">
            <v>10.28</v>
          </cell>
          <cell r="L357">
            <v>1625453</v>
          </cell>
          <cell r="M357">
            <v>26686992</v>
          </cell>
          <cell r="N357">
            <v>4062</v>
          </cell>
          <cell r="O357">
            <v>6.09</v>
          </cell>
          <cell r="P357">
            <v>0</v>
          </cell>
          <cell r="Q357">
            <v>0</v>
          </cell>
          <cell r="R357">
            <v>0</v>
          </cell>
          <cell r="S357">
            <v>0</v>
          </cell>
          <cell r="T357">
            <v>7788225</v>
          </cell>
          <cell r="U357">
            <v>79577550</v>
          </cell>
          <cell r="V357">
            <v>2583254</v>
          </cell>
          <cell r="W357">
            <v>9.7899999999999991</v>
          </cell>
        </row>
        <row r="358">
          <cell r="A358" t="str">
            <v>2016SD</v>
          </cell>
          <cell r="B358">
            <v>2016</v>
          </cell>
          <cell r="C358" t="str">
            <v>SD</v>
          </cell>
          <cell r="D358">
            <v>529582</v>
          </cell>
          <cell r="E358">
            <v>4618724</v>
          </cell>
          <cell r="F358">
            <v>392187</v>
          </cell>
          <cell r="G358">
            <v>11.47</v>
          </cell>
          <cell r="H358">
            <v>450258</v>
          </cell>
          <cell r="I358">
            <v>4698053</v>
          </cell>
          <cell r="J358">
            <v>70745</v>
          </cell>
          <cell r="K358">
            <v>9.58</v>
          </cell>
          <cell r="L358">
            <v>212936</v>
          </cell>
          <cell r="M358">
            <v>2812753</v>
          </cell>
          <cell r="N358">
            <v>3851</v>
          </cell>
          <cell r="O358">
            <v>7.57</v>
          </cell>
          <cell r="P358">
            <v>0</v>
          </cell>
          <cell r="Q358">
            <v>0</v>
          </cell>
          <cell r="R358">
            <v>0</v>
          </cell>
          <cell r="S358">
            <v>0</v>
          </cell>
          <cell r="T358">
            <v>1192776</v>
          </cell>
          <cell r="U358">
            <v>12129530</v>
          </cell>
          <cell r="V358">
            <v>466783</v>
          </cell>
          <cell r="W358">
            <v>9.83</v>
          </cell>
        </row>
        <row r="359">
          <cell r="A359" t="str">
            <v>2016TN</v>
          </cell>
          <cell r="B359">
            <v>2016</v>
          </cell>
          <cell r="C359" t="str">
            <v>TN</v>
          </cell>
          <cell r="D359">
            <v>4349574</v>
          </cell>
          <cell r="E359">
            <v>41773888</v>
          </cell>
          <cell r="F359">
            <v>2812287</v>
          </cell>
          <cell r="G359">
            <v>10.41</v>
          </cell>
          <cell r="H359">
            <v>3612206</v>
          </cell>
          <cell r="I359">
            <v>35438903</v>
          </cell>
          <cell r="J359">
            <v>480032</v>
          </cell>
          <cell r="K359">
            <v>10.19</v>
          </cell>
          <cell r="L359">
            <v>1337298</v>
          </cell>
          <cell r="M359">
            <v>23545648</v>
          </cell>
          <cell r="N359">
            <v>1193</v>
          </cell>
          <cell r="O359">
            <v>5.68</v>
          </cell>
          <cell r="P359">
            <v>0</v>
          </cell>
          <cell r="Q359">
            <v>0</v>
          </cell>
          <cell r="R359">
            <v>0</v>
          </cell>
          <cell r="S359">
            <v>0</v>
          </cell>
          <cell r="T359">
            <v>9299078</v>
          </cell>
          <cell r="U359">
            <v>100758439</v>
          </cell>
          <cell r="V359">
            <v>3293512</v>
          </cell>
          <cell r="W359">
            <v>9.23</v>
          </cell>
        </row>
        <row r="360">
          <cell r="A360" t="str">
            <v>2016TX</v>
          </cell>
          <cell r="B360">
            <v>2016</v>
          </cell>
          <cell r="C360" t="str">
            <v>TX</v>
          </cell>
          <cell r="D360">
            <v>16048319</v>
          </cell>
          <cell r="E360">
            <v>145973181</v>
          </cell>
          <cell r="F360">
            <v>10521732</v>
          </cell>
          <cell r="G360">
            <v>10.99</v>
          </cell>
          <cell r="H360">
            <v>11483766</v>
          </cell>
          <cell r="I360">
            <v>139104274</v>
          </cell>
          <cell r="J360">
            <v>1447247</v>
          </cell>
          <cell r="K360">
            <v>8.26</v>
          </cell>
          <cell r="L360">
            <v>6041600</v>
          </cell>
          <cell r="M360">
            <v>113402713</v>
          </cell>
          <cell r="N360">
            <v>105552</v>
          </cell>
          <cell r="O360">
            <v>5.33</v>
          </cell>
          <cell r="P360">
            <v>14385</v>
          </cell>
          <cell r="Q360">
            <v>181641</v>
          </cell>
          <cell r="R360">
            <v>3</v>
          </cell>
          <cell r="S360">
            <v>7.92</v>
          </cell>
          <cell r="T360">
            <v>33588069</v>
          </cell>
          <cell r="U360">
            <v>398661809</v>
          </cell>
          <cell r="V360">
            <v>12074534</v>
          </cell>
          <cell r="W360">
            <v>8.43</v>
          </cell>
        </row>
        <row r="361">
          <cell r="A361" t="str">
            <v>2016UT</v>
          </cell>
          <cell r="B361">
            <v>2016</v>
          </cell>
          <cell r="C361" t="str">
            <v>UT</v>
          </cell>
          <cell r="D361">
            <v>1032342</v>
          </cell>
          <cell r="E361">
            <v>9370656</v>
          </cell>
          <cell r="F361">
            <v>1041823</v>
          </cell>
          <cell r="G361">
            <v>11.02</v>
          </cell>
          <cell r="H361">
            <v>1012493</v>
          </cell>
          <cell r="I361">
            <v>11565312</v>
          </cell>
          <cell r="J361">
            <v>124540</v>
          </cell>
          <cell r="K361">
            <v>8.75</v>
          </cell>
          <cell r="L361">
            <v>581252</v>
          </cell>
          <cell r="M361">
            <v>9186991</v>
          </cell>
          <cell r="N361">
            <v>9570</v>
          </cell>
          <cell r="O361">
            <v>6.33</v>
          </cell>
          <cell r="P361">
            <v>5524</v>
          </cell>
          <cell r="Q361">
            <v>56575</v>
          </cell>
          <cell r="R361">
            <v>1</v>
          </cell>
          <cell r="S361">
            <v>9.76</v>
          </cell>
          <cell r="T361">
            <v>2631611</v>
          </cell>
          <cell r="U361">
            <v>30179534</v>
          </cell>
          <cell r="V361">
            <v>1175934</v>
          </cell>
          <cell r="W361">
            <v>8.7200000000000006</v>
          </cell>
        </row>
        <row r="362">
          <cell r="A362" t="str">
            <v>2016VA</v>
          </cell>
          <cell r="B362">
            <v>2016</v>
          </cell>
          <cell r="C362" t="str">
            <v>VA</v>
          </cell>
          <cell r="D362">
            <v>5131025</v>
          </cell>
          <cell r="E362">
            <v>45186057</v>
          </cell>
          <cell r="F362">
            <v>3362985</v>
          </cell>
          <cell r="G362">
            <v>11.36</v>
          </cell>
          <cell r="H362">
            <v>3908785</v>
          </cell>
          <cell r="I362">
            <v>49263847</v>
          </cell>
          <cell r="J362">
            <v>430877</v>
          </cell>
          <cell r="K362">
            <v>7.93</v>
          </cell>
          <cell r="L362">
            <v>1156879</v>
          </cell>
          <cell r="M362">
            <v>17648014</v>
          </cell>
          <cell r="N362">
            <v>3708</v>
          </cell>
          <cell r="O362">
            <v>6.56</v>
          </cell>
          <cell r="P362">
            <v>14178</v>
          </cell>
          <cell r="Q362">
            <v>182747</v>
          </cell>
          <cell r="R362">
            <v>1</v>
          </cell>
          <cell r="S362">
            <v>7.76</v>
          </cell>
          <cell r="T362">
            <v>10210868</v>
          </cell>
          <cell r="U362">
            <v>112280665</v>
          </cell>
          <cell r="V362">
            <v>3797571</v>
          </cell>
          <cell r="W362">
            <v>9.09</v>
          </cell>
        </row>
        <row r="363">
          <cell r="A363" t="str">
            <v>2016VT</v>
          </cell>
          <cell r="B363">
            <v>2016</v>
          </cell>
          <cell r="C363" t="str">
            <v>VT</v>
          </cell>
          <cell r="D363">
            <v>357128</v>
          </cell>
          <cell r="E363">
            <v>2056402</v>
          </cell>
          <cell r="F363">
            <v>312239</v>
          </cell>
          <cell r="G363">
            <v>17.37</v>
          </cell>
          <cell r="H363">
            <v>292867</v>
          </cell>
          <cell r="I363">
            <v>2014045</v>
          </cell>
          <cell r="J363">
            <v>55601</v>
          </cell>
          <cell r="K363">
            <v>14.54</v>
          </cell>
          <cell r="L363">
            <v>147875</v>
          </cell>
          <cell r="M363">
            <v>1446003</v>
          </cell>
          <cell r="N363">
            <v>230</v>
          </cell>
          <cell r="O363">
            <v>10.23</v>
          </cell>
          <cell r="P363">
            <v>0</v>
          </cell>
          <cell r="Q363">
            <v>0</v>
          </cell>
          <cell r="R363">
            <v>0</v>
          </cell>
          <cell r="S363">
            <v>0</v>
          </cell>
          <cell r="T363">
            <v>797871</v>
          </cell>
          <cell r="U363">
            <v>5516450</v>
          </cell>
          <cell r="V363">
            <v>368070</v>
          </cell>
          <cell r="W363">
            <v>14.46</v>
          </cell>
        </row>
        <row r="364">
          <cell r="A364" t="str">
            <v>2016WA</v>
          </cell>
          <cell r="B364">
            <v>2016</v>
          </cell>
          <cell r="C364" t="str">
            <v>WA</v>
          </cell>
          <cell r="D364">
            <v>3244682</v>
          </cell>
          <cell r="E364">
            <v>34211748</v>
          </cell>
          <cell r="F364">
            <v>2985799</v>
          </cell>
          <cell r="G364">
            <v>9.48</v>
          </cell>
          <cell r="H364">
            <v>2443432</v>
          </cell>
          <cell r="I364">
            <v>28989062</v>
          </cell>
          <cell r="J364">
            <v>367847</v>
          </cell>
          <cell r="K364">
            <v>8.43</v>
          </cell>
          <cell r="L364">
            <v>1138532</v>
          </cell>
          <cell r="M364">
            <v>25678420</v>
          </cell>
          <cell r="N364">
            <v>29012</v>
          </cell>
          <cell r="O364">
            <v>4.43</v>
          </cell>
          <cell r="P364">
            <v>541</v>
          </cell>
          <cell r="Q364">
            <v>6086</v>
          </cell>
          <cell r="R364">
            <v>6</v>
          </cell>
          <cell r="S364">
            <v>8.89</v>
          </cell>
          <cell r="T364">
            <v>6827187</v>
          </cell>
          <cell r="U364">
            <v>88885316</v>
          </cell>
          <cell r="V364">
            <v>3382664</v>
          </cell>
          <cell r="W364">
            <v>7.68</v>
          </cell>
        </row>
        <row r="365">
          <cell r="A365" t="str">
            <v>2016WI</v>
          </cell>
          <cell r="B365">
            <v>2016</v>
          </cell>
          <cell r="C365" t="str">
            <v>WI</v>
          </cell>
          <cell r="D365">
            <v>3069410</v>
          </cell>
          <cell r="E365">
            <v>21814249</v>
          </cell>
          <cell r="F365">
            <v>2662284</v>
          </cell>
          <cell r="G365">
            <v>14.07</v>
          </cell>
          <cell r="H365">
            <v>2572429</v>
          </cell>
          <cell r="I365">
            <v>23884088</v>
          </cell>
          <cell r="J365">
            <v>349324</v>
          </cell>
          <cell r="K365">
            <v>10.77</v>
          </cell>
          <cell r="L365">
            <v>1801630</v>
          </cell>
          <cell r="M365">
            <v>24037811</v>
          </cell>
          <cell r="N365">
            <v>5537</v>
          </cell>
          <cell r="O365">
            <v>7.5</v>
          </cell>
          <cell r="P365">
            <v>28</v>
          </cell>
          <cell r="Q365">
            <v>190</v>
          </cell>
          <cell r="R365">
            <v>1</v>
          </cell>
          <cell r="S365">
            <v>14.68</v>
          </cell>
          <cell r="T365">
            <v>7443497</v>
          </cell>
          <cell r="U365">
            <v>69736338</v>
          </cell>
          <cell r="V365">
            <v>3017146</v>
          </cell>
          <cell r="W365">
            <v>10.67</v>
          </cell>
        </row>
        <row r="366">
          <cell r="A366" t="str">
            <v>2016WV</v>
          </cell>
          <cell r="B366">
            <v>2016</v>
          </cell>
          <cell r="C366" t="str">
            <v>WV</v>
          </cell>
          <cell r="D366">
            <v>1301903</v>
          </cell>
          <cell r="E366">
            <v>11375581</v>
          </cell>
          <cell r="F366">
            <v>860375</v>
          </cell>
          <cell r="G366">
            <v>11.44</v>
          </cell>
          <cell r="H366">
            <v>731809</v>
          </cell>
          <cell r="I366">
            <v>7825670</v>
          </cell>
          <cell r="J366">
            <v>142711</v>
          </cell>
          <cell r="K366">
            <v>9.35</v>
          </cell>
          <cell r="L366">
            <v>845770</v>
          </cell>
          <cell r="M366">
            <v>12874895</v>
          </cell>
          <cell r="N366">
            <v>11704</v>
          </cell>
          <cell r="O366">
            <v>6.57</v>
          </cell>
          <cell r="P366">
            <v>0</v>
          </cell>
          <cell r="Q366">
            <v>0</v>
          </cell>
          <cell r="R366">
            <v>0</v>
          </cell>
          <cell r="S366">
            <v>0</v>
          </cell>
          <cell r="T366">
            <v>2879482</v>
          </cell>
          <cell r="U366">
            <v>32076146</v>
          </cell>
          <cell r="V366">
            <v>1014790</v>
          </cell>
          <cell r="W366">
            <v>8.98</v>
          </cell>
        </row>
        <row r="367">
          <cell r="A367" t="str">
            <v>2016WY</v>
          </cell>
          <cell r="B367">
            <v>2016</v>
          </cell>
          <cell r="C367" t="str">
            <v>WY</v>
          </cell>
          <cell r="D367">
            <v>306298</v>
          </cell>
          <cell r="E367">
            <v>2751073</v>
          </cell>
          <cell r="F367">
            <v>269647</v>
          </cell>
          <cell r="G367">
            <v>11.13</v>
          </cell>
          <cell r="H367">
            <v>353660</v>
          </cell>
          <cell r="I367">
            <v>3762315</v>
          </cell>
          <cell r="J367">
            <v>57434</v>
          </cell>
          <cell r="K367">
            <v>9.4</v>
          </cell>
          <cell r="L367">
            <v>695166</v>
          </cell>
          <cell r="M367">
            <v>10041482</v>
          </cell>
          <cell r="N367">
            <v>10654</v>
          </cell>
          <cell r="O367">
            <v>6.92</v>
          </cell>
          <cell r="P367">
            <v>0</v>
          </cell>
          <cell r="Q367">
            <v>0</v>
          </cell>
          <cell r="R367">
            <v>0</v>
          </cell>
          <cell r="S367">
            <v>0</v>
          </cell>
          <cell r="T367">
            <v>1355124</v>
          </cell>
          <cell r="U367">
            <v>16554870</v>
          </cell>
          <cell r="V367">
            <v>337735</v>
          </cell>
          <cell r="W367">
            <v>8.19</v>
          </cell>
        </row>
        <row r="368">
          <cell r="A368" t="str">
            <v>2016US</v>
          </cell>
          <cell r="B368">
            <v>2016</v>
          </cell>
          <cell r="C368" t="str">
            <v>US</v>
          </cell>
          <cell r="D368">
            <v>177076738</v>
          </cell>
          <cell r="E368">
            <v>1411058153</v>
          </cell>
          <cell r="F368">
            <v>131068760</v>
          </cell>
          <cell r="G368">
            <v>12.55</v>
          </cell>
          <cell r="H368">
            <v>142642502</v>
          </cell>
          <cell r="I368">
            <v>1367191386</v>
          </cell>
          <cell r="J368">
            <v>18148353</v>
          </cell>
          <cell r="K368">
            <v>10.43</v>
          </cell>
          <cell r="L368">
            <v>66068075</v>
          </cell>
          <cell r="M368">
            <v>976715181</v>
          </cell>
          <cell r="N368">
            <v>838059</v>
          </cell>
          <cell r="O368">
            <v>6.76</v>
          </cell>
          <cell r="P368">
            <v>721729</v>
          </cell>
          <cell r="Q368">
            <v>7496910</v>
          </cell>
          <cell r="R368">
            <v>86</v>
          </cell>
          <cell r="S368">
            <v>9.6300000000000008</v>
          </cell>
          <cell r="T368">
            <v>386509044</v>
          </cell>
          <cell r="U368">
            <v>3762461630</v>
          </cell>
          <cell r="V368">
            <v>150055258</v>
          </cell>
          <cell r="W368">
            <v>10.27</v>
          </cell>
        </row>
        <row r="369">
          <cell r="A369" t="str">
            <v>2015AK</v>
          </cell>
          <cell r="B369">
            <v>2015</v>
          </cell>
          <cell r="C369" t="str">
            <v>AK</v>
          </cell>
          <cell r="D369">
            <v>405270</v>
          </cell>
          <cell r="E369">
            <v>2044184</v>
          </cell>
          <cell r="F369">
            <v>282282</v>
          </cell>
          <cell r="G369">
            <v>19.829999999999998</v>
          </cell>
          <cell r="H369">
            <v>481839</v>
          </cell>
          <cell r="I369">
            <v>2763491</v>
          </cell>
          <cell r="J369">
            <v>50642</v>
          </cell>
          <cell r="K369">
            <v>17.440000000000001</v>
          </cell>
          <cell r="L369">
            <v>196314</v>
          </cell>
          <cell r="M369">
            <v>1351529</v>
          </cell>
          <cell r="N369">
            <v>1299</v>
          </cell>
          <cell r="O369">
            <v>14.53</v>
          </cell>
          <cell r="P369">
            <v>0</v>
          </cell>
          <cell r="Q369">
            <v>0</v>
          </cell>
          <cell r="R369">
            <v>0</v>
          </cell>
          <cell r="S369">
            <v>0</v>
          </cell>
          <cell r="T369">
            <v>1083422</v>
          </cell>
          <cell r="U369">
            <v>6159204</v>
          </cell>
          <cell r="V369">
            <v>334223</v>
          </cell>
          <cell r="W369">
            <v>17.59</v>
          </cell>
        </row>
        <row r="370">
          <cell r="A370" t="str">
            <v>2015AL</v>
          </cell>
          <cell r="B370">
            <v>2015</v>
          </cell>
          <cell r="C370" t="str">
            <v>AL</v>
          </cell>
          <cell r="D370">
            <v>3731831</v>
          </cell>
          <cell r="E370">
            <v>31908530</v>
          </cell>
          <cell r="F370">
            <v>2182616</v>
          </cell>
          <cell r="G370">
            <v>11.7</v>
          </cell>
          <cell r="H370">
            <v>2538645</v>
          </cell>
          <cell r="I370">
            <v>23437831</v>
          </cell>
          <cell r="J370">
            <v>362871</v>
          </cell>
          <cell r="K370">
            <v>10.83</v>
          </cell>
          <cell r="L370">
            <v>2021316</v>
          </cell>
          <cell r="M370">
            <v>33499182</v>
          </cell>
          <cell r="N370">
            <v>7254</v>
          </cell>
          <cell r="O370">
            <v>6.03</v>
          </cell>
          <cell r="P370">
            <v>0</v>
          </cell>
          <cell r="Q370">
            <v>0</v>
          </cell>
          <cell r="R370">
            <v>0</v>
          </cell>
          <cell r="S370">
            <v>0</v>
          </cell>
          <cell r="T370">
            <v>8291793</v>
          </cell>
          <cell r="U370">
            <v>88845543</v>
          </cell>
          <cell r="V370">
            <v>2552741</v>
          </cell>
          <cell r="W370">
            <v>9.33</v>
          </cell>
        </row>
        <row r="371">
          <cell r="A371" t="str">
            <v>2015AR</v>
          </cell>
          <cell r="B371">
            <v>2015</v>
          </cell>
          <cell r="C371" t="str">
            <v>AR</v>
          </cell>
          <cell r="D371">
            <v>1794303</v>
          </cell>
          <cell r="E371">
            <v>18273389</v>
          </cell>
          <cell r="F371">
            <v>1356658</v>
          </cell>
          <cell r="G371">
            <v>9.82</v>
          </cell>
          <cell r="H371">
            <v>1011199</v>
          </cell>
          <cell r="I371">
            <v>12153236</v>
          </cell>
          <cell r="J371">
            <v>187706</v>
          </cell>
          <cell r="K371">
            <v>8.32</v>
          </cell>
          <cell r="L371">
            <v>998757</v>
          </cell>
          <cell r="M371">
            <v>16038092</v>
          </cell>
          <cell r="N371">
            <v>35868</v>
          </cell>
          <cell r="O371">
            <v>6.23</v>
          </cell>
          <cell r="P371">
            <v>49</v>
          </cell>
          <cell r="Q371">
            <v>437</v>
          </cell>
          <cell r="R371">
            <v>2</v>
          </cell>
          <cell r="S371">
            <v>11.21</v>
          </cell>
          <cell r="T371">
            <v>3804308</v>
          </cell>
          <cell r="U371">
            <v>46465154</v>
          </cell>
          <cell r="V371">
            <v>1580234</v>
          </cell>
          <cell r="W371">
            <v>8.19</v>
          </cell>
        </row>
        <row r="372">
          <cell r="A372" t="str">
            <v>2015AZ</v>
          </cell>
          <cell r="B372">
            <v>2015</v>
          </cell>
          <cell r="C372" t="str">
            <v>AZ</v>
          </cell>
          <cell r="D372">
            <v>4023333</v>
          </cell>
          <cell r="E372">
            <v>33167205</v>
          </cell>
          <cell r="F372">
            <v>2689223</v>
          </cell>
          <cell r="G372">
            <v>12.13</v>
          </cell>
          <cell r="H372">
            <v>3042894</v>
          </cell>
          <cell r="I372">
            <v>29284431</v>
          </cell>
          <cell r="J372">
            <v>314756</v>
          </cell>
          <cell r="K372">
            <v>10.39</v>
          </cell>
          <cell r="L372">
            <v>932651</v>
          </cell>
          <cell r="M372">
            <v>14891564</v>
          </cell>
          <cell r="N372">
            <v>7759</v>
          </cell>
          <cell r="O372">
            <v>6.26</v>
          </cell>
          <cell r="P372">
            <v>584</v>
          </cell>
          <cell r="Q372">
            <v>6216</v>
          </cell>
          <cell r="R372">
            <v>1</v>
          </cell>
          <cell r="S372">
            <v>9.4</v>
          </cell>
          <cell r="T372">
            <v>7999461</v>
          </cell>
          <cell r="U372">
            <v>77349416</v>
          </cell>
          <cell r="V372">
            <v>3011739</v>
          </cell>
          <cell r="W372">
            <v>10.34</v>
          </cell>
        </row>
        <row r="373">
          <cell r="A373" t="str">
            <v>2015CA</v>
          </cell>
          <cell r="B373">
            <v>2015</v>
          </cell>
          <cell r="C373" t="str">
            <v>CA</v>
          </cell>
          <cell r="D373">
            <v>15187827</v>
          </cell>
          <cell r="E373">
            <v>89386373</v>
          </cell>
          <cell r="F373">
            <v>13380684</v>
          </cell>
          <cell r="G373">
            <v>16.989999999999998</v>
          </cell>
          <cell r="H373">
            <v>18627081</v>
          </cell>
          <cell r="I373">
            <v>118384093</v>
          </cell>
          <cell r="J373">
            <v>1685688</v>
          </cell>
          <cell r="K373">
            <v>15.73</v>
          </cell>
          <cell r="L373">
            <v>6394328</v>
          </cell>
          <cell r="M373">
            <v>52562210</v>
          </cell>
          <cell r="N373">
            <v>148069</v>
          </cell>
          <cell r="O373">
            <v>12.17</v>
          </cell>
          <cell r="P373">
            <v>75346</v>
          </cell>
          <cell r="Q373">
            <v>837761</v>
          </cell>
          <cell r="R373">
            <v>13</v>
          </cell>
          <cell r="S373">
            <v>8.99</v>
          </cell>
          <cell r="T373">
            <v>40284581</v>
          </cell>
          <cell r="U373">
            <v>261170437</v>
          </cell>
          <cell r="V373">
            <v>15214454</v>
          </cell>
          <cell r="W373">
            <v>15.42</v>
          </cell>
        </row>
        <row r="374">
          <cell r="A374" t="str">
            <v>2015CO</v>
          </cell>
          <cell r="B374">
            <v>2015</v>
          </cell>
          <cell r="C374" t="str">
            <v>CO</v>
          </cell>
          <cell r="D374">
            <v>2227990</v>
          </cell>
          <cell r="E374">
            <v>18384936</v>
          </cell>
          <cell r="F374">
            <v>2225725</v>
          </cell>
          <cell r="G374">
            <v>12.12</v>
          </cell>
          <cell r="H374">
            <v>2016563</v>
          </cell>
          <cell r="I374">
            <v>20408085</v>
          </cell>
          <cell r="J374">
            <v>365563</v>
          </cell>
          <cell r="K374">
            <v>9.8800000000000008</v>
          </cell>
          <cell r="L374">
            <v>1129021</v>
          </cell>
          <cell r="M374">
            <v>15258761</v>
          </cell>
          <cell r="N374">
            <v>16229</v>
          </cell>
          <cell r="O374">
            <v>7.4</v>
          </cell>
          <cell r="P374">
            <v>6477</v>
          </cell>
          <cell r="Q374">
            <v>64264</v>
          </cell>
          <cell r="R374">
            <v>1</v>
          </cell>
          <cell r="S374">
            <v>10.08</v>
          </cell>
          <cell r="T374">
            <v>5380050</v>
          </cell>
          <cell r="U374">
            <v>54116046</v>
          </cell>
          <cell r="V374">
            <v>2607518</v>
          </cell>
          <cell r="W374">
            <v>9.94</v>
          </cell>
        </row>
        <row r="375">
          <cell r="A375" t="str">
            <v>2015CT</v>
          </cell>
          <cell r="B375">
            <v>2015</v>
          </cell>
          <cell r="C375" t="str">
            <v>CT</v>
          </cell>
          <cell r="D375">
            <v>2699306</v>
          </cell>
          <cell r="E375">
            <v>12892862</v>
          </cell>
          <cell r="F375">
            <v>1468958</v>
          </cell>
          <cell r="G375">
            <v>20.94</v>
          </cell>
          <cell r="H375">
            <v>2069571</v>
          </cell>
          <cell r="I375">
            <v>12958570</v>
          </cell>
          <cell r="J375">
            <v>152482</v>
          </cell>
          <cell r="K375">
            <v>15.97</v>
          </cell>
          <cell r="L375">
            <v>444588</v>
          </cell>
          <cell r="M375">
            <v>3432002</v>
          </cell>
          <cell r="N375">
            <v>4458</v>
          </cell>
          <cell r="O375">
            <v>12.95</v>
          </cell>
          <cell r="P375">
            <v>25399</v>
          </cell>
          <cell r="Q375">
            <v>192721</v>
          </cell>
          <cell r="R375">
            <v>3</v>
          </cell>
          <cell r="S375">
            <v>13.18</v>
          </cell>
          <cell r="T375">
            <v>5238864</v>
          </cell>
          <cell r="U375">
            <v>29476155</v>
          </cell>
          <cell r="V375">
            <v>1625901</v>
          </cell>
          <cell r="W375">
            <v>17.77</v>
          </cell>
        </row>
        <row r="376">
          <cell r="A376" t="str">
            <v>2015DC</v>
          </cell>
          <cell r="B376">
            <v>2015</v>
          </cell>
          <cell r="C376" t="str">
            <v>DC</v>
          </cell>
          <cell r="D376">
            <v>324309</v>
          </cell>
          <cell r="E376">
            <v>2497559</v>
          </cell>
          <cell r="F376">
            <v>247469</v>
          </cell>
          <cell r="G376">
            <v>12.99</v>
          </cell>
          <cell r="H376">
            <v>987107</v>
          </cell>
          <cell r="I376">
            <v>8221610</v>
          </cell>
          <cell r="J376">
            <v>25439</v>
          </cell>
          <cell r="K376">
            <v>12.01</v>
          </cell>
          <cell r="L376">
            <v>20928</v>
          </cell>
          <cell r="M376">
            <v>238232</v>
          </cell>
          <cell r="N376">
            <v>1</v>
          </cell>
          <cell r="O376">
            <v>8.7799999999999994</v>
          </cell>
          <cell r="P376">
            <v>30043</v>
          </cell>
          <cell r="Q376">
            <v>333832</v>
          </cell>
          <cell r="R376">
            <v>1</v>
          </cell>
          <cell r="S376">
            <v>9</v>
          </cell>
          <cell r="T376">
            <v>1362386</v>
          </cell>
          <cell r="U376">
            <v>11291233</v>
          </cell>
          <cell r="V376">
            <v>272910</v>
          </cell>
          <cell r="W376">
            <v>12.07</v>
          </cell>
        </row>
        <row r="377">
          <cell r="A377" t="str">
            <v>2015DE</v>
          </cell>
          <cell r="B377">
            <v>2015</v>
          </cell>
          <cell r="C377" t="str">
            <v>DE</v>
          </cell>
          <cell r="D377">
            <v>650835</v>
          </cell>
          <cell r="E377">
            <v>4848998</v>
          </cell>
          <cell r="F377">
            <v>413445</v>
          </cell>
          <cell r="G377">
            <v>13.42</v>
          </cell>
          <cell r="H377">
            <v>432571</v>
          </cell>
          <cell r="I377">
            <v>4219085</v>
          </cell>
          <cell r="J377">
            <v>52786</v>
          </cell>
          <cell r="K377">
            <v>10.25</v>
          </cell>
          <cell r="L377">
            <v>201235</v>
          </cell>
          <cell r="M377">
            <v>2430122</v>
          </cell>
          <cell r="N377">
            <v>858</v>
          </cell>
          <cell r="O377">
            <v>8.2799999999999994</v>
          </cell>
          <cell r="P377">
            <v>0</v>
          </cell>
          <cell r="Q377">
            <v>0</v>
          </cell>
          <cell r="R377">
            <v>0</v>
          </cell>
          <cell r="S377">
            <v>0</v>
          </cell>
          <cell r="T377">
            <v>1284641</v>
          </cell>
          <cell r="U377">
            <v>11498205</v>
          </cell>
          <cell r="V377">
            <v>467089</v>
          </cell>
          <cell r="W377">
            <v>11.17</v>
          </cell>
        </row>
        <row r="378">
          <cell r="A378" t="str">
            <v>2015FL</v>
          </cell>
          <cell r="B378">
            <v>2015</v>
          </cell>
          <cell r="C378" t="str">
            <v>FL</v>
          </cell>
          <cell r="D378">
            <v>14216590</v>
          </cell>
          <cell r="E378">
            <v>122759472</v>
          </cell>
          <cell r="F378">
            <v>8963967</v>
          </cell>
          <cell r="G378">
            <v>11.58</v>
          </cell>
          <cell r="H378">
            <v>9106202</v>
          </cell>
          <cell r="I378">
            <v>95847051</v>
          </cell>
          <cell r="J378">
            <v>1183241</v>
          </cell>
          <cell r="K378">
            <v>9.5</v>
          </cell>
          <cell r="L378">
            <v>1388136</v>
          </cell>
          <cell r="M378">
            <v>16897415</v>
          </cell>
          <cell r="N378">
            <v>19457</v>
          </cell>
          <cell r="O378">
            <v>8.2200000000000006</v>
          </cell>
          <cell r="P378">
            <v>8515</v>
          </cell>
          <cell r="Q378">
            <v>95460</v>
          </cell>
          <cell r="R378">
            <v>2</v>
          </cell>
          <cell r="S378">
            <v>8.92</v>
          </cell>
          <cell r="T378">
            <v>24719443</v>
          </cell>
          <cell r="U378">
            <v>235599398</v>
          </cell>
          <cell r="V378">
            <v>10166667</v>
          </cell>
          <cell r="W378">
            <v>10.49</v>
          </cell>
        </row>
        <row r="379">
          <cell r="A379" t="str">
            <v>2015GA</v>
          </cell>
          <cell r="B379">
            <v>2015</v>
          </cell>
          <cell r="C379" t="str">
            <v>GA</v>
          </cell>
          <cell r="D379">
            <v>6511155</v>
          </cell>
          <cell r="E379">
            <v>56421650</v>
          </cell>
          <cell r="F379">
            <v>4191209</v>
          </cell>
          <cell r="G379">
            <v>11.54</v>
          </cell>
          <cell r="H379">
            <v>4662637</v>
          </cell>
          <cell r="I379">
            <v>47151316</v>
          </cell>
          <cell r="J379">
            <v>560950</v>
          </cell>
          <cell r="K379">
            <v>9.89</v>
          </cell>
          <cell r="L379">
            <v>1887035</v>
          </cell>
          <cell r="M379">
            <v>32134396</v>
          </cell>
          <cell r="N379">
            <v>20685</v>
          </cell>
          <cell r="O379">
            <v>5.87</v>
          </cell>
          <cell r="P379">
            <v>9004</v>
          </cell>
          <cell r="Q379">
            <v>170853</v>
          </cell>
          <cell r="R379">
            <v>1</v>
          </cell>
          <cell r="S379">
            <v>5.27</v>
          </cell>
          <cell r="T379">
            <v>13069830</v>
          </cell>
          <cell r="U379">
            <v>135878215</v>
          </cell>
          <cell r="V379">
            <v>4772845</v>
          </cell>
          <cell r="W379">
            <v>9.6199999999999992</v>
          </cell>
        </row>
        <row r="380">
          <cell r="A380" t="str">
            <v>2015HI</v>
          </cell>
          <cell r="B380">
            <v>2015</v>
          </cell>
          <cell r="C380" t="str">
            <v>HI</v>
          </cell>
          <cell r="D380">
            <v>781896</v>
          </cell>
          <cell r="E380">
            <v>2641336</v>
          </cell>
          <cell r="F380">
            <v>428339</v>
          </cell>
          <cell r="G380">
            <v>29.6</v>
          </cell>
          <cell r="H380">
            <v>854791</v>
          </cell>
          <cell r="I380">
            <v>3174462</v>
          </cell>
          <cell r="J380">
            <v>60631</v>
          </cell>
          <cell r="K380">
            <v>26.93</v>
          </cell>
          <cell r="L380">
            <v>852083</v>
          </cell>
          <cell r="M380">
            <v>3695554</v>
          </cell>
          <cell r="N380">
            <v>740</v>
          </cell>
          <cell r="O380">
            <v>23.06</v>
          </cell>
          <cell r="P380">
            <v>0</v>
          </cell>
          <cell r="Q380">
            <v>0</v>
          </cell>
          <cell r="R380">
            <v>0</v>
          </cell>
          <cell r="S380">
            <v>0</v>
          </cell>
          <cell r="T380">
            <v>2488769</v>
          </cell>
          <cell r="U380">
            <v>9511352</v>
          </cell>
          <cell r="V380">
            <v>489710</v>
          </cell>
          <cell r="W380">
            <v>26.17</v>
          </cell>
        </row>
        <row r="381">
          <cell r="A381" t="str">
            <v>2015IA</v>
          </cell>
          <cell r="B381">
            <v>2015</v>
          </cell>
          <cell r="C381" t="str">
            <v>IA</v>
          </cell>
          <cell r="D381">
            <v>1603951</v>
          </cell>
          <cell r="E381">
            <v>13786328</v>
          </cell>
          <cell r="F381">
            <v>1356600</v>
          </cell>
          <cell r="G381">
            <v>11.63</v>
          </cell>
          <cell r="H381">
            <v>1076729</v>
          </cell>
          <cell r="I381">
            <v>12071781</v>
          </cell>
          <cell r="J381">
            <v>227544</v>
          </cell>
          <cell r="K381">
            <v>8.92</v>
          </cell>
          <cell r="L381">
            <v>1255122</v>
          </cell>
          <cell r="M381">
            <v>21289184</v>
          </cell>
          <cell r="N381">
            <v>7645</v>
          </cell>
          <cell r="O381">
            <v>5.9</v>
          </cell>
          <cell r="P381">
            <v>0</v>
          </cell>
          <cell r="Q381">
            <v>0</v>
          </cell>
          <cell r="R381">
            <v>0</v>
          </cell>
          <cell r="S381">
            <v>0</v>
          </cell>
          <cell r="T381">
            <v>3935802</v>
          </cell>
          <cell r="U381">
            <v>47147293</v>
          </cell>
          <cell r="V381">
            <v>1591789</v>
          </cell>
          <cell r="W381">
            <v>8.35</v>
          </cell>
        </row>
        <row r="382">
          <cell r="A382" t="str">
            <v>2015ID</v>
          </cell>
          <cell r="B382">
            <v>2015</v>
          </cell>
          <cell r="C382" t="str">
            <v>ID</v>
          </cell>
          <cell r="D382">
            <v>799700</v>
          </cell>
          <cell r="E382">
            <v>8054693</v>
          </cell>
          <cell r="F382">
            <v>701447</v>
          </cell>
          <cell r="G382">
            <v>9.93</v>
          </cell>
          <cell r="H382">
            <v>488546</v>
          </cell>
          <cell r="I382">
            <v>6263642</v>
          </cell>
          <cell r="J382">
            <v>106451</v>
          </cell>
          <cell r="K382">
            <v>7.8</v>
          </cell>
          <cell r="L382">
            <v>576477</v>
          </cell>
          <cell r="M382">
            <v>8740479</v>
          </cell>
          <cell r="N382">
            <v>27531</v>
          </cell>
          <cell r="O382">
            <v>6.6</v>
          </cell>
          <cell r="P382">
            <v>0</v>
          </cell>
          <cell r="Q382">
            <v>0</v>
          </cell>
          <cell r="R382">
            <v>0</v>
          </cell>
          <cell r="S382">
            <v>0</v>
          </cell>
          <cell r="T382">
            <v>1864722</v>
          </cell>
          <cell r="U382">
            <v>23058814</v>
          </cell>
          <cell r="V382">
            <v>835429</v>
          </cell>
          <cell r="W382">
            <v>8.09</v>
          </cell>
        </row>
        <row r="383">
          <cell r="A383" t="str">
            <v>2015IL</v>
          </cell>
          <cell r="B383">
            <v>2015</v>
          </cell>
          <cell r="C383" t="str">
            <v>IL</v>
          </cell>
          <cell r="D383">
            <v>5581101</v>
          </cell>
          <cell r="E383">
            <v>44645638</v>
          </cell>
          <cell r="F383">
            <v>5172653</v>
          </cell>
          <cell r="G383">
            <v>12.5</v>
          </cell>
          <cell r="H383">
            <v>4540480</v>
          </cell>
          <cell r="I383">
            <v>50319815</v>
          </cell>
          <cell r="J383">
            <v>603187</v>
          </cell>
          <cell r="K383">
            <v>9.02</v>
          </cell>
          <cell r="L383">
            <v>2875406</v>
          </cell>
          <cell r="M383">
            <v>43130671</v>
          </cell>
          <cell r="N383">
            <v>5997</v>
          </cell>
          <cell r="O383">
            <v>6.67</v>
          </cell>
          <cell r="P383">
            <v>35653</v>
          </cell>
          <cell r="Q383">
            <v>523846</v>
          </cell>
          <cell r="R383">
            <v>3</v>
          </cell>
          <cell r="S383">
            <v>6.81</v>
          </cell>
          <cell r="T383">
            <v>13032639</v>
          </cell>
          <cell r="U383">
            <v>138619970</v>
          </cell>
          <cell r="V383">
            <v>5781840</v>
          </cell>
          <cell r="W383">
            <v>9.4</v>
          </cell>
        </row>
        <row r="384">
          <cell r="A384" t="str">
            <v>2015IN</v>
          </cell>
          <cell r="B384">
            <v>2015</v>
          </cell>
          <cell r="C384" t="str">
            <v>IN</v>
          </cell>
          <cell r="D384">
            <v>3753084</v>
          </cell>
          <cell r="E384">
            <v>32441693</v>
          </cell>
          <cell r="F384">
            <v>2804861</v>
          </cell>
          <cell r="G384">
            <v>11.57</v>
          </cell>
          <cell r="H384">
            <v>2349168</v>
          </cell>
          <cell r="I384">
            <v>24021689</v>
          </cell>
          <cell r="J384">
            <v>350474</v>
          </cell>
          <cell r="K384">
            <v>9.7799999999999994</v>
          </cell>
          <cell r="L384">
            <v>3294957</v>
          </cell>
          <cell r="M384">
            <v>48030120</v>
          </cell>
          <cell r="N384">
            <v>18213</v>
          </cell>
          <cell r="O384">
            <v>6.86</v>
          </cell>
          <cell r="P384">
            <v>2085</v>
          </cell>
          <cell r="Q384">
            <v>21016</v>
          </cell>
          <cell r="R384">
            <v>1</v>
          </cell>
          <cell r="S384">
            <v>9.92</v>
          </cell>
          <cell r="T384">
            <v>9399293</v>
          </cell>
          <cell r="U384">
            <v>104514518</v>
          </cell>
          <cell r="V384">
            <v>3173549</v>
          </cell>
          <cell r="W384">
            <v>8.99</v>
          </cell>
        </row>
        <row r="385">
          <cell r="A385" t="str">
            <v>2015KS</v>
          </cell>
          <cell r="B385">
            <v>2015</v>
          </cell>
          <cell r="C385" t="str">
            <v>KS</v>
          </cell>
          <cell r="D385">
            <v>1634552</v>
          </cell>
          <cell r="E385">
            <v>13241682</v>
          </cell>
          <cell r="F385">
            <v>1231830</v>
          </cell>
          <cell r="G385">
            <v>12.34</v>
          </cell>
          <cell r="H385">
            <v>1553019</v>
          </cell>
          <cell r="I385">
            <v>15380339</v>
          </cell>
          <cell r="J385">
            <v>228411</v>
          </cell>
          <cell r="K385">
            <v>10.1</v>
          </cell>
          <cell r="L385">
            <v>854187</v>
          </cell>
          <cell r="M385">
            <v>11227106</v>
          </cell>
          <cell r="N385">
            <v>24155</v>
          </cell>
          <cell r="O385">
            <v>7.61</v>
          </cell>
          <cell r="P385">
            <v>0</v>
          </cell>
          <cell r="Q385">
            <v>0</v>
          </cell>
          <cell r="R385">
            <v>0</v>
          </cell>
          <cell r="S385">
            <v>0</v>
          </cell>
          <cell r="T385">
            <v>4041758</v>
          </cell>
          <cell r="U385">
            <v>39849127</v>
          </cell>
          <cell r="V385">
            <v>1484396</v>
          </cell>
          <cell r="W385">
            <v>10.14</v>
          </cell>
        </row>
        <row r="386">
          <cell r="A386" t="str">
            <v>2015KY</v>
          </cell>
          <cell r="B386">
            <v>2015</v>
          </cell>
          <cell r="C386" t="str">
            <v>KY</v>
          </cell>
          <cell r="D386">
            <v>2680343</v>
          </cell>
          <cell r="E386">
            <v>26168093</v>
          </cell>
          <cell r="F386">
            <v>1947068</v>
          </cell>
          <cell r="G386">
            <v>10.24</v>
          </cell>
          <cell r="H386">
            <v>1848262</v>
          </cell>
          <cell r="I386">
            <v>19589209</v>
          </cell>
          <cell r="J386">
            <v>299462</v>
          </cell>
          <cell r="K386">
            <v>9.44</v>
          </cell>
          <cell r="L386">
            <v>1660850</v>
          </cell>
          <cell r="M386">
            <v>30281328</v>
          </cell>
          <cell r="N386">
            <v>7392</v>
          </cell>
          <cell r="O386">
            <v>5.48</v>
          </cell>
          <cell r="P386">
            <v>0</v>
          </cell>
          <cell r="Q386">
            <v>0</v>
          </cell>
          <cell r="R386">
            <v>0</v>
          </cell>
          <cell r="S386">
            <v>0</v>
          </cell>
          <cell r="T386">
            <v>6189455</v>
          </cell>
          <cell r="U386">
            <v>76038630</v>
          </cell>
          <cell r="V386">
            <v>2253922</v>
          </cell>
          <cell r="W386">
            <v>8.14</v>
          </cell>
        </row>
        <row r="387">
          <cell r="A387" t="str">
            <v>2015LA</v>
          </cell>
          <cell r="B387">
            <v>2015</v>
          </cell>
          <cell r="C387" t="str">
            <v>LA</v>
          </cell>
          <cell r="D387">
            <v>2943587</v>
          </cell>
          <cell r="E387">
            <v>31545313</v>
          </cell>
          <cell r="F387">
            <v>2043760</v>
          </cell>
          <cell r="G387">
            <v>9.33</v>
          </cell>
          <cell r="H387">
            <v>2165878</v>
          </cell>
          <cell r="I387">
            <v>24996178</v>
          </cell>
          <cell r="J387">
            <v>298170</v>
          </cell>
          <cell r="K387">
            <v>8.66</v>
          </cell>
          <cell r="L387">
            <v>1900895</v>
          </cell>
          <cell r="M387">
            <v>35123169</v>
          </cell>
          <cell r="N387">
            <v>19646</v>
          </cell>
          <cell r="O387">
            <v>5.41</v>
          </cell>
          <cell r="P387">
            <v>979</v>
          </cell>
          <cell r="Q387">
            <v>11829</v>
          </cell>
          <cell r="R387">
            <v>1</v>
          </cell>
          <cell r="S387">
            <v>8.2799999999999994</v>
          </cell>
          <cell r="T387">
            <v>7011339</v>
          </cell>
          <cell r="U387">
            <v>91676489</v>
          </cell>
          <cell r="V387">
            <v>2361577</v>
          </cell>
          <cell r="W387">
            <v>7.65</v>
          </cell>
        </row>
        <row r="388">
          <cell r="A388" t="str">
            <v>2015MA</v>
          </cell>
          <cell r="B388">
            <v>2015</v>
          </cell>
          <cell r="C388" t="str">
            <v>MA</v>
          </cell>
          <cell r="D388">
            <v>4000022</v>
          </cell>
          <cell r="E388">
            <v>20175317</v>
          </cell>
          <cell r="F388">
            <v>2794918</v>
          </cell>
          <cell r="G388">
            <v>19.829999999999998</v>
          </cell>
          <cell r="H388">
            <v>4135789</v>
          </cell>
          <cell r="I388">
            <v>26200307</v>
          </cell>
          <cell r="J388">
            <v>407063</v>
          </cell>
          <cell r="K388">
            <v>15.79</v>
          </cell>
          <cell r="L388">
            <v>1068927</v>
          </cell>
          <cell r="M388">
            <v>7892165</v>
          </cell>
          <cell r="N388">
            <v>14100</v>
          </cell>
          <cell r="O388">
            <v>13.54</v>
          </cell>
          <cell r="P388">
            <v>27418</v>
          </cell>
          <cell r="Q388">
            <v>353299</v>
          </cell>
          <cell r="R388">
            <v>3</v>
          </cell>
          <cell r="S388">
            <v>7.76</v>
          </cell>
          <cell r="T388">
            <v>9232156</v>
          </cell>
          <cell r="U388">
            <v>54621088</v>
          </cell>
          <cell r="V388">
            <v>3216084</v>
          </cell>
          <cell r="W388">
            <v>16.899999999999999</v>
          </cell>
        </row>
        <row r="389">
          <cell r="A389" t="str">
            <v>2015MD</v>
          </cell>
          <cell r="B389">
            <v>2015</v>
          </cell>
          <cell r="C389" t="str">
            <v>MD</v>
          </cell>
          <cell r="D389">
            <v>3786876</v>
          </cell>
          <cell r="E389">
            <v>27403336</v>
          </cell>
          <cell r="F389">
            <v>2255556</v>
          </cell>
          <cell r="G389">
            <v>13.82</v>
          </cell>
          <cell r="H389">
            <v>3295693</v>
          </cell>
          <cell r="I389">
            <v>29959115</v>
          </cell>
          <cell r="J389">
            <v>249181</v>
          </cell>
          <cell r="K389">
            <v>11</v>
          </cell>
          <cell r="L389">
            <v>331187</v>
          </cell>
          <cell r="M389">
            <v>3883315</v>
          </cell>
          <cell r="N389">
            <v>8821</v>
          </cell>
          <cell r="O389">
            <v>8.5299999999999994</v>
          </cell>
          <cell r="P389">
            <v>44707</v>
          </cell>
          <cell r="Q389">
            <v>535953</v>
          </cell>
          <cell r="R389">
            <v>5</v>
          </cell>
          <cell r="S389">
            <v>8.34</v>
          </cell>
          <cell r="T389">
            <v>7458464</v>
          </cell>
          <cell r="U389">
            <v>61781719</v>
          </cell>
          <cell r="V389">
            <v>2513563</v>
          </cell>
          <cell r="W389">
            <v>12.07</v>
          </cell>
        </row>
        <row r="390">
          <cell r="A390" t="str">
            <v>2015ME</v>
          </cell>
          <cell r="B390">
            <v>2015</v>
          </cell>
          <cell r="C390" t="str">
            <v>ME</v>
          </cell>
          <cell r="D390">
            <v>727922</v>
          </cell>
          <cell r="E390">
            <v>4662301</v>
          </cell>
          <cell r="F390">
            <v>699241</v>
          </cell>
          <cell r="G390">
            <v>15.61</v>
          </cell>
          <cell r="H390">
            <v>501148</v>
          </cell>
          <cell r="I390">
            <v>4017822</v>
          </cell>
          <cell r="J390">
            <v>97057</v>
          </cell>
          <cell r="K390">
            <v>12.47</v>
          </cell>
          <cell r="L390">
            <v>290360</v>
          </cell>
          <cell r="M390">
            <v>3208045</v>
          </cell>
          <cell r="N390">
            <v>2993</v>
          </cell>
          <cell r="O390">
            <v>9.0500000000000007</v>
          </cell>
          <cell r="P390">
            <v>0</v>
          </cell>
          <cell r="Q390">
            <v>0</v>
          </cell>
          <cell r="R390">
            <v>0</v>
          </cell>
          <cell r="S390">
            <v>0</v>
          </cell>
          <cell r="T390">
            <v>1519430</v>
          </cell>
          <cell r="U390">
            <v>11888168</v>
          </cell>
          <cell r="V390">
            <v>799291</v>
          </cell>
          <cell r="W390">
            <v>12.78</v>
          </cell>
        </row>
        <row r="391">
          <cell r="A391" t="str">
            <v>2015MI</v>
          </cell>
          <cell r="B391">
            <v>2015</v>
          </cell>
          <cell r="C391" t="str">
            <v>MI</v>
          </cell>
          <cell r="D391">
            <v>4810815</v>
          </cell>
          <cell r="E391">
            <v>33357876</v>
          </cell>
          <cell r="F391">
            <v>4282858</v>
          </cell>
          <cell r="G391">
            <v>14.42</v>
          </cell>
          <cell r="H391">
            <v>4057255</v>
          </cell>
          <cell r="I391">
            <v>38440734</v>
          </cell>
          <cell r="J391">
            <v>532858</v>
          </cell>
          <cell r="K391">
            <v>10.55</v>
          </cell>
          <cell r="L391">
            <v>2154662</v>
          </cell>
          <cell r="M391">
            <v>30677019</v>
          </cell>
          <cell r="N391">
            <v>6041</v>
          </cell>
          <cell r="O391">
            <v>7.02</v>
          </cell>
          <cell r="P391">
            <v>491</v>
          </cell>
          <cell r="Q391">
            <v>4292</v>
          </cell>
          <cell r="R391">
            <v>1</v>
          </cell>
          <cell r="S391">
            <v>11.44</v>
          </cell>
          <cell r="T391">
            <v>11023223</v>
          </cell>
          <cell r="U391">
            <v>102479921</v>
          </cell>
          <cell r="V391">
            <v>4821758</v>
          </cell>
          <cell r="W391">
            <v>10.76</v>
          </cell>
        </row>
        <row r="392">
          <cell r="A392" t="str">
            <v>2015MN</v>
          </cell>
          <cell r="B392">
            <v>2015</v>
          </cell>
          <cell r="C392" t="str">
            <v>MN</v>
          </cell>
          <cell r="D392">
            <v>2630742</v>
          </cell>
          <cell r="E392">
            <v>21713970</v>
          </cell>
          <cell r="F392">
            <v>2374674</v>
          </cell>
          <cell r="G392">
            <v>12.12</v>
          </cell>
          <cell r="H392">
            <v>2207024</v>
          </cell>
          <cell r="I392">
            <v>23388015</v>
          </cell>
          <cell r="J392">
            <v>289044</v>
          </cell>
          <cell r="K392">
            <v>9.44</v>
          </cell>
          <cell r="L392">
            <v>1506272</v>
          </cell>
          <cell r="M392">
            <v>21453040</v>
          </cell>
          <cell r="N392">
            <v>9812</v>
          </cell>
          <cell r="O392">
            <v>7.02</v>
          </cell>
          <cell r="P392">
            <v>2300</v>
          </cell>
          <cell r="Q392">
            <v>24209</v>
          </cell>
          <cell r="R392">
            <v>1</v>
          </cell>
          <cell r="S392">
            <v>9.5</v>
          </cell>
          <cell r="T392">
            <v>6346338</v>
          </cell>
          <cell r="U392">
            <v>66579234</v>
          </cell>
          <cell r="V392">
            <v>2673531</v>
          </cell>
          <cell r="W392">
            <v>9.5299999999999994</v>
          </cell>
        </row>
        <row r="393">
          <cell r="A393" t="str">
            <v>2015MO</v>
          </cell>
          <cell r="B393">
            <v>2015</v>
          </cell>
          <cell r="C393" t="str">
            <v>MO</v>
          </cell>
          <cell r="D393">
            <v>3799962</v>
          </cell>
          <cell r="E393">
            <v>33911760</v>
          </cell>
          <cell r="F393">
            <v>2734553</v>
          </cell>
          <cell r="G393">
            <v>11.21</v>
          </cell>
          <cell r="H393">
            <v>2797527</v>
          </cell>
          <cell r="I393">
            <v>30535443</v>
          </cell>
          <cell r="J393">
            <v>373622</v>
          </cell>
          <cell r="K393">
            <v>9.16</v>
          </cell>
          <cell r="L393">
            <v>1096388</v>
          </cell>
          <cell r="M393">
            <v>17036256</v>
          </cell>
          <cell r="N393">
            <v>10218</v>
          </cell>
          <cell r="O393">
            <v>6.44</v>
          </cell>
          <cell r="P393">
            <v>1724</v>
          </cell>
          <cell r="Q393">
            <v>20622</v>
          </cell>
          <cell r="R393">
            <v>1</v>
          </cell>
          <cell r="S393">
            <v>8.36</v>
          </cell>
          <cell r="T393">
            <v>7695601</v>
          </cell>
          <cell r="U393">
            <v>81504081</v>
          </cell>
          <cell r="V393">
            <v>3118394</v>
          </cell>
          <cell r="W393">
            <v>9.44</v>
          </cell>
        </row>
        <row r="394">
          <cell r="A394" t="str">
            <v>2015MS</v>
          </cell>
          <cell r="B394">
            <v>2015</v>
          </cell>
          <cell r="C394" t="str">
            <v>MS</v>
          </cell>
          <cell r="D394">
            <v>2092177</v>
          </cell>
          <cell r="E394">
            <v>18561101</v>
          </cell>
          <cell r="F394">
            <v>1270397</v>
          </cell>
          <cell r="G394">
            <v>11.27</v>
          </cell>
          <cell r="H394">
            <v>1517771</v>
          </cell>
          <cell r="I394">
            <v>14391682</v>
          </cell>
          <cell r="J394">
            <v>231388</v>
          </cell>
          <cell r="K394">
            <v>10.55</v>
          </cell>
          <cell r="L394">
            <v>1032686</v>
          </cell>
          <cell r="M394">
            <v>15738746</v>
          </cell>
          <cell r="N394">
            <v>10860</v>
          </cell>
          <cell r="O394">
            <v>6.56</v>
          </cell>
          <cell r="P394">
            <v>0</v>
          </cell>
          <cell r="Q394">
            <v>0</v>
          </cell>
          <cell r="R394">
            <v>0</v>
          </cell>
          <cell r="S394">
            <v>0</v>
          </cell>
          <cell r="T394">
            <v>4642633</v>
          </cell>
          <cell r="U394">
            <v>48691529</v>
          </cell>
          <cell r="V394">
            <v>1512645</v>
          </cell>
          <cell r="W394">
            <v>9.5299999999999994</v>
          </cell>
        </row>
        <row r="395">
          <cell r="A395" t="str">
            <v>2015MT</v>
          </cell>
          <cell r="B395">
            <v>2015</v>
          </cell>
          <cell r="C395" t="str">
            <v>MT</v>
          </cell>
          <cell r="D395">
            <v>525004</v>
          </cell>
          <cell r="E395">
            <v>4825213</v>
          </cell>
          <cell r="F395">
            <v>491422</v>
          </cell>
          <cell r="G395">
            <v>10.88</v>
          </cell>
          <cell r="H395">
            <v>500514</v>
          </cell>
          <cell r="I395">
            <v>4894095</v>
          </cell>
          <cell r="J395">
            <v>104325</v>
          </cell>
          <cell r="K395">
            <v>10.23</v>
          </cell>
          <cell r="L395">
            <v>238769</v>
          </cell>
          <cell r="M395">
            <v>4487603</v>
          </cell>
          <cell r="N395">
            <v>9710</v>
          </cell>
          <cell r="O395">
            <v>5.32</v>
          </cell>
          <cell r="P395">
            <v>0</v>
          </cell>
          <cell r="Q395">
            <v>0</v>
          </cell>
          <cell r="R395">
            <v>0</v>
          </cell>
          <cell r="S395">
            <v>0</v>
          </cell>
          <cell r="T395">
            <v>1264287</v>
          </cell>
          <cell r="U395">
            <v>14206911</v>
          </cell>
          <cell r="V395">
            <v>605457</v>
          </cell>
          <cell r="W395">
            <v>8.9</v>
          </cell>
        </row>
        <row r="396">
          <cell r="A396" t="str">
            <v>2015NC</v>
          </cell>
          <cell r="B396">
            <v>2015</v>
          </cell>
          <cell r="C396" t="str">
            <v>NC</v>
          </cell>
          <cell r="D396">
            <v>6531847</v>
          </cell>
          <cell r="E396">
            <v>57901557</v>
          </cell>
          <cell r="F396">
            <v>4336698</v>
          </cell>
          <cell r="G396">
            <v>11.28</v>
          </cell>
          <cell r="H396">
            <v>4210468</v>
          </cell>
          <cell r="I396">
            <v>48236147</v>
          </cell>
          <cell r="J396">
            <v>665198</v>
          </cell>
          <cell r="K396">
            <v>8.73</v>
          </cell>
          <cell r="L396">
            <v>1804121</v>
          </cell>
          <cell r="M396">
            <v>27701168</v>
          </cell>
          <cell r="N396">
            <v>10284</v>
          </cell>
          <cell r="O396">
            <v>6.51</v>
          </cell>
          <cell r="P396">
            <v>684</v>
          </cell>
          <cell r="Q396">
            <v>8651</v>
          </cell>
          <cell r="R396">
            <v>1</v>
          </cell>
          <cell r="S396">
            <v>7.9</v>
          </cell>
          <cell r="T396">
            <v>12547119</v>
          </cell>
          <cell r="U396">
            <v>133847523</v>
          </cell>
          <cell r="V396">
            <v>5012181</v>
          </cell>
          <cell r="W396">
            <v>9.3699999999999992</v>
          </cell>
        </row>
        <row r="397">
          <cell r="A397" t="str">
            <v>2015ND</v>
          </cell>
          <cell r="B397">
            <v>2015</v>
          </cell>
          <cell r="C397" t="str">
            <v>ND</v>
          </cell>
          <cell r="D397">
            <v>467895</v>
          </cell>
          <cell r="E397">
            <v>4862542</v>
          </cell>
          <cell r="F397">
            <v>371501</v>
          </cell>
          <cell r="G397">
            <v>9.6199999999999992</v>
          </cell>
          <cell r="H397">
            <v>554633</v>
          </cell>
          <cell r="I397">
            <v>6278868</v>
          </cell>
          <cell r="J397">
            <v>71210</v>
          </cell>
          <cell r="K397">
            <v>8.83</v>
          </cell>
          <cell r="L397">
            <v>563700</v>
          </cell>
          <cell r="M397">
            <v>6987538</v>
          </cell>
          <cell r="N397">
            <v>8158</v>
          </cell>
          <cell r="O397">
            <v>8.07</v>
          </cell>
          <cell r="P397">
            <v>0</v>
          </cell>
          <cell r="Q397">
            <v>0</v>
          </cell>
          <cell r="R397">
            <v>0</v>
          </cell>
          <cell r="S397">
            <v>0</v>
          </cell>
          <cell r="T397">
            <v>1586227</v>
          </cell>
          <cell r="U397">
            <v>18128948</v>
          </cell>
          <cell r="V397">
            <v>450869</v>
          </cell>
          <cell r="W397">
            <v>8.75</v>
          </cell>
        </row>
        <row r="398">
          <cell r="A398" t="str">
            <v>2015NE</v>
          </cell>
          <cell r="B398">
            <v>2015</v>
          </cell>
          <cell r="C398" t="str">
            <v>NE</v>
          </cell>
          <cell r="D398">
            <v>1010527</v>
          </cell>
          <cell r="E398">
            <v>9532132</v>
          </cell>
          <cell r="F398">
            <v>825940</v>
          </cell>
          <cell r="G398">
            <v>10.6</v>
          </cell>
          <cell r="H398">
            <v>807429</v>
          </cell>
          <cell r="I398">
            <v>9307834</v>
          </cell>
          <cell r="J398">
            <v>149820</v>
          </cell>
          <cell r="K398">
            <v>8.67</v>
          </cell>
          <cell r="L398">
            <v>808820</v>
          </cell>
          <cell r="M398">
            <v>10655107</v>
          </cell>
          <cell r="N398">
            <v>60556</v>
          </cell>
          <cell r="O398">
            <v>7.59</v>
          </cell>
          <cell r="P398">
            <v>0</v>
          </cell>
          <cell r="Q398">
            <v>0</v>
          </cell>
          <cell r="R398">
            <v>0</v>
          </cell>
          <cell r="S398">
            <v>0</v>
          </cell>
          <cell r="T398">
            <v>2626776</v>
          </cell>
          <cell r="U398">
            <v>29495073</v>
          </cell>
          <cell r="V398">
            <v>1036316</v>
          </cell>
          <cell r="W398">
            <v>8.91</v>
          </cell>
        </row>
        <row r="399">
          <cell r="A399" t="str">
            <v>2015NH</v>
          </cell>
          <cell r="B399">
            <v>2015</v>
          </cell>
          <cell r="C399" t="str">
            <v>NH</v>
          </cell>
          <cell r="D399">
            <v>837549</v>
          </cell>
          <cell r="E399">
            <v>4526948</v>
          </cell>
          <cell r="F399">
            <v>607465</v>
          </cell>
          <cell r="G399">
            <v>18.5</v>
          </cell>
          <cell r="H399">
            <v>672092</v>
          </cell>
          <cell r="I399">
            <v>4491173</v>
          </cell>
          <cell r="J399">
            <v>105833</v>
          </cell>
          <cell r="K399">
            <v>14.96</v>
          </cell>
          <cell r="L399">
            <v>252331</v>
          </cell>
          <cell r="M399">
            <v>1981028</v>
          </cell>
          <cell r="N399">
            <v>3277</v>
          </cell>
          <cell r="O399">
            <v>12.74</v>
          </cell>
          <cell r="P399">
            <v>0</v>
          </cell>
          <cell r="Q399">
            <v>0</v>
          </cell>
          <cell r="R399">
            <v>0</v>
          </cell>
          <cell r="S399">
            <v>0</v>
          </cell>
          <cell r="T399">
            <v>1761972</v>
          </cell>
          <cell r="U399">
            <v>10999149</v>
          </cell>
          <cell r="V399">
            <v>716575</v>
          </cell>
          <cell r="W399">
            <v>16.02</v>
          </cell>
        </row>
        <row r="400">
          <cell r="A400" t="str">
            <v>2015NJ</v>
          </cell>
          <cell r="B400">
            <v>2015</v>
          </cell>
          <cell r="C400" t="str">
            <v>NJ</v>
          </cell>
          <cell r="D400">
            <v>4607270</v>
          </cell>
          <cell r="E400">
            <v>29142283</v>
          </cell>
          <cell r="F400">
            <v>3489111</v>
          </cell>
          <cell r="G400">
            <v>15.81</v>
          </cell>
          <cell r="H400">
            <v>4952384</v>
          </cell>
          <cell r="I400">
            <v>38722730</v>
          </cell>
          <cell r="J400">
            <v>512894</v>
          </cell>
          <cell r="K400">
            <v>12.79</v>
          </cell>
          <cell r="L400">
            <v>778985</v>
          </cell>
          <cell r="M400">
            <v>7320398</v>
          </cell>
          <cell r="N400">
            <v>12191</v>
          </cell>
          <cell r="O400">
            <v>10.64</v>
          </cell>
          <cell r="P400">
            <v>31193</v>
          </cell>
          <cell r="Q400">
            <v>304212</v>
          </cell>
          <cell r="R400">
            <v>6</v>
          </cell>
          <cell r="S400">
            <v>10.25</v>
          </cell>
          <cell r="T400">
            <v>10369832</v>
          </cell>
          <cell r="U400">
            <v>75489623</v>
          </cell>
          <cell r="V400">
            <v>4014202</v>
          </cell>
          <cell r="W400">
            <v>13.74</v>
          </cell>
        </row>
        <row r="401">
          <cell r="A401" t="str">
            <v>2015NM</v>
          </cell>
          <cell r="B401">
            <v>2015</v>
          </cell>
          <cell r="C401" t="str">
            <v>NM</v>
          </cell>
          <cell r="D401">
            <v>828169</v>
          </cell>
          <cell r="E401">
            <v>6641724</v>
          </cell>
          <cell r="F401">
            <v>871047</v>
          </cell>
          <cell r="G401">
            <v>12.47</v>
          </cell>
          <cell r="H401">
            <v>914719</v>
          </cell>
          <cell r="I401">
            <v>8877046</v>
          </cell>
          <cell r="J401">
            <v>142031</v>
          </cell>
          <cell r="K401">
            <v>10.3</v>
          </cell>
          <cell r="L401">
            <v>479753</v>
          </cell>
          <cell r="M401">
            <v>7574783</v>
          </cell>
          <cell r="N401">
            <v>9348</v>
          </cell>
          <cell r="O401">
            <v>6.33</v>
          </cell>
          <cell r="P401">
            <v>0</v>
          </cell>
          <cell r="Q401">
            <v>0</v>
          </cell>
          <cell r="R401">
            <v>0</v>
          </cell>
          <cell r="S401">
            <v>0</v>
          </cell>
          <cell r="T401">
            <v>2222641</v>
          </cell>
          <cell r="U401">
            <v>23093553</v>
          </cell>
          <cell r="V401">
            <v>1022426</v>
          </cell>
          <cell r="W401">
            <v>9.6199999999999992</v>
          </cell>
        </row>
        <row r="402">
          <cell r="A402" t="str">
            <v>2015NV</v>
          </cell>
          <cell r="B402">
            <v>2015</v>
          </cell>
          <cell r="C402" t="str">
            <v>NV</v>
          </cell>
          <cell r="D402">
            <v>1574103</v>
          </cell>
          <cell r="E402">
            <v>12338538</v>
          </cell>
          <cell r="F402">
            <v>1126220</v>
          </cell>
          <cell r="G402">
            <v>12.76</v>
          </cell>
          <cell r="H402">
            <v>889432</v>
          </cell>
          <cell r="I402">
            <v>9613997</v>
          </cell>
          <cell r="J402">
            <v>160492</v>
          </cell>
          <cell r="K402">
            <v>9.25</v>
          </cell>
          <cell r="L402">
            <v>948626</v>
          </cell>
          <cell r="M402">
            <v>14058811</v>
          </cell>
          <cell r="N402">
            <v>3682</v>
          </cell>
          <cell r="O402">
            <v>6.75</v>
          </cell>
          <cell r="P402">
            <v>760</v>
          </cell>
          <cell r="Q402">
            <v>8344</v>
          </cell>
          <cell r="R402">
            <v>1</v>
          </cell>
          <cell r="S402">
            <v>9.11</v>
          </cell>
          <cell r="T402">
            <v>3412922</v>
          </cell>
          <cell r="U402">
            <v>36019690</v>
          </cell>
          <cell r="V402">
            <v>1290395</v>
          </cell>
          <cell r="W402">
            <v>9.48</v>
          </cell>
        </row>
        <row r="403">
          <cell r="A403" t="str">
            <v>2015NY</v>
          </cell>
          <cell r="B403">
            <v>2015</v>
          </cell>
          <cell r="C403" t="str">
            <v>NY</v>
          </cell>
          <cell r="D403">
            <v>9456188</v>
          </cell>
          <cell r="E403">
            <v>51012745</v>
          </cell>
          <cell r="F403">
            <v>7079097</v>
          </cell>
          <cell r="G403">
            <v>18.54</v>
          </cell>
          <cell r="H403">
            <v>11785740</v>
          </cell>
          <cell r="I403">
            <v>77005625</v>
          </cell>
          <cell r="J403">
            <v>1055136</v>
          </cell>
          <cell r="K403">
            <v>15.31</v>
          </cell>
          <cell r="L403">
            <v>1140573</v>
          </cell>
          <cell r="M403">
            <v>18079200</v>
          </cell>
          <cell r="N403">
            <v>7630</v>
          </cell>
          <cell r="O403">
            <v>6.31</v>
          </cell>
          <cell r="P403">
            <v>364797</v>
          </cell>
          <cell r="Q403">
            <v>2816085</v>
          </cell>
          <cell r="R403">
            <v>7</v>
          </cell>
          <cell r="S403">
            <v>12.95</v>
          </cell>
          <cell r="T403">
            <v>22747297</v>
          </cell>
          <cell r="U403">
            <v>148913655</v>
          </cell>
          <cell r="V403">
            <v>8141870</v>
          </cell>
          <cell r="W403">
            <v>15.28</v>
          </cell>
        </row>
        <row r="404">
          <cell r="A404" t="str">
            <v>2015OH</v>
          </cell>
          <cell r="B404">
            <v>2015</v>
          </cell>
          <cell r="C404" t="str">
            <v>OH</v>
          </cell>
          <cell r="D404">
            <v>6590569</v>
          </cell>
          <cell r="E404">
            <v>51492954</v>
          </cell>
          <cell r="F404">
            <v>4892916</v>
          </cell>
          <cell r="G404">
            <v>12.8</v>
          </cell>
          <cell r="H404">
            <v>4743183</v>
          </cell>
          <cell r="I404">
            <v>47123923</v>
          </cell>
          <cell r="J404">
            <v>620810</v>
          </cell>
          <cell r="K404">
            <v>10.07</v>
          </cell>
          <cell r="L404">
            <v>3548736</v>
          </cell>
          <cell r="M404">
            <v>50556675</v>
          </cell>
          <cell r="N404">
            <v>19151</v>
          </cell>
          <cell r="O404">
            <v>7.02</v>
          </cell>
          <cell r="P404">
            <v>3049</v>
          </cell>
          <cell r="Q404">
            <v>39672</v>
          </cell>
          <cell r="R404">
            <v>2</v>
          </cell>
          <cell r="S404">
            <v>7.69</v>
          </cell>
          <cell r="T404">
            <v>14885537</v>
          </cell>
          <cell r="U404">
            <v>149213224</v>
          </cell>
          <cell r="V404">
            <v>5532879</v>
          </cell>
          <cell r="W404">
            <v>9.98</v>
          </cell>
        </row>
        <row r="405">
          <cell r="A405" t="str">
            <v>2015OK</v>
          </cell>
          <cell r="B405">
            <v>2015</v>
          </cell>
          <cell r="C405" t="str">
            <v>OK</v>
          </cell>
          <cell r="D405">
            <v>2293592</v>
          </cell>
          <cell r="E405">
            <v>22615824</v>
          </cell>
          <cell r="F405">
            <v>1723938</v>
          </cell>
          <cell r="G405">
            <v>10.14</v>
          </cell>
          <cell r="H405">
            <v>1588067</v>
          </cell>
          <cell r="I405">
            <v>20691105</v>
          </cell>
          <cell r="J405">
            <v>277386</v>
          </cell>
          <cell r="K405">
            <v>7.68</v>
          </cell>
          <cell r="L405">
            <v>964329</v>
          </cell>
          <cell r="M405">
            <v>18029456</v>
          </cell>
          <cell r="N405">
            <v>18688</v>
          </cell>
          <cell r="O405">
            <v>5.35</v>
          </cell>
          <cell r="P405">
            <v>0</v>
          </cell>
          <cell r="Q405">
            <v>0</v>
          </cell>
          <cell r="R405">
            <v>0</v>
          </cell>
          <cell r="S405">
            <v>0</v>
          </cell>
          <cell r="T405">
            <v>4845987</v>
          </cell>
          <cell r="U405">
            <v>61336385</v>
          </cell>
          <cell r="V405">
            <v>2020012</v>
          </cell>
          <cell r="W405">
            <v>7.9</v>
          </cell>
        </row>
        <row r="406">
          <cell r="A406" t="str">
            <v>2015OR</v>
          </cell>
          <cell r="B406">
            <v>2015</v>
          </cell>
          <cell r="C406" t="str">
            <v>OR</v>
          </cell>
          <cell r="D406">
            <v>1948315</v>
          </cell>
          <cell r="E406">
            <v>18269007</v>
          </cell>
          <cell r="F406">
            <v>1686973</v>
          </cell>
          <cell r="G406">
            <v>10.66</v>
          </cell>
          <cell r="H406">
            <v>1410427</v>
          </cell>
          <cell r="I406">
            <v>16021066</v>
          </cell>
          <cell r="J406">
            <v>229116</v>
          </cell>
          <cell r="K406">
            <v>8.8000000000000007</v>
          </cell>
          <cell r="L406">
            <v>773009</v>
          </cell>
          <cell r="M406">
            <v>12949776</v>
          </cell>
          <cell r="N406">
            <v>25242</v>
          </cell>
          <cell r="O406">
            <v>5.97</v>
          </cell>
          <cell r="P406">
            <v>2205</v>
          </cell>
          <cell r="Q406">
            <v>24125</v>
          </cell>
          <cell r="R406">
            <v>2</v>
          </cell>
          <cell r="S406">
            <v>9.14</v>
          </cell>
          <cell r="T406">
            <v>4133956</v>
          </cell>
          <cell r="U406">
            <v>47263974</v>
          </cell>
          <cell r="V406">
            <v>1941333</v>
          </cell>
          <cell r="W406">
            <v>8.75</v>
          </cell>
        </row>
        <row r="407">
          <cell r="A407" t="str">
            <v>2015PA</v>
          </cell>
          <cell r="B407">
            <v>2015</v>
          </cell>
          <cell r="C407" t="str">
            <v>PA</v>
          </cell>
          <cell r="D407">
            <v>7423145</v>
          </cell>
          <cell r="E407">
            <v>54418663</v>
          </cell>
          <cell r="F407">
            <v>5304279</v>
          </cell>
          <cell r="G407">
            <v>13.64</v>
          </cell>
          <cell r="H407">
            <v>4199202</v>
          </cell>
          <cell r="I407">
            <v>43745173</v>
          </cell>
          <cell r="J407">
            <v>690881</v>
          </cell>
          <cell r="K407">
            <v>9.6</v>
          </cell>
          <cell r="L407">
            <v>3411815</v>
          </cell>
          <cell r="M407">
            <v>47404272</v>
          </cell>
          <cell r="N407">
            <v>23731</v>
          </cell>
          <cell r="O407">
            <v>7.2</v>
          </cell>
          <cell r="P407">
            <v>60692</v>
          </cell>
          <cell r="Q407">
            <v>775920</v>
          </cell>
          <cell r="R407">
            <v>6</v>
          </cell>
          <cell r="S407">
            <v>7.82</v>
          </cell>
          <cell r="T407">
            <v>15094854</v>
          </cell>
          <cell r="U407">
            <v>146344028</v>
          </cell>
          <cell r="V407">
            <v>6018897</v>
          </cell>
          <cell r="W407">
            <v>10.31</v>
          </cell>
        </row>
        <row r="408">
          <cell r="A408" t="str">
            <v>2015RI</v>
          </cell>
          <cell r="B408">
            <v>2015</v>
          </cell>
          <cell r="C408" t="str">
            <v>RI</v>
          </cell>
          <cell r="D408">
            <v>604825</v>
          </cell>
          <cell r="E408">
            <v>3135506</v>
          </cell>
          <cell r="F408">
            <v>440191</v>
          </cell>
          <cell r="G408">
            <v>19.29</v>
          </cell>
          <cell r="H408">
            <v>584484</v>
          </cell>
          <cell r="I408">
            <v>3704812</v>
          </cell>
          <cell r="J408">
            <v>58903</v>
          </cell>
          <cell r="K408">
            <v>15.78</v>
          </cell>
          <cell r="L408">
            <v>109866</v>
          </cell>
          <cell r="M408">
            <v>798532</v>
          </cell>
          <cell r="N408">
            <v>1853</v>
          </cell>
          <cell r="O408">
            <v>13.76</v>
          </cell>
          <cell r="P408">
            <v>4795</v>
          </cell>
          <cell r="Q408">
            <v>25868</v>
          </cell>
          <cell r="R408">
            <v>1</v>
          </cell>
          <cell r="S408">
            <v>18.54</v>
          </cell>
          <cell r="T408">
            <v>1303970</v>
          </cell>
          <cell r="U408">
            <v>7664718</v>
          </cell>
          <cell r="V408">
            <v>500948</v>
          </cell>
          <cell r="W408">
            <v>17.010000000000002</v>
          </cell>
        </row>
        <row r="409">
          <cell r="A409" t="str">
            <v>2015SC</v>
          </cell>
          <cell r="B409">
            <v>2015</v>
          </cell>
          <cell r="C409" t="str">
            <v>SC</v>
          </cell>
          <cell r="D409">
            <v>3778451</v>
          </cell>
          <cell r="E409">
            <v>30059188</v>
          </cell>
          <cell r="F409">
            <v>2185965</v>
          </cell>
          <cell r="G409">
            <v>12.57</v>
          </cell>
          <cell r="H409">
            <v>2239686</v>
          </cell>
          <cell r="I409">
            <v>21927007</v>
          </cell>
          <cell r="J409">
            <v>357724</v>
          </cell>
          <cell r="K409">
            <v>10.210000000000001</v>
          </cell>
          <cell r="L409">
            <v>1774038</v>
          </cell>
          <cell r="M409">
            <v>29342051</v>
          </cell>
          <cell r="N409">
            <v>4290</v>
          </cell>
          <cell r="O409">
            <v>6.05</v>
          </cell>
          <cell r="P409">
            <v>0</v>
          </cell>
          <cell r="Q409">
            <v>0</v>
          </cell>
          <cell r="R409">
            <v>0</v>
          </cell>
          <cell r="S409">
            <v>0</v>
          </cell>
          <cell r="T409">
            <v>7792175</v>
          </cell>
          <cell r="U409">
            <v>81328246</v>
          </cell>
          <cell r="V409">
            <v>2547979</v>
          </cell>
          <cell r="W409">
            <v>9.58</v>
          </cell>
        </row>
        <row r="410">
          <cell r="A410" t="str">
            <v>2015SD</v>
          </cell>
          <cell r="B410">
            <v>2015</v>
          </cell>
          <cell r="C410" t="str">
            <v>SD</v>
          </cell>
          <cell r="D410">
            <v>506522</v>
          </cell>
          <cell r="E410">
            <v>4571325</v>
          </cell>
          <cell r="F410">
            <v>388374</v>
          </cell>
          <cell r="G410">
            <v>11.08</v>
          </cell>
          <cell r="H410">
            <v>434765</v>
          </cell>
          <cell r="I410">
            <v>4748637</v>
          </cell>
          <cell r="J410">
            <v>69872</v>
          </cell>
          <cell r="K410">
            <v>9.16</v>
          </cell>
          <cell r="L410">
            <v>204932</v>
          </cell>
          <cell r="M410">
            <v>2782017</v>
          </cell>
          <cell r="N410">
            <v>3748</v>
          </cell>
          <cell r="O410">
            <v>7.37</v>
          </cell>
          <cell r="P410">
            <v>0</v>
          </cell>
          <cell r="Q410">
            <v>0</v>
          </cell>
          <cell r="R410">
            <v>0</v>
          </cell>
          <cell r="S410">
            <v>0</v>
          </cell>
          <cell r="T410">
            <v>1146220</v>
          </cell>
          <cell r="U410">
            <v>12101979</v>
          </cell>
          <cell r="V410">
            <v>461994</v>
          </cell>
          <cell r="W410">
            <v>9.4700000000000006</v>
          </cell>
        </row>
        <row r="411">
          <cell r="A411" t="str">
            <v>2015TN</v>
          </cell>
          <cell r="B411">
            <v>2015</v>
          </cell>
          <cell r="C411" t="str">
            <v>TN</v>
          </cell>
          <cell r="D411">
            <v>4291880</v>
          </cell>
          <cell r="E411">
            <v>41667411</v>
          </cell>
          <cell r="F411">
            <v>2783058</v>
          </cell>
          <cell r="G411">
            <v>10.3</v>
          </cell>
          <cell r="H411">
            <v>3553029</v>
          </cell>
          <cell r="I411">
            <v>34981552</v>
          </cell>
          <cell r="J411">
            <v>476405</v>
          </cell>
          <cell r="K411">
            <v>10.16</v>
          </cell>
          <cell r="L411">
            <v>1418464</v>
          </cell>
          <cell r="M411">
            <v>22983145</v>
          </cell>
          <cell r="N411">
            <v>1245</v>
          </cell>
          <cell r="O411">
            <v>6.17</v>
          </cell>
          <cell r="P411">
            <v>0</v>
          </cell>
          <cell r="Q411">
            <v>0</v>
          </cell>
          <cell r="R411">
            <v>0</v>
          </cell>
          <cell r="S411">
            <v>0</v>
          </cell>
          <cell r="T411">
            <v>9263373</v>
          </cell>
          <cell r="U411">
            <v>99632108</v>
          </cell>
          <cell r="V411">
            <v>3260708</v>
          </cell>
          <cell r="W411">
            <v>9.3000000000000007</v>
          </cell>
        </row>
        <row r="412">
          <cell r="A412" t="str">
            <v>2015TX</v>
          </cell>
          <cell r="B412">
            <v>2015</v>
          </cell>
          <cell r="C412" t="str">
            <v>TX</v>
          </cell>
          <cell r="D412">
            <v>16838434</v>
          </cell>
          <cell r="E412">
            <v>145651913</v>
          </cell>
          <cell r="F412">
            <v>10318006</v>
          </cell>
          <cell r="G412">
            <v>11.56</v>
          </cell>
          <cell r="H412">
            <v>11115260</v>
          </cell>
          <cell r="I412">
            <v>136323562</v>
          </cell>
          <cell r="J412">
            <v>1425780</v>
          </cell>
          <cell r="K412">
            <v>8.15</v>
          </cell>
          <cell r="L412">
            <v>6161020</v>
          </cell>
          <cell r="M412">
            <v>110182265</v>
          </cell>
          <cell r="N412">
            <v>105936</v>
          </cell>
          <cell r="O412">
            <v>5.59</v>
          </cell>
          <cell r="P412">
            <v>9585</v>
          </cell>
          <cell r="Q412">
            <v>179614</v>
          </cell>
          <cell r="R412">
            <v>3</v>
          </cell>
          <cell r="S412">
            <v>5.34</v>
          </cell>
          <cell r="T412">
            <v>34124300</v>
          </cell>
          <cell r="U412">
            <v>392337354</v>
          </cell>
          <cell r="V412">
            <v>11849725</v>
          </cell>
          <cell r="W412">
            <v>8.6999999999999993</v>
          </cell>
        </row>
        <row r="413">
          <cell r="A413" t="str">
            <v>2015UT</v>
          </cell>
          <cell r="B413">
            <v>2015</v>
          </cell>
          <cell r="C413" t="str">
            <v>UT</v>
          </cell>
          <cell r="D413">
            <v>992264</v>
          </cell>
          <cell r="E413">
            <v>9117153</v>
          </cell>
          <cell r="F413">
            <v>1021839</v>
          </cell>
          <cell r="G413">
            <v>10.88</v>
          </cell>
          <cell r="H413">
            <v>1001542</v>
          </cell>
          <cell r="I413">
            <v>11614593</v>
          </cell>
          <cell r="J413">
            <v>121310</v>
          </cell>
          <cell r="K413">
            <v>8.6199999999999992</v>
          </cell>
          <cell r="L413">
            <v>580074</v>
          </cell>
          <cell r="M413">
            <v>9404984</v>
          </cell>
          <cell r="N413">
            <v>9570</v>
          </cell>
          <cell r="O413">
            <v>6.17</v>
          </cell>
          <cell r="P413">
            <v>5589</v>
          </cell>
          <cell r="Q413">
            <v>55620</v>
          </cell>
          <cell r="R413">
            <v>1</v>
          </cell>
          <cell r="S413">
            <v>10.050000000000001</v>
          </cell>
          <cell r="T413">
            <v>2579468</v>
          </cell>
          <cell r="U413">
            <v>30192350</v>
          </cell>
          <cell r="V413">
            <v>1152720</v>
          </cell>
          <cell r="W413">
            <v>8.5399999999999991</v>
          </cell>
        </row>
        <row r="414">
          <cell r="A414" t="str">
            <v>2015VA</v>
          </cell>
          <cell r="B414">
            <v>2015</v>
          </cell>
          <cell r="C414" t="str">
            <v>VA</v>
          </cell>
          <cell r="D414">
            <v>5221259</v>
          </cell>
          <cell r="E414">
            <v>45928411</v>
          </cell>
          <cell r="F414">
            <v>3332083</v>
          </cell>
          <cell r="G414">
            <v>11.37</v>
          </cell>
          <cell r="H414">
            <v>3969545</v>
          </cell>
          <cell r="I414">
            <v>48347037</v>
          </cell>
          <cell r="J414">
            <v>428369</v>
          </cell>
          <cell r="K414">
            <v>8.2100000000000009</v>
          </cell>
          <cell r="L414">
            <v>1218736</v>
          </cell>
          <cell r="M414">
            <v>17537165</v>
          </cell>
          <cell r="N414">
            <v>3714</v>
          </cell>
          <cell r="O414">
            <v>6.95</v>
          </cell>
          <cell r="P414">
            <v>15929</v>
          </cell>
          <cell r="Q414">
            <v>196432</v>
          </cell>
          <cell r="R414">
            <v>1</v>
          </cell>
          <cell r="S414">
            <v>8.11</v>
          </cell>
          <cell r="T414">
            <v>10425468</v>
          </cell>
          <cell r="U414">
            <v>112009045</v>
          </cell>
          <cell r="V414">
            <v>3764167</v>
          </cell>
          <cell r="W414">
            <v>9.31</v>
          </cell>
        </row>
        <row r="415">
          <cell r="A415" t="str">
            <v>2015VT</v>
          </cell>
          <cell r="B415">
            <v>2015</v>
          </cell>
          <cell r="C415" t="str">
            <v>VT</v>
          </cell>
          <cell r="D415">
            <v>356986</v>
          </cell>
          <cell r="E415">
            <v>2088940</v>
          </cell>
          <cell r="F415">
            <v>312060</v>
          </cell>
          <cell r="G415">
            <v>17.09</v>
          </cell>
          <cell r="H415">
            <v>292344</v>
          </cell>
          <cell r="I415">
            <v>2010568</v>
          </cell>
          <cell r="J415">
            <v>53610</v>
          </cell>
          <cell r="K415">
            <v>14.54</v>
          </cell>
          <cell r="L415">
            <v>146022</v>
          </cell>
          <cell r="M415">
            <v>1421601</v>
          </cell>
          <cell r="N415">
            <v>231</v>
          </cell>
          <cell r="O415">
            <v>10.27</v>
          </cell>
          <cell r="P415">
            <v>0</v>
          </cell>
          <cell r="Q415">
            <v>0</v>
          </cell>
          <cell r="R415">
            <v>0</v>
          </cell>
          <cell r="S415">
            <v>0</v>
          </cell>
          <cell r="T415">
            <v>795352</v>
          </cell>
          <cell r="U415">
            <v>5521109</v>
          </cell>
          <cell r="V415">
            <v>365901</v>
          </cell>
          <cell r="W415">
            <v>14.41</v>
          </cell>
        </row>
        <row r="416">
          <cell r="A416" t="str">
            <v>2015WA</v>
          </cell>
          <cell r="B416">
            <v>2015</v>
          </cell>
          <cell r="C416" t="str">
            <v>WA</v>
          </cell>
          <cell r="D416">
            <v>3098110</v>
          </cell>
          <cell r="E416">
            <v>34071987</v>
          </cell>
          <cell r="F416">
            <v>2945760</v>
          </cell>
          <cell r="G416">
            <v>9.09</v>
          </cell>
          <cell r="H416">
            <v>2405629</v>
          </cell>
          <cell r="I416">
            <v>29266512</v>
          </cell>
          <cell r="J416">
            <v>365095</v>
          </cell>
          <cell r="K416">
            <v>8.2200000000000006</v>
          </cell>
          <cell r="L416">
            <v>1164912</v>
          </cell>
          <cell r="M416">
            <v>26772299</v>
          </cell>
          <cell r="N416">
            <v>29163</v>
          </cell>
          <cell r="O416">
            <v>4.3499999999999996</v>
          </cell>
          <cell r="P416">
            <v>433</v>
          </cell>
          <cell r="Q416">
            <v>5288</v>
          </cell>
          <cell r="R416">
            <v>6</v>
          </cell>
          <cell r="S416">
            <v>8.18</v>
          </cell>
          <cell r="T416">
            <v>6669084</v>
          </cell>
          <cell r="U416">
            <v>90116086</v>
          </cell>
          <cell r="V416">
            <v>3340024</v>
          </cell>
          <cell r="W416">
            <v>7.4</v>
          </cell>
        </row>
        <row r="417">
          <cell r="A417" t="str">
            <v>2015WI</v>
          </cell>
          <cell r="B417">
            <v>2015</v>
          </cell>
          <cell r="C417" t="str">
            <v>WI</v>
          </cell>
          <cell r="D417">
            <v>2994383</v>
          </cell>
          <cell r="E417">
            <v>21214787</v>
          </cell>
          <cell r="F417">
            <v>2647224</v>
          </cell>
          <cell r="G417">
            <v>14.11</v>
          </cell>
          <cell r="H417">
            <v>2561808</v>
          </cell>
          <cell r="I417">
            <v>23514103</v>
          </cell>
          <cell r="J417">
            <v>347456</v>
          </cell>
          <cell r="K417">
            <v>10.89</v>
          </cell>
          <cell r="L417">
            <v>1816081</v>
          </cell>
          <cell r="M417">
            <v>23969851</v>
          </cell>
          <cell r="N417">
            <v>5529</v>
          </cell>
          <cell r="O417">
            <v>7.58</v>
          </cell>
          <cell r="P417">
            <v>28</v>
          </cell>
          <cell r="Q417">
            <v>191</v>
          </cell>
          <cell r="R417">
            <v>1</v>
          </cell>
          <cell r="S417">
            <v>14.66</v>
          </cell>
          <cell r="T417">
            <v>7372300</v>
          </cell>
          <cell r="U417">
            <v>68698932</v>
          </cell>
          <cell r="V417">
            <v>3000210</v>
          </cell>
          <cell r="W417">
            <v>10.73</v>
          </cell>
        </row>
        <row r="418">
          <cell r="A418" t="str">
            <v>2015WV</v>
          </cell>
          <cell r="B418">
            <v>2015</v>
          </cell>
          <cell r="C418" t="str">
            <v>WV</v>
          </cell>
          <cell r="D418">
            <v>1153344</v>
          </cell>
          <cell r="E418">
            <v>11437451</v>
          </cell>
          <cell r="F418">
            <v>861334</v>
          </cell>
          <cell r="G418">
            <v>10.08</v>
          </cell>
          <cell r="H418">
            <v>671690</v>
          </cell>
          <cell r="I418">
            <v>7800740</v>
          </cell>
          <cell r="J418">
            <v>141681</v>
          </cell>
          <cell r="K418">
            <v>8.61</v>
          </cell>
          <cell r="L418">
            <v>795823</v>
          </cell>
          <cell r="M418">
            <v>13064835</v>
          </cell>
          <cell r="N418">
            <v>11949</v>
          </cell>
          <cell r="O418">
            <v>6.09</v>
          </cell>
          <cell r="P418">
            <v>0</v>
          </cell>
          <cell r="Q418">
            <v>0</v>
          </cell>
          <cell r="R418">
            <v>0</v>
          </cell>
          <cell r="S418">
            <v>0</v>
          </cell>
          <cell r="T418">
            <v>2620857</v>
          </cell>
          <cell r="U418">
            <v>32303026</v>
          </cell>
          <cell r="V418">
            <v>1014964</v>
          </cell>
          <cell r="W418">
            <v>8.11</v>
          </cell>
        </row>
        <row r="419">
          <cell r="A419" t="str">
            <v>2015WY</v>
          </cell>
          <cell r="B419">
            <v>2015</v>
          </cell>
          <cell r="C419" t="str">
            <v>WY</v>
          </cell>
          <cell r="D419">
            <v>293517</v>
          </cell>
          <cell r="E419">
            <v>2676702</v>
          </cell>
          <cell r="F419">
            <v>268226</v>
          </cell>
          <cell r="G419">
            <v>10.97</v>
          </cell>
          <cell r="H419">
            <v>358000</v>
          </cell>
          <cell r="I419">
            <v>3924590</v>
          </cell>
          <cell r="J419">
            <v>57686</v>
          </cell>
          <cell r="K419">
            <v>9.1199999999999992</v>
          </cell>
          <cell r="L419">
            <v>697582</v>
          </cell>
          <cell r="M419">
            <v>10323470</v>
          </cell>
          <cell r="N419">
            <v>10559</v>
          </cell>
          <cell r="O419">
            <v>6.76</v>
          </cell>
          <cell r="P419">
            <v>0</v>
          </cell>
          <cell r="Q419">
            <v>0</v>
          </cell>
          <cell r="R419">
            <v>0</v>
          </cell>
          <cell r="S419">
            <v>0</v>
          </cell>
          <cell r="T419">
            <v>1349099</v>
          </cell>
          <cell r="U419">
            <v>16924762</v>
          </cell>
          <cell r="V419">
            <v>336471</v>
          </cell>
          <cell r="W419">
            <v>7.97</v>
          </cell>
        </row>
        <row r="420">
          <cell r="A420" t="str">
            <v>2015US</v>
          </cell>
          <cell r="B420">
            <v>2015</v>
          </cell>
          <cell r="C420" t="str">
            <v>US</v>
          </cell>
          <cell r="D420">
            <v>177623623</v>
          </cell>
          <cell r="E420">
            <v>1404096499</v>
          </cell>
          <cell r="F420">
            <v>129811718</v>
          </cell>
          <cell r="G420">
            <v>12.65</v>
          </cell>
          <cell r="H420">
            <v>144781453</v>
          </cell>
          <cell r="I420">
            <v>1360751527</v>
          </cell>
          <cell r="J420">
            <v>17985690</v>
          </cell>
          <cell r="K420">
            <v>10.64</v>
          </cell>
          <cell r="L420">
            <v>68165883</v>
          </cell>
          <cell r="M420">
            <v>986507732</v>
          </cell>
          <cell r="N420">
            <v>835536</v>
          </cell>
          <cell r="O420">
            <v>6.91</v>
          </cell>
          <cell r="P420">
            <v>770510</v>
          </cell>
          <cell r="Q420">
            <v>7636632</v>
          </cell>
          <cell r="R420">
            <v>78</v>
          </cell>
          <cell r="S420">
            <v>10.09</v>
          </cell>
          <cell r="T420">
            <v>391341468</v>
          </cell>
          <cell r="U420">
            <v>3758992390</v>
          </cell>
          <cell r="V420">
            <v>148633022</v>
          </cell>
          <cell r="W420">
            <v>10.41</v>
          </cell>
        </row>
        <row r="421">
          <cell r="A421" t="str">
            <v>2014AK</v>
          </cell>
          <cell r="B421">
            <v>2014</v>
          </cell>
          <cell r="C421" t="str">
            <v>AK</v>
          </cell>
          <cell r="D421">
            <v>391068</v>
          </cell>
          <cell r="E421">
            <v>2043614</v>
          </cell>
          <cell r="F421">
            <v>281438</v>
          </cell>
          <cell r="G421">
            <v>19.14</v>
          </cell>
          <cell r="H421">
            <v>472078</v>
          </cell>
          <cell r="I421">
            <v>2761518</v>
          </cell>
          <cell r="J421">
            <v>51017</v>
          </cell>
          <cell r="K421">
            <v>17.09</v>
          </cell>
          <cell r="L421">
            <v>212988</v>
          </cell>
          <cell r="M421">
            <v>1359680</v>
          </cell>
          <cell r="N421">
            <v>1287</v>
          </cell>
          <cell r="O421">
            <v>15.66</v>
          </cell>
          <cell r="P421">
            <v>0</v>
          </cell>
          <cell r="Q421">
            <v>0</v>
          </cell>
          <cell r="R421">
            <v>0</v>
          </cell>
          <cell r="S421">
            <v>0</v>
          </cell>
          <cell r="T421">
            <v>1076133</v>
          </cell>
          <cell r="U421">
            <v>6164812</v>
          </cell>
          <cell r="V421">
            <v>333742</v>
          </cell>
          <cell r="W421">
            <v>17.46</v>
          </cell>
        </row>
        <row r="422">
          <cell r="A422" t="str">
            <v>2014AL</v>
          </cell>
          <cell r="B422">
            <v>2014</v>
          </cell>
          <cell r="C422" t="str">
            <v>AL</v>
          </cell>
          <cell r="D422">
            <v>3781917</v>
          </cell>
          <cell r="E422">
            <v>32929598</v>
          </cell>
          <cell r="F422">
            <v>2169790</v>
          </cell>
          <cell r="G422">
            <v>11.48</v>
          </cell>
          <cell r="H422">
            <v>2473586</v>
          </cell>
          <cell r="I422">
            <v>22929309</v>
          </cell>
          <cell r="J422">
            <v>360901</v>
          </cell>
          <cell r="K422">
            <v>10.79</v>
          </cell>
          <cell r="L422">
            <v>2130887</v>
          </cell>
          <cell r="M422">
            <v>34634820</v>
          </cell>
          <cell r="N422">
            <v>7236</v>
          </cell>
          <cell r="O422">
            <v>6.15</v>
          </cell>
          <cell r="P422">
            <v>0</v>
          </cell>
          <cell r="Q422">
            <v>0</v>
          </cell>
          <cell r="R422">
            <v>0</v>
          </cell>
          <cell r="S422">
            <v>0</v>
          </cell>
          <cell r="T422">
            <v>8386390</v>
          </cell>
          <cell r="U422">
            <v>90493727</v>
          </cell>
          <cell r="V422">
            <v>2537927</v>
          </cell>
          <cell r="W422">
            <v>9.27</v>
          </cell>
        </row>
        <row r="423">
          <cell r="A423" t="str">
            <v>2014AR</v>
          </cell>
          <cell r="B423">
            <v>2014</v>
          </cell>
          <cell r="C423" t="str">
            <v>AR</v>
          </cell>
          <cell r="D423">
            <v>1753284</v>
          </cell>
          <cell r="E423">
            <v>18441119</v>
          </cell>
          <cell r="F423">
            <v>1345009</v>
          </cell>
          <cell r="G423">
            <v>9.51</v>
          </cell>
          <cell r="H423">
            <v>964795</v>
          </cell>
          <cell r="I423">
            <v>11988033</v>
          </cell>
          <cell r="J423">
            <v>185842</v>
          </cell>
          <cell r="K423">
            <v>8.0500000000000007</v>
          </cell>
          <cell r="L423">
            <v>1002428</v>
          </cell>
          <cell r="M423">
            <v>16650718</v>
          </cell>
          <cell r="N423">
            <v>35685</v>
          </cell>
          <cell r="O423">
            <v>6.02</v>
          </cell>
          <cell r="P423">
            <v>49</v>
          </cell>
          <cell r="Q423">
            <v>431</v>
          </cell>
          <cell r="R423">
            <v>2</v>
          </cell>
          <cell r="S423">
            <v>11.35</v>
          </cell>
          <cell r="T423">
            <v>3720556</v>
          </cell>
          <cell r="U423">
            <v>47080301</v>
          </cell>
          <cell r="V423">
            <v>1566538</v>
          </cell>
          <cell r="W423">
            <v>7.9</v>
          </cell>
        </row>
        <row r="424">
          <cell r="A424" t="str">
            <v>2014AZ</v>
          </cell>
          <cell r="B424">
            <v>2014</v>
          </cell>
          <cell r="C424" t="str">
            <v>AZ</v>
          </cell>
          <cell r="D424">
            <v>3848998</v>
          </cell>
          <cell r="E424">
            <v>32346079</v>
          </cell>
          <cell r="F424">
            <v>2661694</v>
          </cell>
          <cell r="G424">
            <v>11.9</v>
          </cell>
          <cell r="H424">
            <v>2967741</v>
          </cell>
          <cell r="I424">
            <v>29289879</v>
          </cell>
          <cell r="J424">
            <v>312221</v>
          </cell>
          <cell r="K424">
            <v>10.130000000000001</v>
          </cell>
          <cell r="L424">
            <v>947683</v>
          </cell>
          <cell r="M424">
            <v>14661727</v>
          </cell>
          <cell r="N424">
            <v>7710</v>
          </cell>
          <cell r="O424">
            <v>6.46</v>
          </cell>
          <cell r="P424">
            <v>0</v>
          </cell>
          <cell r="Q424">
            <v>0</v>
          </cell>
          <cell r="R424">
            <v>0</v>
          </cell>
          <cell r="S424">
            <v>0</v>
          </cell>
          <cell r="T424">
            <v>7764422</v>
          </cell>
          <cell r="U424">
            <v>76297685</v>
          </cell>
          <cell r="V424">
            <v>2981625</v>
          </cell>
          <cell r="W424">
            <v>10.18</v>
          </cell>
        </row>
        <row r="425">
          <cell r="A425" t="str">
            <v>2014CA</v>
          </cell>
          <cell r="B425">
            <v>2014</v>
          </cell>
          <cell r="C425" t="str">
            <v>CA</v>
          </cell>
          <cell r="D425">
            <v>14517393</v>
          </cell>
          <cell r="E425">
            <v>89360680</v>
          </cell>
          <cell r="F425">
            <v>13256068</v>
          </cell>
          <cell r="G425">
            <v>16.25</v>
          </cell>
          <cell r="H425">
            <v>18663231</v>
          </cell>
          <cell r="I425">
            <v>119494062</v>
          </cell>
          <cell r="J425">
            <v>1676201</v>
          </cell>
          <cell r="K425">
            <v>15.62</v>
          </cell>
          <cell r="L425">
            <v>6525678</v>
          </cell>
          <cell r="M425">
            <v>52898430</v>
          </cell>
          <cell r="N425">
            <v>146944</v>
          </cell>
          <cell r="O425">
            <v>12.34</v>
          </cell>
          <cell r="P425">
            <v>74025</v>
          </cell>
          <cell r="Q425">
            <v>831614</v>
          </cell>
          <cell r="R425">
            <v>13</v>
          </cell>
          <cell r="S425">
            <v>8.9</v>
          </cell>
          <cell r="T425">
            <v>39780326</v>
          </cell>
          <cell r="U425">
            <v>262584786</v>
          </cell>
          <cell r="V425">
            <v>15079226</v>
          </cell>
          <cell r="W425">
            <v>15.15</v>
          </cell>
        </row>
        <row r="426">
          <cell r="A426" t="str">
            <v>2014CO</v>
          </cell>
          <cell r="B426">
            <v>2014</v>
          </cell>
          <cell r="C426" t="str">
            <v>CO</v>
          </cell>
          <cell r="D426">
            <v>2203838</v>
          </cell>
          <cell r="E426">
            <v>18092932</v>
          </cell>
          <cell r="F426">
            <v>2193520</v>
          </cell>
          <cell r="G426">
            <v>12.18</v>
          </cell>
          <cell r="H426">
            <v>2029053</v>
          </cell>
          <cell r="I426">
            <v>20129360</v>
          </cell>
          <cell r="J426">
            <v>360237</v>
          </cell>
          <cell r="K426">
            <v>10.08</v>
          </cell>
          <cell r="L426">
            <v>1129370</v>
          </cell>
          <cell r="M426">
            <v>15110188</v>
          </cell>
          <cell r="N426">
            <v>19234</v>
          </cell>
          <cell r="O426">
            <v>7.47</v>
          </cell>
          <cell r="P426">
            <v>6910</v>
          </cell>
          <cell r="Q426">
            <v>64041</v>
          </cell>
          <cell r="R426">
            <v>1</v>
          </cell>
          <cell r="S426">
            <v>10.79</v>
          </cell>
          <cell r="T426">
            <v>5369170</v>
          </cell>
          <cell r="U426">
            <v>53396521</v>
          </cell>
          <cell r="V426">
            <v>2572992</v>
          </cell>
          <cell r="W426">
            <v>10.06</v>
          </cell>
        </row>
        <row r="427">
          <cell r="A427" t="str">
            <v>2014CT</v>
          </cell>
          <cell r="B427">
            <v>2014</v>
          </cell>
          <cell r="C427" t="str">
            <v>CT</v>
          </cell>
          <cell r="D427">
            <v>2523349</v>
          </cell>
          <cell r="E427">
            <v>12777579</v>
          </cell>
          <cell r="F427">
            <v>1459239</v>
          </cell>
          <cell r="G427">
            <v>19.75</v>
          </cell>
          <cell r="H427">
            <v>2004629</v>
          </cell>
          <cell r="I427">
            <v>12893531</v>
          </cell>
          <cell r="J427">
            <v>155372</v>
          </cell>
          <cell r="K427">
            <v>15.55</v>
          </cell>
          <cell r="L427">
            <v>453957</v>
          </cell>
          <cell r="M427">
            <v>3514798</v>
          </cell>
          <cell r="N427">
            <v>4648</v>
          </cell>
          <cell r="O427">
            <v>12.92</v>
          </cell>
          <cell r="P427">
            <v>22043</v>
          </cell>
          <cell r="Q427">
            <v>168552</v>
          </cell>
          <cell r="R427">
            <v>4</v>
          </cell>
          <cell r="S427">
            <v>13.08</v>
          </cell>
          <cell r="T427">
            <v>5003978</v>
          </cell>
          <cell r="U427">
            <v>29354460</v>
          </cell>
          <cell r="V427">
            <v>1619263</v>
          </cell>
          <cell r="W427">
            <v>17.05</v>
          </cell>
        </row>
        <row r="428">
          <cell r="A428" t="str">
            <v>2014DC</v>
          </cell>
          <cell r="B428">
            <v>2014</v>
          </cell>
          <cell r="C428" t="str">
            <v>DC</v>
          </cell>
          <cell r="D428">
            <v>263973</v>
          </cell>
          <cell r="E428">
            <v>2072205</v>
          </cell>
          <cell r="F428">
            <v>239355</v>
          </cell>
          <cell r="G428">
            <v>12.74</v>
          </cell>
          <cell r="H428">
            <v>1042419</v>
          </cell>
          <cell r="I428">
            <v>8548237</v>
          </cell>
          <cell r="J428">
            <v>26463</v>
          </cell>
          <cell r="K428">
            <v>12.19</v>
          </cell>
          <cell r="L428">
            <v>20367</v>
          </cell>
          <cell r="M428">
            <v>242149</v>
          </cell>
          <cell r="N428">
            <v>1</v>
          </cell>
          <cell r="O428">
            <v>8.41</v>
          </cell>
          <cell r="P428">
            <v>29119</v>
          </cell>
          <cell r="Q428">
            <v>330998</v>
          </cell>
          <cell r="R428">
            <v>1</v>
          </cell>
          <cell r="S428">
            <v>8.8000000000000007</v>
          </cell>
          <cell r="T428">
            <v>1355878</v>
          </cell>
          <cell r="U428">
            <v>11193589</v>
          </cell>
          <cell r="V428">
            <v>265820</v>
          </cell>
          <cell r="W428">
            <v>12.11</v>
          </cell>
        </row>
        <row r="429">
          <cell r="A429" t="str">
            <v>2014DE</v>
          </cell>
          <cell r="B429">
            <v>2014</v>
          </cell>
          <cell r="C429" t="str">
            <v>DE</v>
          </cell>
          <cell r="D429">
            <v>617400</v>
          </cell>
          <cell r="E429">
            <v>4644841</v>
          </cell>
          <cell r="F429">
            <v>407508</v>
          </cell>
          <cell r="G429">
            <v>13.29</v>
          </cell>
          <cell r="H429">
            <v>440657</v>
          </cell>
          <cell r="I429">
            <v>4197298</v>
          </cell>
          <cell r="J429">
            <v>52203</v>
          </cell>
          <cell r="K429">
            <v>10.5</v>
          </cell>
          <cell r="L429">
            <v>214197</v>
          </cell>
          <cell r="M429">
            <v>2496338</v>
          </cell>
          <cell r="N429">
            <v>862</v>
          </cell>
          <cell r="O429">
            <v>8.58</v>
          </cell>
          <cell r="P429">
            <v>0</v>
          </cell>
          <cell r="Q429">
            <v>0</v>
          </cell>
          <cell r="R429">
            <v>0</v>
          </cell>
          <cell r="S429">
            <v>0</v>
          </cell>
          <cell r="T429">
            <v>1272255</v>
          </cell>
          <cell r="U429">
            <v>11338477</v>
          </cell>
          <cell r="V429">
            <v>460573</v>
          </cell>
          <cell r="W429">
            <v>11.22</v>
          </cell>
        </row>
        <row r="430">
          <cell r="A430" t="str">
            <v>2014FL</v>
          </cell>
          <cell r="B430">
            <v>2014</v>
          </cell>
          <cell r="C430" t="str">
            <v>FL</v>
          </cell>
          <cell r="D430">
            <v>13854538</v>
          </cell>
          <cell r="E430">
            <v>116535263</v>
          </cell>
          <cell r="F430">
            <v>8891020</v>
          </cell>
          <cell r="G430">
            <v>11.89</v>
          </cell>
          <cell r="H430">
            <v>9169986</v>
          </cell>
          <cell r="I430">
            <v>92925670</v>
          </cell>
          <cell r="J430">
            <v>1180768</v>
          </cell>
          <cell r="K430">
            <v>9.8699999999999992</v>
          </cell>
          <cell r="L430">
            <v>1306052</v>
          </cell>
          <cell r="M430">
            <v>16522425</v>
          </cell>
          <cell r="N430">
            <v>18779</v>
          </cell>
          <cell r="O430">
            <v>7.9</v>
          </cell>
          <cell r="P430">
            <v>8760</v>
          </cell>
          <cell r="Q430">
            <v>94753</v>
          </cell>
          <cell r="R430">
            <v>2</v>
          </cell>
          <cell r="S430">
            <v>9.25</v>
          </cell>
          <cell r="T430">
            <v>24339336</v>
          </cell>
          <cell r="U430">
            <v>226078111</v>
          </cell>
          <cell r="V430">
            <v>10090569</v>
          </cell>
          <cell r="W430">
            <v>10.77</v>
          </cell>
        </row>
        <row r="431">
          <cell r="A431" t="str">
            <v>2014GA</v>
          </cell>
          <cell r="B431">
            <v>2014</v>
          </cell>
          <cell r="C431" t="str">
            <v>GA</v>
          </cell>
          <cell r="D431">
            <v>6659464</v>
          </cell>
          <cell r="E431">
            <v>57167387</v>
          </cell>
          <cell r="F431">
            <v>4137057</v>
          </cell>
          <cell r="G431">
            <v>11.65</v>
          </cell>
          <cell r="H431">
            <v>4827025</v>
          </cell>
          <cell r="I431">
            <v>46608275</v>
          </cell>
          <cell r="J431">
            <v>552712</v>
          </cell>
          <cell r="K431">
            <v>10.36</v>
          </cell>
          <cell r="L431">
            <v>2115659</v>
          </cell>
          <cell r="M431">
            <v>31849136</v>
          </cell>
          <cell r="N431">
            <v>20300</v>
          </cell>
          <cell r="O431">
            <v>6.64</v>
          </cell>
          <cell r="P431">
            <v>11527</v>
          </cell>
          <cell r="Q431">
            <v>165134</v>
          </cell>
          <cell r="R431">
            <v>1</v>
          </cell>
          <cell r="S431">
            <v>6.98</v>
          </cell>
          <cell r="T431">
            <v>13613674</v>
          </cell>
          <cell r="U431">
            <v>135789932</v>
          </cell>
          <cell r="V431">
            <v>4710070</v>
          </cell>
          <cell r="W431">
            <v>10.029999999999999</v>
          </cell>
        </row>
        <row r="432">
          <cell r="A432" t="str">
            <v>2014HI</v>
          </cell>
          <cell r="B432">
            <v>2014</v>
          </cell>
          <cell r="C432" t="str">
            <v>HI</v>
          </cell>
          <cell r="D432">
            <v>957073</v>
          </cell>
          <cell r="E432">
            <v>2583770</v>
          </cell>
          <cell r="F432">
            <v>425168</v>
          </cell>
          <cell r="G432">
            <v>37.04</v>
          </cell>
          <cell r="H432">
            <v>1095476</v>
          </cell>
          <cell r="I432">
            <v>3201898</v>
          </cell>
          <cell r="J432">
            <v>60679</v>
          </cell>
          <cell r="K432">
            <v>34.21</v>
          </cell>
          <cell r="L432">
            <v>1114946</v>
          </cell>
          <cell r="M432">
            <v>3689784</v>
          </cell>
          <cell r="N432">
            <v>716</v>
          </cell>
          <cell r="O432">
            <v>30.22</v>
          </cell>
          <cell r="P432">
            <v>0</v>
          </cell>
          <cell r="Q432">
            <v>0</v>
          </cell>
          <cell r="R432">
            <v>0</v>
          </cell>
          <cell r="S432">
            <v>0</v>
          </cell>
          <cell r="T432">
            <v>3167495</v>
          </cell>
          <cell r="U432">
            <v>9475452</v>
          </cell>
          <cell r="V432">
            <v>486563</v>
          </cell>
          <cell r="W432">
            <v>33.43</v>
          </cell>
        </row>
        <row r="433">
          <cell r="A433" t="str">
            <v>2014IA</v>
          </cell>
          <cell r="B433">
            <v>2014</v>
          </cell>
          <cell r="C433" t="str">
            <v>IA</v>
          </cell>
          <cell r="D433">
            <v>1610036</v>
          </cell>
          <cell r="E433">
            <v>14426582</v>
          </cell>
          <cell r="F433">
            <v>1348641</v>
          </cell>
          <cell r="G433">
            <v>11.16</v>
          </cell>
          <cell r="H433">
            <v>1070319</v>
          </cell>
          <cell r="I433">
            <v>12339098</v>
          </cell>
          <cell r="J433">
            <v>224187</v>
          </cell>
          <cell r="K433">
            <v>8.67</v>
          </cell>
          <cell r="L433">
            <v>1166905</v>
          </cell>
          <cell r="M433">
            <v>20436173</v>
          </cell>
          <cell r="N433">
            <v>7399</v>
          </cell>
          <cell r="O433">
            <v>5.71</v>
          </cell>
          <cell r="P433">
            <v>0</v>
          </cell>
          <cell r="Q433">
            <v>0</v>
          </cell>
          <cell r="R433">
            <v>0</v>
          </cell>
          <cell r="S433">
            <v>0</v>
          </cell>
          <cell r="T433">
            <v>3847259</v>
          </cell>
          <cell r="U433">
            <v>47201853</v>
          </cell>
          <cell r="V433">
            <v>1580227</v>
          </cell>
          <cell r="W433">
            <v>8.15</v>
          </cell>
        </row>
        <row r="434">
          <cell r="A434" t="str">
            <v>2014ID</v>
          </cell>
          <cell r="B434">
            <v>2014</v>
          </cell>
          <cell r="C434" t="str">
            <v>ID</v>
          </cell>
          <cell r="D434">
            <v>791099</v>
          </cell>
          <cell r="E434">
            <v>8134913</v>
          </cell>
          <cell r="F434">
            <v>690277</v>
          </cell>
          <cell r="G434">
            <v>9.7200000000000006</v>
          </cell>
          <cell r="H434">
            <v>476481</v>
          </cell>
          <cell r="I434">
            <v>6127911</v>
          </cell>
          <cell r="J434">
            <v>104463</v>
          </cell>
          <cell r="K434">
            <v>7.78</v>
          </cell>
          <cell r="L434">
            <v>573888</v>
          </cell>
          <cell r="M434">
            <v>8970460</v>
          </cell>
          <cell r="N434">
            <v>27127</v>
          </cell>
          <cell r="O434">
            <v>6.4</v>
          </cell>
          <cell r="P434">
            <v>0</v>
          </cell>
          <cell r="Q434">
            <v>0</v>
          </cell>
          <cell r="R434">
            <v>0</v>
          </cell>
          <cell r="S434">
            <v>0</v>
          </cell>
          <cell r="T434">
            <v>1841468</v>
          </cell>
          <cell r="U434">
            <v>23233284</v>
          </cell>
          <cell r="V434">
            <v>821867</v>
          </cell>
          <cell r="W434">
            <v>7.93</v>
          </cell>
        </row>
        <row r="435">
          <cell r="A435" t="str">
            <v>2014IL</v>
          </cell>
          <cell r="B435">
            <v>2014</v>
          </cell>
          <cell r="C435" t="str">
            <v>IL</v>
          </cell>
          <cell r="D435">
            <v>5481125</v>
          </cell>
          <cell r="E435">
            <v>46009458</v>
          </cell>
          <cell r="F435">
            <v>5145022</v>
          </cell>
          <cell r="G435">
            <v>11.91</v>
          </cell>
          <cell r="H435">
            <v>4687910</v>
          </cell>
          <cell r="I435">
            <v>50619480</v>
          </cell>
          <cell r="J435">
            <v>600246</v>
          </cell>
          <cell r="K435">
            <v>9.26</v>
          </cell>
          <cell r="L435">
            <v>3037246</v>
          </cell>
          <cell r="M435">
            <v>44329683</v>
          </cell>
          <cell r="N435">
            <v>6098</v>
          </cell>
          <cell r="O435">
            <v>6.85</v>
          </cell>
          <cell r="P435">
            <v>39853</v>
          </cell>
          <cell r="Q435">
            <v>581666</v>
          </cell>
          <cell r="R435">
            <v>3</v>
          </cell>
          <cell r="S435">
            <v>6.85</v>
          </cell>
          <cell r="T435">
            <v>13246133</v>
          </cell>
          <cell r="U435">
            <v>141540287</v>
          </cell>
          <cell r="V435">
            <v>5751369</v>
          </cell>
          <cell r="W435">
            <v>9.36</v>
          </cell>
        </row>
        <row r="436">
          <cell r="A436" t="str">
            <v>2014IN</v>
          </cell>
          <cell r="B436">
            <v>2014</v>
          </cell>
          <cell r="C436" t="str">
            <v>IN</v>
          </cell>
          <cell r="D436">
            <v>3861636</v>
          </cell>
          <cell r="E436">
            <v>33703965</v>
          </cell>
          <cell r="F436">
            <v>2784660</v>
          </cell>
          <cell r="G436">
            <v>11.46</v>
          </cell>
          <cell r="H436">
            <v>2403018</v>
          </cell>
          <cell r="I436">
            <v>24129606</v>
          </cell>
          <cell r="J436">
            <v>348699</v>
          </cell>
          <cell r="K436">
            <v>9.9600000000000009</v>
          </cell>
          <cell r="L436">
            <v>3419485</v>
          </cell>
          <cell r="M436">
            <v>49088427</v>
          </cell>
          <cell r="N436">
            <v>18106</v>
          </cell>
          <cell r="O436">
            <v>6.97</v>
          </cell>
          <cell r="P436">
            <v>2091</v>
          </cell>
          <cell r="Q436">
            <v>20506</v>
          </cell>
          <cell r="R436">
            <v>1</v>
          </cell>
          <cell r="S436">
            <v>10.199999999999999</v>
          </cell>
          <cell r="T436">
            <v>9686229</v>
          </cell>
          <cell r="U436">
            <v>106942504</v>
          </cell>
          <cell r="V436">
            <v>3151466</v>
          </cell>
          <cell r="W436">
            <v>9.06</v>
          </cell>
        </row>
        <row r="437">
          <cell r="A437" t="str">
            <v>2014KS</v>
          </cell>
          <cell r="B437">
            <v>2014</v>
          </cell>
          <cell r="C437" t="str">
            <v>KS</v>
          </cell>
          <cell r="D437">
            <v>1665583</v>
          </cell>
          <cell r="E437">
            <v>13684952</v>
          </cell>
          <cell r="F437">
            <v>1228858</v>
          </cell>
          <cell r="G437">
            <v>12.17</v>
          </cell>
          <cell r="H437">
            <v>1558211</v>
          </cell>
          <cell r="I437">
            <v>15382745</v>
          </cell>
          <cell r="J437">
            <v>226043</v>
          </cell>
          <cell r="K437">
            <v>10.130000000000001</v>
          </cell>
          <cell r="L437">
            <v>896511</v>
          </cell>
          <cell r="M437">
            <v>11493909</v>
          </cell>
          <cell r="N437">
            <v>26787</v>
          </cell>
          <cell r="O437">
            <v>7.8</v>
          </cell>
          <cell r="P437">
            <v>0</v>
          </cell>
          <cell r="Q437">
            <v>0</v>
          </cell>
          <cell r="R437">
            <v>0</v>
          </cell>
          <cell r="S437">
            <v>0</v>
          </cell>
          <cell r="T437">
            <v>4120305</v>
          </cell>
          <cell r="U437">
            <v>40561606</v>
          </cell>
          <cell r="V437">
            <v>1481688</v>
          </cell>
          <cell r="W437">
            <v>10.16</v>
          </cell>
        </row>
        <row r="438">
          <cell r="A438" t="str">
            <v>2014KY</v>
          </cell>
          <cell r="B438">
            <v>2014</v>
          </cell>
          <cell r="C438" t="str">
            <v>KY</v>
          </cell>
          <cell r="D438">
            <v>2785001</v>
          </cell>
          <cell r="E438">
            <v>27399768</v>
          </cell>
          <cell r="F438">
            <v>1939489</v>
          </cell>
          <cell r="G438">
            <v>10.16</v>
          </cell>
          <cell r="H438">
            <v>1807976</v>
          </cell>
          <cell r="I438">
            <v>19156540</v>
          </cell>
          <cell r="J438">
            <v>297182</v>
          </cell>
          <cell r="K438">
            <v>9.44</v>
          </cell>
          <cell r="L438">
            <v>1832517</v>
          </cell>
          <cell r="M438">
            <v>32282616</v>
          </cell>
          <cell r="N438">
            <v>7376</v>
          </cell>
          <cell r="O438">
            <v>5.68</v>
          </cell>
          <cell r="P438">
            <v>0</v>
          </cell>
          <cell r="Q438">
            <v>0</v>
          </cell>
          <cell r="R438">
            <v>0</v>
          </cell>
          <cell r="S438">
            <v>0</v>
          </cell>
          <cell r="T438">
            <v>6425494</v>
          </cell>
          <cell r="U438">
            <v>78838924</v>
          </cell>
          <cell r="V438">
            <v>2244047</v>
          </cell>
          <cell r="W438">
            <v>8.15</v>
          </cell>
        </row>
        <row r="439">
          <cell r="A439" t="str">
            <v>2014LA</v>
          </cell>
          <cell r="B439">
            <v>2014</v>
          </cell>
          <cell r="C439" t="str">
            <v>LA</v>
          </cell>
          <cell r="D439">
            <v>3005472</v>
          </cell>
          <cell r="E439">
            <v>31400683</v>
          </cell>
          <cell r="F439">
            <v>2026223</v>
          </cell>
          <cell r="G439">
            <v>9.57</v>
          </cell>
          <cell r="H439">
            <v>2229210</v>
          </cell>
          <cell r="I439">
            <v>24492775</v>
          </cell>
          <cell r="J439">
            <v>297789</v>
          </cell>
          <cell r="K439">
            <v>9.1</v>
          </cell>
          <cell r="L439">
            <v>2099881</v>
          </cell>
          <cell r="M439">
            <v>34723345</v>
          </cell>
          <cell r="N439">
            <v>19553</v>
          </cell>
          <cell r="O439">
            <v>6.05</v>
          </cell>
          <cell r="P439">
            <v>1068</v>
          </cell>
          <cell r="Q439">
            <v>11513</v>
          </cell>
          <cell r="R439">
            <v>1</v>
          </cell>
          <cell r="S439">
            <v>9.27</v>
          </cell>
          <cell r="T439">
            <v>7335630</v>
          </cell>
          <cell r="U439">
            <v>90628316</v>
          </cell>
          <cell r="V439">
            <v>2343566</v>
          </cell>
          <cell r="W439">
            <v>8.09</v>
          </cell>
        </row>
        <row r="440">
          <cell r="A440" t="str">
            <v>2014MA</v>
          </cell>
          <cell r="B440">
            <v>2014</v>
          </cell>
          <cell r="C440" t="str">
            <v>MA</v>
          </cell>
          <cell r="D440">
            <v>3490569</v>
          </cell>
          <cell r="E440">
            <v>20071160</v>
          </cell>
          <cell r="F440">
            <v>2720128</v>
          </cell>
          <cell r="G440">
            <v>17.39</v>
          </cell>
          <cell r="H440">
            <v>3827051</v>
          </cell>
          <cell r="I440">
            <v>26076208</v>
          </cell>
          <cell r="J440">
            <v>398717</v>
          </cell>
          <cell r="K440">
            <v>14.68</v>
          </cell>
          <cell r="L440">
            <v>1014262</v>
          </cell>
          <cell r="M440">
            <v>7960941</v>
          </cell>
          <cell r="N440">
            <v>14896</v>
          </cell>
          <cell r="O440">
            <v>12.74</v>
          </cell>
          <cell r="P440">
            <v>31636</v>
          </cell>
          <cell r="Q440">
            <v>360983</v>
          </cell>
          <cell r="R440">
            <v>3</v>
          </cell>
          <cell r="S440">
            <v>8.76</v>
          </cell>
          <cell r="T440">
            <v>8363519</v>
          </cell>
          <cell r="U440">
            <v>54469292</v>
          </cell>
          <cell r="V440">
            <v>3133744</v>
          </cell>
          <cell r="W440">
            <v>15.35</v>
          </cell>
        </row>
        <row r="441">
          <cell r="A441" t="str">
            <v>2014MD</v>
          </cell>
          <cell r="B441">
            <v>2014</v>
          </cell>
          <cell r="C441" t="str">
            <v>MD</v>
          </cell>
          <cell r="D441">
            <v>3746115</v>
          </cell>
          <cell r="E441">
            <v>27487633</v>
          </cell>
          <cell r="F441">
            <v>2234962</v>
          </cell>
          <cell r="G441">
            <v>13.63</v>
          </cell>
          <cell r="H441">
            <v>3324584</v>
          </cell>
          <cell r="I441">
            <v>29804342</v>
          </cell>
          <cell r="J441">
            <v>248362</v>
          </cell>
          <cell r="K441">
            <v>11.15</v>
          </cell>
          <cell r="L441">
            <v>347692</v>
          </cell>
          <cell r="M441">
            <v>3847954</v>
          </cell>
          <cell r="N441">
            <v>8780</v>
          </cell>
          <cell r="O441">
            <v>9.0399999999999991</v>
          </cell>
          <cell r="P441">
            <v>46246</v>
          </cell>
          <cell r="Q441">
            <v>543940</v>
          </cell>
          <cell r="R441">
            <v>5</v>
          </cell>
          <cell r="S441">
            <v>8.5</v>
          </cell>
          <cell r="T441">
            <v>7464636</v>
          </cell>
          <cell r="U441">
            <v>61683869</v>
          </cell>
          <cell r="V441">
            <v>2492109</v>
          </cell>
          <cell r="W441">
            <v>12.1</v>
          </cell>
        </row>
        <row r="442">
          <cell r="A442" t="str">
            <v>2014ME</v>
          </cell>
          <cell r="B442">
            <v>2014</v>
          </cell>
          <cell r="C442" t="str">
            <v>ME</v>
          </cell>
          <cell r="D442">
            <v>711813</v>
          </cell>
          <cell r="E442">
            <v>4660605</v>
          </cell>
          <cell r="F442">
            <v>706952</v>
          </cell>
          <cell r="G442">
            <v>15.27</v>
          </cell>
          <cell r="H442">
            <v>506147</v>
          </cell>
          <cell r="I442">
            <v>3984570</v>
          </cell>
          <cell r="J442">
            <v>91541</v>
          </cell>
          <cell r="K442">
            <v>12.7</v>
          </cell>
          <cell r="L442">
            <v>300412</v>
          </cell>
          <cell r="M442">
            <v>3357486</v>
          </cell>
          <cell r="N442">
            <v>3023</v>
          </cell>
          <cell r="O442">
            <v>8.9499999999999993</v>
          </cell>
          <cell r="P442">
            <v>0</v>
          </cell>
          <cell r="Q442">
            <v>0</v>
          </cell>
          <cell r="R442">
            <v>0</v>
          </cell>
          <cell r="S442">
            <v>0</v>
          </cell>
          <cell r="T442">
            <v>1518372</v>
          </cell>
          <cell r="U442">
            <v>12002661</v>
          </cell>
          <cell r="V442">
            <v>801516</v>
          </cell>
          <cell r="W442">
            <v>12.65</v>
          </cell>
        </row>
        <row r="443">
          <cell r="A443" t="str">
            <v>2014MI</v>
          </cell>
          <cell r="B443">
            <v>2014</v>
          </cell>
          <cell r="C443" t="str">
            <v>MI</v>
          </cell>
          <cell r="D443">
            <v>4846496</v>
          </cell>
          <cell r="E443">
            <v>33514991</v>
          </cell>
          <cell r="F443">
            <v>4273126</v>
          </cell>
          <cell r="G443">
            <v>14.46</v>
          </cell>
          <cell r="H443">
            <v>4060031</v>
          </cell>
          <cell r="I443">
            <v>37348927</v>
          </cell>
          <cell r="J443">
            <v>522422</v>
          </cell>
          <cell r="K443">
            <v>10.87</v>
          </cell>
          <cell r="L443">
            <v>2491113</v>
          </cell>
          <cell r="M443">
            <v>32445935</v>
          </cell>
          <cell r="N443">
            <v>13289</v>
          </cell>
          <cell r="O443">
            <v>7.68</v>
          </cell>
          <cell r="P443">
            <v>400</v>
          </cell>
          <cell r="Q443">
            <v>4245</v>
          </cell>
          <cell r="R443">
            <v>2</v>
          </cell>
          <cell r="S443">
            <v>9.43</v>
          </cell>
          <cell r="T443">
            <v>11398040</v>
          </cell>
          <cell r="U443">
            <v>103314098</v>
          </cell>
          <cell r="V443">
            <v>4808839</v>
          </cell>
          <cell r="W443">
            <v>11.03</v>
          </cell>
        </row>
        <row r="444">
          <cell r="A444" t="str">
            <v>2014MN</v>
          </cell>
          <cell r="B444">
            <v>2014</v>
          </cell>
          <cell r="C444" t="str">
            <v>MN</v>
          </cell>
          <cell r="D444">
            <v>2737895</v>
          </cell>
          <cell r="E444">
            <v>22791466</v>
          </cell>
          <cell r="F444">
            <v>2345860</v>
          </cell>
          <cell r="G444">
            <v>12.01</v>
          </cell>
          <cell r="H444">
            <v>2249026</v>
          </cell>
          <cell r="I444">
            <v>22827840</v>
          </cell>
          <cell r="J444">
            <v>284978</v>
          </cell>
          <cell r="K444">
            <v>9.85</v>
          </cell>
          <cell r="L444">
            <v>1551691</v>
          </cell>
          <cell r="M444">
            <v>23076348</v>
          </cell>
          <cell r="N444">
            <v>9898</v>
          </cell>
          <cell r="O444">
            <v>6.72</v>
          </cell>
          <cell r="P444">
            <v>2321</v>
          </cell>
          <cell r="Q444">
            <v>23713</v>
          </cell>
          <cell r="R444">
            <v>1</v>
          </cell>
          <cell r="S444">
            <v>9.7899999999999991</v>
          </cell>
          <cell r="T444">
            <v>6540932</v>
          </cell>
          <cell r="U444">
            <v>68719367</v>
          </cell>
          <cell r="V444">
            <v>2640737</v>
          </cell>
          <cell r="W444">
            <v>9.52</v>
          </cell>
        </row>
        <row r="445">
          <cell r="A445" t="str">
            <v>2014MO</v>
          </cell>
          <cell r="B445">
            <v>2014</v>
          </cell>
          <cell r="C445" t="str">
            <v>MO</v>
          </cell>
          <cell r="D445">
            <v>3807788</v>
          </cell>
          <cell r="E445">
            <v>35792644</v>
          </cell>
          <cell r="F445">
            <v>2724541</v>
          </cell>
          <cell r="G445">
            <v>10.64</v>
          </cell>
          <cell r="H445">
            <v>2728701</v>
          </cell>
          <cell r="I445">
            <v>30665251</v>
          </cell>
          <cell r="J445">
            <v>371495</v>
          </cell>
          <cell r="K445">
            <v>8.9</v>
          </cell>
          <cell r="L445">
            <v>1106218</v>
          </cell>
          <cell r="M445">
            <v>17398747</v>
          </cell>
          <cell r="N445">
            <v>10282</v>
          </cell>
          <cell r="O445">
            <v>6.36</v>
          </cell>
          <cell r="P445">
            <v>1700</v>
          </cell>
          <cell r="Q445">
            <v>21755</v>
          </cell>
          <cell r="R445">
            <v>1</v>
          </cell>
          <cell r="S445">
            <v>7.81</v>
          </cell>
          <cell r="T445">
            <v>7644407</v>
          </cell>
          <cell r="U445">
            <v>83878397</v>
          </cell>
          <cell r="V445">
            <v>3106319</v>
          </cell>
          <cell r="W445">
            <v>9.11</v>
          </cell>
        </row>
        <row r="446">
          <cell r="A446" t="str">
            <v>2014MS</v>
          </cell>
          <cell r="B446">
            <v>2014</v>
          </cell>
          <cell r="C446" t="str">
            <v>MS</v>
          </cell>
          <cell r="D446">
            <v>2141264</v>
          </cell>
          <cell r="E446">
            <v>18922097</v>
          </cell>
          <cell r="F446">
            <v>1263583</v>
          </cell>
          <cell r="G446">
            <v>11.32</v>
          </cell>
          <cell r="H446">
            <v>1525368</v>
          </cell>
          <cell r="I446">
            <v>14174583</v>
          </cell>
          <cell r="J446">
            <v>230416</v>
          </cell>
          <cell r="K446">
            <v>10.76</v>
          </cell>
          <cell r="L446">
            <v>1077019</v>
          </cell>
          <cell r="M446">
            <v>16311951</v>
          </cell>
          <cell r="N446">
            <v>10922</v>
          </cell>
          <cell r="O446">
            <v>6.6</v>
          </cell>
          <cell r="P446">
            <v>0</v>
          </cell>
          <cell r="Q446">
            <v>0</v>
          </cell>
          <cell r="R446">
            <v>0</v>
          </cell>
          <cell r="S446">
            <v>0</v>
          </cell>
          <cell r="T446">
            <v>4743652</v>
          </cell>
          <cell r="U446">
            <v>49408631</v>
          </cell>
          <cell r="V446">
            <v>1504921</v>
          </cell>
          <cell r="W446">
            <v>9.6</v>
          </cell>
        </row>
        <row r="447">
          <cell r="A447" t="str">
            <v>2014MT</v>
          </cell>
          <cell r="B447">
            <v>2014</v>
          </cell>
          <cell r="C447" t="str">
            <v>MT</v>
          </cell>
          <cell r="D447">
            <v>505962</v>
          </cell>
          <cell r="E447">
            <v>4969243</v>
          </cell>
          <cell r="F447">
            <v>485041</v>
          </cell>
          <cell r="G447">
            <v>10.18</v>
          </cell>
          <cell r="H447">
            <v>472750</v>
          </cell>
          <cell r="I447">
            <v>4903160</v>
          </cell>
          <cell r="J447">
            <v>103132</v>
          </cell>
          <cell r="K447">
            <v>9.64</v>
          </cell>
          <cell r="L447">
            <v>232314</v>
          </cell>
          <cell r="M447">
            <v>4229989</v>
          </cell>
          <cell r="N447">
            <v>9597</v>
          </cell>
          <cell r="O447">
            <v>5.49</v>
          </cell>
          <cell r="P447">
            <v>0</v>
          </cell>
          <cell r="Q447">
            <v>0</v>
          </cell>
          <cell r="R447">
            <v>0</v>
          </cell>
          <cell r="S447">
            <v>0</v>
          </cell>
          <cell r="T447">
            <v>1211025</v>
          </cell>
          <cell r="U447">
            <v>14102392</v>
          </cell>
          <cell r="V447">
            <v>597770</v>
          </cell>
          <cell r="W447">
            <v>8.59</v>
          </cell>
        </row>
        <row r="448">
          <cell r="A448" t="str">
            <v>2014NC</v>
          </cell>
          <cell r="B448">
            <v>2014</v>
          </cell>
          <cell r="C448" t="str">
            <v>NC</v>
          </cell>
          <cell r="D448">
            <v>6511383</v>
          </cell>
          <cell r="E448">
            <v>58649994</v>
          </cell>
          <cell r="F448">
            <v>4303476</v>
          </cell>
          <cell r="G448">
            <v>11.1</v>
          </cell>
          <cell r="H448">
            <v>4157748</v>
          </cell>
          <cell r="I448">
            <v>47509563</v>
          </cell>
          <cell r="J448">
            <v>655841</v>
          </cell>
          <cell r="K448">
            <v>8.75</v>
          </cell>
          <cell r="L448">
            <v>1751829</v>
          </cell>
          <cell r="M448">
            <v>26964549</v>
          </cell>
          <cell r="N448">
            <v>10356</v>
          </cell>
          <cell r="O448">
            <v>6.5</v>
          </cell>
          <cell r="P448">
            <v>680</v>
          </cell>
          <cell r="Q448">
            <v>8670</v>
          </cell>
          <cell r="R448">
            <v>1</v>
          </cell>
          <cell r="S448">
            <v>7.84</v>
          </cell>
          <cell r="T448">
            <v>12421640</v>
          </cell>
          <cell r="U448">
            <v>133132776</v>
          </cell>
          <cell r="V448">
            <v>4969674</v>
          </cell>
          <cell r="W448">
            <v>9.33</v>
          </cell>
        </row>
        <row r="449">
          <cell r="A449" t="str">
            <v>2014ND</v>
          </cell>
          <cell r="B449">
            <v>2014</v>
          </cell>
          <cell r="C449" t="str">
            <v>ND</v>
          </cell>
          <cell r="D449">
            <v>490071</v>
          </cell>
          <cell r="E449">
            <v>5357514</v>
          </cell>
          <cell r="F449">
            <v>360171</v>
          </cell>
          <cell r="G449">
            <v>9.15</v>
          </cell>
          <cell r="H449">
            <v>474723</v>
          </cell>
          <cell r="I449">
            <v>5403497</v>
          </cell>
          <cell r="J449">
            <v>67871</v>
          </cell>
          <cell r="K449">
            <v>8.7899999999999991</v>
          </cell>
          <cell r="L449">
            <v>569870</v>
          </cell>
          <cell r="M449">
            <v>7478721</v>
          </cell>
          <cell r="N449">
            <v>8607</v>
          </cell>
          <cell r="O449">
            <v>7.62</v>
          </cell>
          <cell r="P449">
            <v>0</v>
          </cell>
          <cell r="Q449">
            <v>0</v>
          </cell>
          <cell r="R449">
            <v>0</v>
          </cell>
          <cell r="S449">
            <v>0</v>
          </cell>
          <cell r="T449">
            <v>1534664</v>
          </cell>
          <cell r="U449">
            <v>18239732</v>
          </cell>
          <cell r="V449">
            <v>436649</v>
          </cell>
          <cell r="W449">
            <v>8.41</v>
          </cell>
        </row>
        <row r="450">
          <cell r="A450" t="str">
            <v>2014NE</v>
          </cell>
          <cell r="B450">
            <v>2014</v>
          </cell>
          <cell r="C450" t="str">
            <v>NE</v>
          </cell>
          <cell r="D450">
            <v>1043023</v>
          </cell>
          <cell r="E450">
            <v>10028238</v>
          </cell>
          <cell r="F450">
            <v>817425</v>
          </cell>
          <cell r="G450">
            <v>10.4</v>
          </cell>
          <cell r="H450">
            <v>831284</v>
          </cell>
          <cell r="I450">
            <v>9525524</v>
          </cell>
          <cell r="J450">
            <v>151382</v>
          </cell>
          <cell r="K450">
            <v>8.73</v>
          </cell>
          <cell r="L450">
            <v>797052</v>
          </cell>
          <cell r="M450">
            <v>10668406</v>
          </cell>
          <cell r="N450">
            <v>57429</v>
          </cell>
          <cell r="O450">
            <v>7.47</v>
          </cell>
          <cell r="P450">
            <v>0</v>
          </cell>
          <cell r="Q450">
            <v>0</v>
          </cell>
          <cell r="R450">
            <v>0</v>
          </cell>
          <cell r="S450">
            <v>0</v>
          </cell>
          <cell r="T450">
            <v>2671358</v>
          </cell>
          <cell r="U450">
            <v>30222168</v>
          </cell>
          <cell r="V450">
            <v>1026236</v>
          </cell>
          <cell r="W450">
            <v>8.84</v>
          </cell>
        </row>
        <row r="451">
          <cell r="A451" t="str">
            <v>2014NH</v>
          </cell>
          <cell r="B451">
            <v>2014</v>
          </cell>
          <cell r="C451" t="str">
            <v>NH</v>
          </cell>
          <cell r="D451">
            <v>790656</v>
          </cell>
          <cell r="E451">
            <v>4510487</v>
          </cell>
          <cell r="F451">
            <v>606883</v>
          </cell>
          <cell r="G451">
            <v>17.53</v>
          </cell>
          <cell r="H451">
            <v>640173</v>
          </cell>
          <cell r="I451">
            <v>4464530</v>
          </cell>
          <cell r="J451">
            <v>105840</v>
          </cell>
          <cell r="K451">
            <v>14.34</v>
          </cell>
          <cell r="L451">
            <v>234900</v>
          </cell>
          <cell r="M451">
            <v>1969064</v>
          </cell>
          <cell r="N451">
            <v>3342</v>
          </cell>
          <cell r="O451">
            <v>11.93</v>
          </cell>
          <cell r="P451">
            <v>0</v>
          </cell>
          <cell r="Q451">
            <v>0</v>
          </cell>
          <cell r="R451">
            <v>0</v>
          </cell>
          <cell r="S451">
            <v>0</v>
          </cell>
          <cell r="T451">
            <v>1665729</v>
          </cell>
          <cell r="U451">
            <v>10944081</v>
          </cell>
          <cell r="V451">
            <v>716065</v>
          </cell>
          <cell r="W451">
            <v>15.22</v>
          </cell>
        </row>
        <row r="452">
          <cell r="A452" t="str">
            <v>2014NJ</v>
          </cell>
          <cell r="B452">
            <v>2014</v>
          </cell>
          <cell r="C452" t="str">
            <v>NJ</v>
          </cell>
          <cell r="D452">
            <v>4400228</v>
          </cell>
          <cell r="E452">
            <v>27892582</v>
          </cell>
          <cell r="F452">
            <v>3470874</v>
          </cell>
          <cell r="G452">
            <v>15.78</v>
          </cell>
          <cell r="H452">
            <v>5015629</v>
          </cell>
          <cell r="I452">
            <v>38154090</v>
          </cell>
          <cell r="J452">
            <v>511335</v>
          </cell>
          <cell r="K452">
            <v>13.15</v>
          </cell>
          <cell r="L452">
            <v>855757</v>
          </cell>
          <cell r="M452">
            <v>7516616</v>
          </cell>
          <cell r="N452">
            <v>12313</v>
          </cell>
          <cell r="O452">
            <v>11.38</v>
          </cell>
          <cell r="P452">
            <v>31575</v>
          </cell>
          <cell r="Q452">
            <v>302790</v>
          </cell>
          <cell r="R452">
            <v>6</v>
          </cell>
          <cell r="S452">
            <v>10.43</v>
          </cell>
          <cell r="T452">
            <v>10303188</v>
          </cell>
          <cell r="U452">
            <v>73866078</v>
          </cell>
          <cell r="V452">
            <v>3994528</v>
          </cell>
          <cell r="W452">
            <v>13.95</v>
          </cell>
        </row>
        <row r="453">
          <cell r="A453" t="str">
            <v>2014NM</v>
          </cell>
          <cell r="B453">
            <v>2014</v>
          </cell>
          <cell r="C453" t="str">
            <v>NM</v>
          </cell>
          <cell r="D453">
            <v>812034</v>
          </cell>
          <cell r="E453">
            <v>6611970</v>
          </cell>
          <cell r="F453">
            <v>869875</v>
          </cell>
          <cell r="G453">
            <v>12.28</v>
          </cell>
          <cell r="H453">
            <v>921898</v>
          </cell>
          <cell r="I453">
            <v>8976354</v>
          </cell>
          <cell r="J453">
            <v>139873</v>
          </cell>
          <cell r="K453">
            <v>10.27</v>
          </cell>
          <cell r="L453">
            <v>497592</v>
          </cell>
          <cell r="M453">
            <v>7526898</v>
          </cell>
          <cell r="N453">
            <v>9112</v>
          </cell>
          <cell r="O453">
            <v>6.61</v>
          </cell>
          <cell r="P453">
            <v>0</v>
          </cell>
          <cell r="Q453">
            <v>0</v>
          </cell>
          <cell r="R453">
            <v>0</v>
          </cell>
          <cell r="S453">
            <v>0</v>
          </cell>
          <cell r="T453">
            <v>2231524</v>
          </cell>
          <cell r="U453">
            <v>23115222</v>
          </cell>
          <cell r="V453">
            <v>1018860</v>
          </cell>
          <cell r="W453">
            <v>9.65</v>
          </cell>
        </row>
        <row r="454">
          <cell r="A454" t="str">
            <v>2014NV</v>
          </cell>
          <cell r="B454">
            <v>2014</v>
          </cell>
          <cell r="C454" t="str">
            <v>NV</v>
          </cell>
          <cell r="D454">
            <v>1541121</v>
          </cell>
          <cell r="E454">
            <v>11916521</v>
          </cell>
          <cell r="F454">
            <v>1110535</v>
          </cell>
          <cell r="G454">
            <v>12.93</v>
          </cell>
          <cell r="H454">
            <v>892029</v>
          </cell>
          <cell r="I454">
            <v>9418091</v>
          </cell>
          <cell r="J454">
            <v>157984</v>
          </cell>
          <cell r="K454">
            <v>9.4700000000000006</v>
          </cell>
          <cell r="L454">
            <v>977320</v>
          </cell>
          <cell r="M454">
            <v>13732695</v>
          </cell>
          <cell r="N454">
            <v>3691</v>
          </cell>
          <cell r="O454">
            <v>7.12</v>
          </cell>
          <cell r="P454">
            <v>768</v>
          </cell>
          <cell r="Q454">
            <v>8299</v>
          </cell>
          <cell r="R454">
            <v>1</v>
          </cell>
          <cell r="S454">
            <v>9.25</v>
          </cell>
          <cell r="T454">
            <v>3411238</v>
          </cell>
          <cell r="U454">
            <v>35075606</v>
          </cell>
          <cell r="V454">
            <v>1272211</v>
          </cell>
          <cell r="W454">
            <v>9.73</v>
          </cell>
        </row>
        <row r="455">
          <cell r="A455" t="str">
            <v>2014NY</v>
          </cell>
          <cell r="B455">
            <v>2014</v>
          </cell>
          <cell r="C455" t="str">
            <v>NY</v>
          </cell>
          <cell r="D455">
            <v>10031316</v>
          </cell>
          <cell r="E455">
            <v>49974914</v>
          </cell>
          <cell r="F455">
            <v>7046829</v>
          </cell>
          <cell r="G455">
            <v>20.07</v>
          </cell>
          <cell r="H455">
            <v>12340776</v>
          </cell>
          <cell r="I455">
            <v>76540813</v>
          </cell>
          <cell r="J455">
            <v>1045571</v>
          </cell>
          <cell r="K455">
            <v>16.12</v>
          </cell>
          <cell r="L455">
            <v>1184255</v>
          </cell>
          <cell r="M455">
            <v>18002976</v>
          </cell>
          <cell r="N455">
            <v>7862</v>
          </cell>
          <cell r="O455">
            <v>6.58</v>
          </cell>
          <cell r="P455">
            <v>394180</v>
          </cell>
          <cell r="Q455">
            <v>2853210</v>
          </cell>
          <cell r="R455">
            <v>6</v>
          </cell>
          <cell r="S455">
            <v>13.82</v>
          </cell>
          <cell r="T455">
            <v>23950528</v>
          </cell>
          <cell r="U455">
            <v>147371913</v>
          </cell>
          <cell r="V455">
            <v>8100268</v>
          </cell>
          <cell r="W455">
            <v>16.25</v>
          </cell>
        </row>
        <row r="456">
          <cell r="A456" t="str">
            <v>2014OH</v>
          </cell>
          <cell r="B456">
            <v>2014</v>
          </cell>
          <cell r="C456" t="str">
            <v>OH</v>
          </cell>
          <cell r="D456">
            <v>6598181</v>
          </cell>
          <cell r="E456">
            <v>52804334</v>
          </cell>
          <cell r="F456">
            <v>4882159</v>
          </cell>
          <cell r="G456">
            <v>12.5</v>
          </cell>
          <cell r="H456">
            <v>4618293</v>
          </cell>
          <cell r="I456">
            <v>47004594</v>
          </cell>
          <cell r="J456">
            <v>619293</v>
          </cell>
          <cell r="K456">
            <v>9.83</v>
          </cell>
          <cell r="L456">
            <v>3440917</v>
          </cell>
          <cell r="M456">
            <v>50829251</v>
          </cell>
          <cell r="N456">
            <v>19209</v>
          </cell>
          <cell r="O456">
            <v>6.77</v>
          </cell>
          <cell r="P456">
            <v>3646</v>
          </cell>
          <cell r="Q456">
            <v>41534</v>
          </cell>
          <cell r="R456">
            <v>2</v>
          </cell>
          <cell r="S456">
            <v>8.7799999999999994</v>
          </cell>
          <cell r="T456">
            <v>14661037</v>
          </cell>
          <cell r="U456">
            <v>150679713</v>
          </cell>
          <cell r="V456">
            <v>5520663</v>
          </cell>
          <cell r="W456">
            <v>9.73</v>
          </cell>
        </row>
        <row r="457">
          <cell r="A457" t="str">
            <v>2014OK</v>
          </cell>
          <cell r="B457">
            <v>2014</v>
          </cell>
          <cell r="C457" t="str">
            <v>OK</v>
          </cell>
          <cell r="D457">
            <v>2343199</v>
          </cell>
          <cell r="E457">
            <v>23351144</v>
          </cell>
          <cell r="F457">
            <v>1710352</v>
          </cell>
          <cell r="G457">
            <v>10.029999999999999</v>
          </cell>
          <cell r="H457">
            <v>1654314</v>
          </cell>
          <cell r="I457">
            <v>20448774</v>
          </cell>
          <cell r="J457">
            <v>275276</v>
          </cell>
          <cell r="K457">
            <v>8.09</v>
          </cell>
          <cell r="L457">
            <v>1038884</v>
          </cell>
          <cell r="M457">
            <v>17773456</v>
          </cell>
          <cell r="N457">
            <v>18238</v>
          </cell>
          <cell r="O457">
            <v>5.85</v>
          </cell>
          <cell r="P457">
            <v>0</v>
          </cell>
          <cell r="Q457">
            <v>0</v>
          </cell>
          <cell r="R457">
            <v>0</v>
          </cell>
          <cell r="S457">
            <v>0</v>
          </cell>
          <cell r="T457">
            <v>5036397</v>
          </cell>
          <cell r="U457">
            <v>61573374</v>
          </cell>
          <cell r="V457">
            <v>2003866</v>
          </cell>
          <cell r="W457">
            <v>8.18</v>
          </cell>
        </row>
        <row r="458">
          <cell r="A458" t="str">
            <v>2014OR</v>
          </cell>
          <cell r="B458">
            <v>2014</v>
          </cell>
          <cell r="C458" t="str">
            <v>OR</v>
          </cell>
          <cell r="D458">
            <v>1948732</v>
          </cell>
          <cell r="E458">
            <v>18617613</v>
          </cell>
          <cell r="F458">
            <v>1669124</v>
          </cell>
          <cell r="G458">
            <v>10.47</v>
          </cell>
          <cell r="H458">
            <v>1403691</v>
          </cell>
          <cell r="I458">
            <v>16039418</v>
          </cell>
          <cell r="J458">
            <v>229832</v>
          </cell>
          <cell r="K458">
            <v>8.75</v>
          </cell>
          <cell r="L458">
            <v>755416</v>
          </cell>
          <cell r="M458">
            <v>12654475</v>
          </cell>
          <cell r="N458">
            <v>23356</v>
          </cell>
          <cell r="O458">
            <v>5.97</v>
          </cell>
          <cell r="P458">
            <v>2160</v>
          </cell>
          <cell r="Q458">
            <v>23447</v>
          </cell>
          <cell r="R458">
            <v>4</v>
          </cell>
          <cell r="S458">
            <v>9.2100000000000009</v>
          </cell>
          <cell r="T458">
            <v>4109998</v>
          </cell>
          <cell r="U458">
            <v>47334953</v>
          </cell>
          <cell r="V458">
            <v>1922316</v>
          </cell>
          <cell r="W458">
            <v>8.68</v>
          </cell>
        </row>
        <row r="459">
          <cell r="A459" t="str">
            <v>2014PA</v>
          </cell>
          <cell r="B459">
            <v>2014</v>
          </cell>
          <cell r="C459" t="str">
            <v>PA</v>
          </cell>
          <cell r="D459">
            <v>7217831</v>
          </cell>
          <cell r="E459">
            <v>54195335</v>
          </cell>
          <cell r="F459">
            <v>5289211</v>
          </cell>
          <cell r="G459">
            <v>13.32</v>
          </cell>
          <cell r="H459">
            <v>4215606</v>
          </cell>
          <cell r="I459">
            <v>43347918</v>
          </cell>
          <cell r="J459">
            <v>690549</v>
          </cell>
          <cell r="K459">
            <v>9.73</v>
          </cell>
          <cell r="L459">
            <v>3580987</v>
          </cell>
          <cell r="M459">
            <v>48317693</v>
          </cell>
          <cell r="N459">
            <v>24222</v>
          </cell>
          <cell r="O459">
            <v>7.41</v>
          </cell>
          <cell r="P459">
            <v>63255</v>
          </cell>
          <cell r="Q459">
            <v>826752</v>
          </cell>
          <cell r="R459">
            <v>5</v>
          </cell>
          <cell r="S459">
            <v>7.65</v>
          </cell>
          <cell r="T459">
            <v>15077678</v>
          </cell>
          <cell r="U459">
            <v>146687698</v>
          </cell>
          <cell r="V459">
            <v>6003987</v>
          </cell>
          <cell r="W459">
            <v>10.28</v>
          </cell>
        </row>
        <row r="460">
          <cell r="A460" t="str">
            <v>2014RI</v>
          </cell>
          <cell r="B460">
            <v>2014</v>
          </cell>
          <cell r="C460" t="str">
            <v>RI</v>
          </cell>
          <cell r="D460">
            <v>527116</v>
          </cell>
          <cell r="E460">
            <v>3070347</v>
          </cell>
          <cell r="F460">
            <v>438879</v>
          </cell>
          <cell r="G460">
            <v>17.170000000000002</v>
          </cell>
          <cell r="H460">
            <v>532579</v>
          </cell>
          <cell r="I460">
            <v>3657679</v>
          </cell>
          <cell r="J460">
            <v>58346</v>
          </cell>
          <cell r="K460">
            <v>14.56</v>
          </cell>
          <cell r="L460">
            <v>114111</v>
          </cell>
          <cell r="M460">
            <v>887150</v>
          </cell>
          <cell r="N460">
            <v>1884</v>
          </cell>
          <cell r="O460">
            <v>12.86</v>
          </cell>
          <cell r="P460">
            <v>4158</v>
          </cell>
          <cell r="Q460">
            <v>27928</v>
          </cell>
          <cell r="R460">
            <v>1</v>
          </cell>
          <cell r="S460">
            <v>14.89</v>
          </cell>
          <cell r="T460">
            <v>1177963</v>
          </cell>
          <cell r="U460">
            <v>7643104</v>
          </cell>
          <cell r="V460">
            <v>499110</v>
          </cell>
          <cell r="W460">
            <v>15.41</v>
          </cell>
        </row>
        <row r="461">
          <cell r="A461" t="str">
            <v>2014SC</v>
          </cell>
          <cell r="B461">
            <v>2014</v>
          </cell>
          <cell r="C461" t="str">
            <v>SC</v>
          </cell>
          <cell r="D461">
            <v>3824288</v>
          </cell>
          <cell r="E461">
            <v>30715986</v>
          </cell>
          <cell r="F461">
            <v>2157091</v>
          </cell>
          <cell r="G461">
            <v>12.45</v>
          </cell>
          <cell r="H461">
            <v>2225574</v>
          </cell>
          <cell r="I461">
            <v>21655593</v>
          </cell>
          <cell r="J461">
            <v>349432</v>
          </cell>
          <cell r="K461">
            <v>10.28</v>
          </cell>
          <cell r="L461">
            <v>1839963</v>
          </cell>
          <cell r="M461">
            <v>29248186</v>
          </cell>
          <cell r="N461">
            <v>4566</v>
          </cell>
          <cell r="O461">
            <v>6.29</v>
          </cell>
          <cell r="P461">
            <v>0</v>
          </cell>
          <cell r="Q461">
            <v>0</v>
          </cell>
          <cell r="R461">
            <v>0</v>
          </cell>
          <cell r="S461">
            <v>0</v>
          </cell>
          <cell r="T461">
            <v>7889824</v>
          </cell>
          <cell r="U461">
            <v>81619765</v>
          </cell>
          <cell r="V461">
            <v>2511089</v>
          </cell>
          <cell r="W461">
            <v>9.67</v>
          </cell>
        </row>
        <row r="462">
          <cell r="A462" t="str">
            <v>2014SD</v>
          </cell>
          <cell r="B462">
            <v>2014</v>
          </cell>
          <cell r="C462" t="str">
            <v>SD</v>
          </cell>
          <cell r="D462">
            <v>505345</v>
          </cell>
          <cell r="E462">
            <v>4827368</v>
          </cell>
          <cell r="F462">
            <v>384749</v>
          </cell>
          <cell r="G462">
            <v>10.47</v>
          </cell>
          <cell r="H462">
            <v>406420</v>
          </cell>
          <cell r="I462">
            <v>4572324</v>
          </cell>
          <cell r="J462">
            <v>69703</v>
          </cell>
          <cell r="K462">
            <v>8.89</v>
          </cell>
          <cell r="L462">
            <v>206414</v>
          </cell>
          <cell r="M462">
            <v>2955034</v>
          </cell>
          <cell r="N462">
            <v>3801</v>
          </cell>
          <cell r="O462">
            <v>6.99</v>
          </cell>
          <cell r="P462">
            <v>0</v>
          </cell>
          <cell r="Q462">
            <v>0</v>
          </cell>
          <cell r="R462">
            <v>0</v>
          </cell>
          <cell r="S462">
            <v>0</v>
          </cell>
          <cell r="T462">
            <v>1118180</v>
          </cell>
          <cell r="U462">
            <v>12354726</v>
          </cell>
          <cell r="V462">
            <v>458253</v>
          </cell>
          <cell r="W462">
            <v>9.0500000000000007</v>
          </cell>
        </row>
        <row r="463">
          <cell r="A463" t="str">
            <v>2014TN</v>
          </cell>
          <cell r="B463">
            <v>2014</v>
          </cell>
          <cell r="C463" t="str">
            <v>TN</v>
          </cell>
          <cell r="D463">
            <v>4392023</v>
          </cell>
          <cell r="E463">
            <v>42538248</v>
          </cell>
          <cell r="F463">
            <v>2756932</v>
          </cell>
          <cell r="G463">
            <v>10.32</v>
          </cell>
          <cell r="H463">
            <v>3476761</v>
          </cell>
          <cell r="I463">
            <v>33497350</v>
          </cell>
          <cell r="J463">
            <v>471794</v>
          </cell>
          <cell r="K463">
            <v>10.38</v>
          </cell>
          <cell r="L463">
            <v>1548714</v>
          </cell>
          <cell r="M463">
            <v>24182470</v>
          </cell>
          <cell r="N463">
            <v>1271</v>
          </cell>
          <cell r="O463">
            <v>6.4</v>
          </cell>
          <cell r="P463">
            <v>100</v>
          </cell>
          <cell r="Q463">
            <v>1162</v>
          </cell>
          <cell r="R463">
            <v>1</v>
          </cell>
          <cell r="S463">
            <v>8.57</v>
          </cell>
          <cell r="T463">
            <v>9417597</v>
          </cell>
          <cell r="U463">
            <v>100219230</v>
          </cell>
          <cell r="V463">
            <v>3229998</v>
          </cell>
          <cell r="W463">
            <v>9.4</v>
          </cell>
        </row>
        <row r="464">
          <cell r="A464" t="str">
            <v>2014TX</v>
          </cell>
          <cell r="B464">
            <v>2014</v>
          </cell>
          <cell r="C464" t="str">
            <v>TX</v>
          </cell>
          <cell r="D464">
            <v>16715817</v>
          </cell>
          <cell r="E464">
            <v>140899744</v>
          </cell>
          <cell r="F464">
            <v>10138874</v>
          </cell>
          <cell r="G464">
            <v>11.86</v>
          </cell>
          <cell r="H464">
            <v>11379847</v>
          </cell>
          <cell r="I464">
            <v>139432095</v>
          </cell>
          <cell r="J464">
            <v>1432478</v>
          </cell>
          <cell r="K464">
            <v>8.16</v>
          </cell>
          <cell r="L464">
            <v>6727425</v>
          </cell>
          <cell r="M464">
            <v>109165495</v>
          </cell>
          <cell r="N464">
            <v>101641</v>
          </cell>
          <cell r="O464">
            <v>6.16</v>
          </cell>
          <cell r="P464">
            <v>8909</v>
          </cell>
          <cell r="Q464">
            <v>172486</v>
          </cell>
          <cell r="R464">
            <v>3</v>
          </cell>
          <cell r="S464">
            <v>5.17</v>
          </cell>
          <cell r="T464">
            <v>34831998</v>
          </cell>
          <cell r="U464">
            <v>389669820</v>
          </cell>
          <cell r="V464">
            <v>11672996</v>
          </cell>
          <cell r="W464">
            <v>8.94</v>
          </cell>
        </row>
        <row r="465">
          <cell r="A465" t="str">
            <v>2014UT</v>
          </cell>
          <cell r="B465">
            <v>2014</v>
          </cell>
          <cell r="C465" t="str">
            <v>UT</v>
          </cell>
          <cell r="D465">
            <v>954231</v>
          </cell>
          <cell r="E465">
            <v>8963971</v>
          </cell>
          <cell r="F465">
            <v>1000416</v>
          </cell>
          <cell r="G465">
            <v>10.65</v>
          </cell>
          <cell r="H465">
            <v>943134</v>
          </cell>
          <cell r="I465">
            <v>11053251</v>
          </cell>
          <cell r="J465">
            <v>117921</v>
          </cell>
          <cell r="K465">
            <v>8.5299999999999994</v>
          </cell>
          <cell r="L465">
            <v>606015</v>
          </cell>
          <cell r="M465">
            <v>9965115</v>
          </cell>
          <cell r="N465">
            <v>9658</v>
          </cell>
          <cell r="O465">
            <v>6.08</v>
          </cell>
          <cell r="P465">
            <v>6274</v>
          </cell>
          <cell r="Q465">
            <v>60682</v>
          </cell>
          <cell r="R465">
            <v>1</v>
          </cell>
          <cell r="S465">
            <v>10.34</v>
          </cell>
          <cell r="T465">
            <v>2509653</v>
          </cell>
          <cell r="U465">
            <v>30043019</v>
          </cell>
          <cell r="V465">
            <v>1127996</v>
          </cell>
          <cell r="W465">
            <v>8.35</v>
          </cell>
        </row>
        <row r="466">
          <cell r="A466" t="str">
            <v>2014VA</v>
          </cell>
          <cell r="B466">
            <v>2014</v>
          </cell>
          <cell r="C466" t="str">
            <v>VA</v>
          </cell>
          <cell r="D466">
            <v>5155281</v>
          </cell>
          <cell r="E466">
            <v>46443716</v>
          </cell>
          <cell r="F466">
            <v>3303676</v>
          </cell>
          <cell r="G466">
            <v>11.1</v>
          </cell>
          <cell r="H466">
            <v>3892715</v>
          </cell>
          <cell r="I466">
            <v>47751655</v>
          </cell>
          <cell r="J466">
            <v>422931</v>
          </cell>
          <cell r="K466">
            <v>8.15</v>
          </cell>
          <cell r="L466">
            <v>1219659</v>
          </cell>
          <cell r="M466">
            <v>17700993</v>
          </cell>
          <cell r="N466">
            <v>3653</v>
          </cell>
          <cell r="O466">
            <v>6.89</v>
          </cell>
          <cell r="P466">
            <v>16642</v>
          </cell>
          <cell r="Q466">
            <v>202017</v>
          </cell>
          <cell r="R466">
            <v>1</v>
          </cell>
          <cell r="S466">
            <v>8.24</v>
          </cell>
          <cell r="T466">
            <v>10284297</v>
          </cell>
          <cell r="U466">
            <v>112098381</v>
          </cell>
          <cell r="V466">
            <v>3730261</v>
          </cell>
          <cell r="W466">
            <v>9.17</v>
          </cell>
        </row>
        <row r="467">
          <cell r="A467" t="str">
            <v>2014VT</v>
          </cell>
          <cell r="B467">
            <v>2014</v>
          </cell>
          <cell r="C467" t="str">
            <v>VT</v>
          </cell>
          <cell r="D467">
            <v>370673</v>
          </cell>
          <cell r="E467">
            <v>2121347</v>
          </cell>
          <cell r="F467">
            <v>310932</v>
          </cell>
          <cell r="G467">
            <v>17.47</v>
          </cell>
          <cell r="H467">
            <v>295698</v>
          </cell>
          <cell r="I467">
            <v>2030520</v>
          </cell>
          <cell r="J467">
            <v>52453</v>
          </cell>
          <cell r="K467">
            <v>14.56</v>
          </cell>
          <cell r="L467">
            <v>145111</v>
          </cell>
          <cell r="M467">
            <v>1417994</v>
          </cell>
          <cell r="N467">
            <v>224</v>
          </cell>
          <cell r="O467">
            <v>10.23</v>
          </cell>
          <cell r="P467">
            <v>0</v>
          </cell>
          <cell r="Q467">
            <v>0</v>
          </cell>
          <cell r="R467">
            <v>0</v>
          </cell>
          <cell r="S467">
            <v>0</v>
          </cell>
          <cell r="T467">
            <v>811481</v>
          </cell>
          <cell r="U467">
            <v>5569861</v>
          </cell>
          <cell r="V467">
            <v>363609</v>
          </cell>
          <cell r="W467">
            <v>14.57</v>
          </cell>
        </row>
        <row r="468">
          <cell r="A468" t="str">
            <v>2014WA</v>
          </cell>
          <cell r="B468">
            <v>2014</v>
          </cell>
          <cell r="C468" t="str">
            <v>WA</v>
          </cell>
          <cell r="D468">
            <v>3040586</v>
          </cell>
          <cell r="E468">
            <v>35082958</v>
          </cell>
          <cell r="F468">
            <v>2907705</v>
          </cell>
          <cell r="G468">
            <v>8.67</v>
          </cell>
          <cell r="H468">
            <v>2313564</v>
          </cell>
          <cell r="I468">
            <v>29040310</v>
          </cell>
          <cell r="J468">
            <v>359219</v>
          </cell>
          <cell r="K468">
            <v>7.97</v>
          </cell>
          <cell r="L468">
            <v>1211294</v>
          </cell>
          <cell r="M468">
            <v>28012775</v>
          </cell>
          <cell r="N468">
            <v>30308</v>
          </cell>
          <cell r="O468">
            <v>4.32</v>
          </cell>
          <cell r="P468">
            <v>401</v>
          </cell>
          <cell r="Q468">
            <v>4734</v>
          </cell>
          <cell r="R468">
            <v>6</v>
          </cell>
          <cell r="S468">
            <v>8.48</v>
          </cell>
          <cell r="T468">
            <v>6565845</v>
          </cell>
          <cell r="U468">
            <v>92140777</v>
          </cell>
          <cell r="V468">
            <v>3297238</v>
          </cell>
          <cell r="W468">
            <v>7.13</v>
          </cell>
        </row>
        <row r="469">
          <cell r="A469" t="str">
            <v>2014WI</v>
          </cell>
          <cell r="B469">
            <v>2014</v>
          </cell>
          <cell r="C469" t="str">
            <v>WI</v>
          </cell>
          <cell r="D469">
            <v>2996152</v>
          </cell>
          <cell r="E469">
            <v>21925712</v>
          </cell>
          <cell r="F469">
            <v>2631430</v>
          </cell>
          <cell r="G469">
            <v>13.67</v>
          </cell>
          <cell r="H469">
            <v>2558476</v>
          </cell>
          <cell r="I469">
            <v>23757494</v>
          </cell>
          <cell r="J469">
            <v>345907</v>
          </cell>
          <cell r="K469">
            <v>10.77</v>
          </cell>
          <cell r="L469">
            <v>1790586</v>
          </cell>
          <cell r="M469">
            <v>23811549</v>
          </cell>
          <cell r="N469">
            <v>5465</v>
          </cell>
          <cell r="O469">
            <v>7.52</v>
          </cell>
          <cell r="P469">
            <v>0</v>
          </cell>
          <cell r="Q469">
            <v>0</v>
          </cell>
          <cell r="R469">
            <v>0</v>
          </cell>
          <cell r="S469">
            <v>0</v>
          </cell>
          <cell r="T469">
            <v>7345214</v>
          </cell>
          <cell r="U469">
            <v>69494755</v>
          </cell>
          <cell r="V469">
            <v>2982802</v>
          </cell>
          <cell r="W469">
            <v>10.57</v>
          </cell>
        </row>
        <row r="470">
          <cell r="A470" t="str">
            <v>2014WV</v>
          </cell>
          <cell r="B470">
            <v>2014</v>
          </cell>
          <cell r="C470" t="str">
            <v>WV</v>
          </cell>
          <cell r="D470">
            <v>1119698</v>
          </cell>
          <cell r="E470">
            <v>11990728</v>
          </cell>
          <cell r="F470">
            <v>862869</v>
          </cell>
          <cell r="G470">
            <v>9.34</v>
          </cell>
          <cell r="H470">
            <v>629468</v>
          </cell>
          <cell r="I470">
            <v>7876429</v>
          </cell>
          <cell r="J470">
            <v>140698</v>
          </cell>
          <cell r="K470">
            <v>7.99</v>
          </cell>
          <cell r="L470">
            <v>753085</v>
          </cell>
          <cell r="M470">
            <v>12828949</v>
          </cell>
          <cell r="N470">
            <v>12146</v>
          </cell>
          <cell r="O470">
            <v>5.87</v>
          </cell>
          <cell r="P470">
            <v>0</v>
          </cell>
          <cell r="Q470">
            <v>0</v>
          </cell>
          <cell r="R470">
            <v>0</v>
          </cell>
          <cell r="S470">
            <v>0</v>
          </cell>
          <cell r="T470">
            <v>2502251</v>
          </cell>
          <cell r="U470">
            <v>32696106</v>
          </cell>
          <cell r="V470">
            <v>1015713</v>
          </cell>
          <cell r="W470">
            <v>7.65</v>
          </cell>
        </row>
        <row r="471">
          <cell r="A471" t="str">
            <v>2014WY</v>
          </cell>
          <cell r="B471">
            <v>2014</v>
          </cell>
          <cell r="C471" t="str">
            <v>WY</v>
          </cell>
          <cell r="D471">
            <v>288879</v>
          </cell>
          <cell r="E471">
            <v>2752313</v>
          </cell>
          <cell r="F471">
            <v>265720</v>
          </cell>
          <cell r="G471">
            <v>10.5</v>
          </cell>
          <cell r="H471">
            <v>355296</v>
          </cell>
          <cell r="I471">
            <v>4000291</v>
          </cell>
          <cell r="J471">
            <v>58178</v>
          </cell>
          <cell r="K471">
            <v>8.8800000000000008</v>
          </cell>
          <cell r="L471">
            <v>686237</v>
          </cell>
          <cell r="M471">
            <v>10381471</v>
          </cell>
          <cell r="N471">
            <v>10323</v>
          </cell>
          <cell r="O471">
            <v>6.61</v>
          </cell>
          <cell r="P471">
            <v>0</v>
          </cell>
          <cell r="Q471">
            <v>0</v>
          </cell>
          <cell r="R471">
            <v>0</v>
          </cell>
          <cell r="S471">
            <v>0</v>
          </cell>
          <cell r="T471">
            <v>1330413</v>
          </cell>
          <cell r="U471">
            <v>17134075</v>
          </cell>
          <cell r="V471">
            <v>334221</v>
          </cell>
          <cell r="W471">
            <v>7.76</v>
          </cell>
        </row>
        <row r="472">
          <cell r="A472" t="str">
            <v>2014US</v>
          </cell>
          <cell r="B472">
            <v>2014</v>
          </cell>
          <cell r="C472" t="str">
            <v>US</v>
          </cell>
          <cell r="D472">
            <v>176178008</v>
          </cell>
          <cell r="E472">
            <v>1407208311</v>
          </cell>
          <cell r="F472">
            <v>128680416</v>
          </cell>
          <cell r="G472">
            <v>12.52</v>
          </cell>
          <cell r="H472">
            <v>145253154</v>
          </cell>
          <cell r="I472">
            <v>1352158263</v>
          </cell>
          <cell r="J472">
            <v>17853995</v>
          </cell>
          <cell r="K472">
            <v>10.74</v>
          </cell>
          <cell r="L472">
            <v>70854754</v>
          </cell>
          <cell r="M472">
            <v>997576138</v>
          </cell>
          <cell r="N472">
            <v>839212</v>
          </cell>
          <cell r="O472">
            <v>7.1</v>
          </cell>
          <cell r="P472">
            <v>810494</v>
          </cell>
          <cell r="Q472">
            <v>7757555</v>
          </cell>
          <cell r="R472">
            <v>79</v>
          </cell>
          <cell r="S472">
            <v>10.45</v>
          </cell>
          <cell r="T472">
            <v>393096410</v>
          </cell>
          <cell r="U472">
            <v>3764700267</v>
          </cell>
          <cell r="V472">
            <v>147373702</v>
          </cell>
          <cell r="W472">
            <v>10.44</v>
          </cell>
        </row>
        <row r="473">
          <cell r="A473" t="str">
            <v>2013AK</v>
          </cell>
          <cell r="B473">
            <v>2013</v>
          </cell>
          <cell r="C473" t="str">
            <v>AK</v>
          </cell>
          <cell r="D473">
            <v>381181</v>
          </cell>
          <cell r="E473">
            <v>2103966</v>
          </cell>
          <cell r="F473">
            <v>277275</v>
          </cell>
          <cell r="G473">
            <v>18.12</v>
          </cell>
          <cell r="H473">
            <v>440007</v>
          </cell>
          <cell r="I473">
            <v>2824199</v>
          </cell>
          <cell r="J473">
            <v>49182</v>
          </cell>
          <cell r="K473">
            <v>15.58</v>
          </cell>
          <cell r="L473">
            <v>212159</v>
          </cell>
          <cell r="M473">
            <v>1340047</v>
          </cell>
          <cell r="N473">
            <v>1314</v>
          </cell>
          <cell r="O473">
            <v>15.83</v>
          </cell>
          <cell r="P473">
            <v>0</v>
          </cell>
          <cell r="Q473">
            <v>0</v>
          </cell>
          <cell r="R473">
            <v>0</v>
          </cell>
          <cell r="S473">
            <v>0</v>
          </cell>
          <cell r="T473">
            <v>1033347</v>
          </cell>
          <cell r="U473">
            <v>6268212</v>
          </cell>
          <cell r="V473">
            <v>327771</v>
          </cell>
          <cell r="W473">
            <v>16.489999999999998</v>
          </cell>
        </row>
        <row r="474">
          <cell r="A474" t="str">
            <v>2013AL</v>
          </cell>
          <cell r="B474">
            <v>2013</v>
          </cell>
          <cell r="C474" t="str">
            <v>AL</v>
          </cell>
          <cell r="D474">
            <v>3532584</v>
          </cell>
          <cell r="E474">
            <v>31378659</v>
          </cell>
          <cell r="F474">
            <v>2158898</v>
          </cell>
          <cell r="G474">
            <v>11.26</v>
          </cell>
          <cell r="H474">
            <v>2376592</v>
          </cell>
          <cell r="I474">
            <v>22603229</v>
          </cell>
          <cell r="J474">
            <v>358712</v>
          </cell>
          <cell r="K474">
            <v>10.51</v>
          </cell>
          <cell r="L474">
            <v>2014487</v>
          </cell>
          <cell r="M474">
            <v>33870219</v>
          </cell>
          <cell r="N474">
            <v>7029</v>
          </cell>
          <cell r="O474">
            <v>5.95</v>
          </cell>
          <cell r="P474">
            <v>0</v>
          </cell>
          <cell r="Q474">
            <v>0</v>
          </cell>
          <cell r="R474">
            <v>0</v>
          </cell>
          <cell r="S474">
            <v>0</v>
          </cell>
          <cell r="T474">
            <v>7923662</v>
          </cell>
          <cell r="U474">
            <v>87852107</v>
          </cell>
          <cell r="V474">
            <v>2524639</v>
          </cell>
          <cell r="W474">
            <v>9.02</v>
          </cell>
        </row>
        <row r="475">
          <cell r="A475" t="str">
            <v>2013AR</v>
          </cell>
          <cell r="B475">
            <v>2013</v>
          </cell>
          <cell r="C475" t="str">
            <v>AR</v>
          </cell>
          <cell r="D475">
            <v>1746489</v>
          </cell>
          <cell r="E475">
            <v>18219287</v>
          </cell>
          <cell r="F475">
            <v>1339680</v>
          </cell>
          <cell r="G475">
            <v>9.59</v>
          </cell>
          <cell r="H475">
            <v>957321</v>
          </cell>
          <cell r="I475">
            <v>11897953</v>
          </cell>
          <cell r="J475">
            <v>182941</v>
          </cell>
          <cell r="K475">
            <v>8.0500000000000007</v>
          </cell>
          <cell r="L475">
            <v>999852</v>
          </cell>
          <cell r="M475">
            <v>16565377</v>
          </cell>
          <cell r="N475">
            <v>34699</v>
          </cell>
          <cell r="O475">
            <v>6.04</v>
          </cell>
          <cell r="P475">
            <v>48</v>
          </cell>
          <cell r="Q475">
            <v>417</v>
          </cell>
          <cell r="R475">
            <v>2</v>
          </cell>
          <cell r="S475">
            <v>11.58</v>
          </cell>
          <cell r="T475">
            <v>3703711</v>
          </cell>
          <cell r="U475">
            <v>46683034</v>
          </cell>
          <cell r="V475">
            <v>1557322</v>
          </cell>
          <cell r="W475">
            <v>7.93</v>
          </cell>
        </row>
        <row r="476">
          <cell r="A476" t="str">
            <v>2013AZ</v>
          </cell>
          <cell r="B476">
            <v>2013</v>
          </cell>
          <cell r="C476" t="str">
            <v>AZ</v>
          </cell>
          <cell r="D476">
            <v>3877986</v>
          </cell>
          <cell r="E476">
            <v>33103602</v>
          </cell>
          <cell r="F476">
            <v>2630595</v>
          </cell>
          <cell r="G476">
            <v>11.71</v>
          </cell>
          <cell r="H476">
            <v>2957978</v>
          </cell>
          <cell r="I476">
            <v>30039018</v>
          </cell>
          <cell r="J476">
            <v>308857</v>
          </cell>
          <cell r="K476">
            <v>9.85</v>
          </cell>
          <cell r="L476">
            <v>833358</v>
          </cell>
          <cell r="M476">
            <v>12519417</v>
          </cell>
          <cell r="N476">
            <v>7618</v>
          </cell>
          <cell r="O476">
            <v>6.66</v>
          </cell>
          <cell r="P476">
            <v>0</v>
          </cell>
          <cell r="Q476">
            <v>0</v>
          </cell>
          <cell r="R476">
            <v>0</v>
          </cell>
          <cell r="S476">
            <v>0</v>
          </cell>
          <cell r="T476">
            <v>7669322</v>
          </cell>
          <cell r="U476">
            <v>75662037</v>
          </cell>
          <cell r="V476">
            <v>2947070</v>
          </cell>
          <cell r="W476">
            <v>10.14</v>
          </cell>
        </row>
        <row r="477">
          <cell r="A477" t="str">
            <v>2013CA</v>
          </cell>
          <cell r="B477">
            <v>2013</v>
          </cell>
          <cell r="C477" t="str">
            <v>CA</v>
          </cell>
          <cell r="D477">
            <v>14481054</v>
          </cell>
          <cell r="E477">
            <v>89241934</v>
          </cell>
          <cell r="F477">
            <v>13256426</v>
          </cell>
          <cell r="G477">
            <v>16.23</v>
          </cell>
          <cell r="H477">
            <v>16597851</v>
          </cell>
          <cell r="I477">
            <v>116857853</v>
          </cell>
          <cell r="J477">
            <v>1691627</v>
          </cell>
          <cell r="K477">
            <v>14.2</v>
          </cell>
          <cell r="L477">
            <v>6222066</v>
          </cell>
          <cell r="M477">
            <v>54396999</v>
          </cell>
          <cell r="N477">
            <v>159483</v>
          </cell>
          <cell r="O477">
            <v>11.44</v>
          </cell>
          <cell r="P477">
            <v>71337</v>
          </cell>
          <cell r="Q477">
            <v>835673</v>
          </cell>
          <cell r="R477">
            <v>13</v>
          </cell>
          <cell r="S477">
            <v>8.5399999999999991</v>
          </cell>
          <cell r="T477">
            <v>37372308</v>
          </cell>
          <cell r="U477">
            <v>261332459</v>
          </cell>
          <cell r="V477">
            <v>15107549</v>
          </cell>
          <cell r="W477">
            <v>14.3</v>
          </cell>
        </row>
        <row r="478">
          <cell r="A478" t="str">
            <v>2013CO</v>
          </cell>
          <cell r="B478">
            <v>2013</v>
          </cell>
          <cell r="C478" t="str">
            <v>CO</v>
          </cell>
          <cell r="D478">
            <v>2210316</v>
          </cell>
          <cell r="E478">
            <v>18528908</v>
          </cell>
          <cell r="F478">
            <v>2169365</v>
          </cell>
          <cell r="G478">
            <v>11.93</v>
          </cell>
          <cell r="H478">
            <v>1982037</v>
          </cell>
          <cell r="I478">
            <v>20098218</v>
          </cell>
          <cell r="J478">
            <v>358800</v>
          </cell>
          <cell r="K478">
            <v>9.86</v>
          </cell>
          <cell r="L478">
            <v>1082995</v>
          </cell>
          <cell r="M478">
            <v>14752859</v>
          </cell>
          <cell r="N478">
            <v>16172</v>
          </cell>
          <cell r="O478">
            <v>7.34</v>
          </cell>
          <cell r="P478">
            <v>6507</v>
          </cell>
          <cell r="Q478">
            <v>61664</v>
          </cell>
          <cell r="R478">
            <v>1</v>
          </cell>
          <cell r="S478">
            <v>10.55</v>
          </cell>
          <cell r="T478">
            <v>5281854</v>
          </cell>
          <cell r="U478">
            <v>53441649</v>
          </cell>
          <cell r="V478">
            <v>2544338</v>
          </cell>
          <cell r="W478">
            <v>9.8800000000000008</v>
          </cell>
        </row>
        <row r="479">
          <cell r="A479" t="str">
            <v>2013CT</v>
          </cell>
          <cell r="B479">
            <v>2013</v>
          </cell>
          <cell r="C479" t="str">
            <v>CT</v>
          </cell>
          <cell r="D479">
            <v>2305821</v>
          </cell>
          <cell r="E479">
            <v>13135451</v>
          </cell>
          <cell r="F479">
            <v>1454963</v>
          </cell>
          <cell r="G479">
            <v>17.55</v>
          </cell>
          <cell r="H479">
            <v>1903714</v>
          </cell>
          <cell r="I479">
            <v>13009103</v>
          </cell>
          <cell r="J479">
            <v>150419</v>
          </cell>
          <cell r="K479">
            <v>14.63</v>
          </cell>
          <cell r="L479">
            <v>439987</v>
          </cell>
          <cell r="M479">
            <v>3490140</v>
          </cell>
          <cell r="N479">
            <v>4568</v>
          </cell>
          <cell r="O479">
            <v>12.61</v>
          </cell>
          <cell r="P479">
            <v>19563</v>
          </cell>
          <cell r="Q479">
            <v>189822</v>
          </cell>
          <cell r="R479">
            <v>2</v>
          </cell>
          <cell r="S479">
            <v>10.31</v>
          </cell>
          <cell r="T479">
            <v>4669084</v>
          </cell>
          <cell r="U479">
            <v>29824516</v>
          </cell>
          <cell r="V479">
            <v>1609952</v>
          </cell>
          <cell r="W479">
            <v>15.66</v>
          </cell>
        </row>
        <row r="480">
          <cell r="A480" t="str">
            <v>2013DC</v>
          </cell>
          <cell r="B480">
            <v>2013</v>
          </cell>
          <cell r="C480" t="str">
            <v>DC</v>
          </cell>
          <cell r="D480">
            <v>255575</v>
          </cell>
          <cell r="E480">
            <v>2033618</v>
          </cell>
          <cell r="F480">
            <v>235322</v>
          </cell>
          <cell r="G480">
            <v>12.57</v>
          </cell>
          <cell r="H480">
            <v>1014908</v>
          </cell>
          <cell r="I480">
            <v>8499143</v>
          </cell>
          <cell r="J480">
            <v>26530</v>
          </cell>
          <cell r="K480">
            <v>11.94</v>
          </cell>
          <cell r="L480">
            <v>12590</v>
          </cell>
          <cell r="M480">
            <v>227385</v>
          </cell>
          <cell r="N480">
            <v>1</v>
          </cell>
          <cell r="O480">
            <v>5.54</v>
          </cell>
          <cell r="P480">
            <v>30970</v>
          </cell>
          <cell r="Q480">
            <v>325373</v>
          </cell>
          <cell r="R480">
            <v>1</v>
          </cell>
          <cell r="S480">
            <v>9.52</v>
          </cell>
          <cell r="T480">
            <v>1314044</v>
          </cell>
          <cell r="U480">
            <v>11085519</v>
          </cell>
          <cell r="V480">
            <v>261854</v>
          </cell>
          <cell r="W480">
            <v>11.85</v>
          </cell>
        </row>
        <row r="481">
          <cell r="A481" t="str">
            <v>2013DE</v>
          </cell>
          <cell r="B481">
            <v>2013</v>
          </cell>
          <cell r="C481" t="str">
            <v>DE</v>
          </cell>
          <cell r="D481">
            <v>591965</v>
          </cell>
          <cell r="E481">
            <v>4570013</v>
          </cell>
          <cell r="F481">
            <v>403519</v>
          </cell>
          <cell r="G481">
            <v>12.95</v>
          </cell>
          <cell r="H481">
            <v>423911</v>
          </cell>
          <cell r="I481">
            <v>4157793</v>
          </cell>
          <cell r="J481">
            <v>51673</v>
          </cell>
          <cell r="K481">
            <v>10.199999999999999</v>
          </cell>
          <cell r="L481">
            <v>220967</v>
          </cell>
          <cell r="M481">
            <v>2620050</v>
          </cell>
          <cell r="N481">
            <v>848</v>
          </cell>
          <cell r="O481">
            <v>8.43</v>
          </cell>
          <cell r="P481">
            <v>0</v>
          </cell>
          <cell r="Q481">
            <v>0</v>
          </cell>
          <cell r="R481">
            <v>0</v>
          </cell>
          <cell r="S481">
            <v>0</v>
          </cell>
          <cell r="T481">
            <v>1236843</v>
          </cell>
          <cell r="U481">
            <v>11347856</v>
          </cell>
          <cell r="V481">
            <v>456040</v>
          </cell>
          <cell r="W481">
            <v>10.9</v>
          </cell>
        </row>
        <row r="482">
          <cell r="A482" t="str">
            <v>2013FL</v>
          </cell>
          <cell r="B482">
            <v>2013</v>
          </cell>
          <cell r="C482" t="str">
            <v>FL</v>
          </cell>
          <cell r="D482">
            <v>12770123</v>
          </cell>
          <cell r="E482">
            <v>113293913</v>
          </cell>
          <cell r="F482">
            <v>8756322</v>
          </cell>
          <cell r="G482">
            <v>11.27</v>
          </cell>
          <cell r="H482">
            <v>8653405</v>
          </cell>
          <cell r="I482">
            <v>92144612</v>
          </cell>
          <cell r="J482">
            <v>1175896</v>
          </cell>
          <cell r="K482">
            <v>9.39</v>
          </cell>
          <cell r="L482">
            <v>1246783</v>
          </cell>
          <cell r="M482">
            <v>16389522</v>
          </cell>
          <cell r="N482">
            <v>17865</v>
          </cell>
          <cell r="O482">
            <v>7.61</v>
          </cell>
          <cell r="P482">
            <v>7948</v>
          </cell>
          <cell r="Q482">
            <v>91467</v>
          </cell>
          <cell r="R482">
            <v>2</v>
          </cell>
          <cell r="S482">
            <v>8.69</v>
          </cell>
          <cell r="T482">
            <v>22678259</v>
          </cell>
          <cell r="U482">
            <v>221919514</v>
          </cell>
          <cell r="V482">
            <v>9950085</v>
          </cell>
          <cell r="W482">
            <v>10.220000000000001</v>
          </cell>
        </row>
        <row r="483">
          <cell r="A483" t="str">
            <v>2013GA</v>
          </cell>
          <cell r="B483">
            <v>2013</v>
          </cell>
          <cell r="C483" t="str">
            <v>GA</v>
          </cell>
          <cell r="D483">
            <v>6135755</v>
          </cell>
          <cell r="E483">
            <v>53544411</v>
          </cell>
          <cell r="F483">
            <v>4101351</v>
          </cell>
          <cell r="G483">
            <v>11.46</v>
          </cell>
          <cell r="H483">
            <v>4529223</v>
          </cell>
          <cell r="I483">
            <v>45353153</v>
          </cell>
          <cell r="J483">
            <v>554350</v>
          </cell>
          <cell r="K483">
            <v>9.99</v>
          </cell>
          <cell r="L483">
            <v>1972453</v>
          </cell>
          <cell r="M483">
            <v>31443424</v>
          </cell>
          <cell r="N483">
            <v>18981</v>
          </cell>
          <cell r="O483">
            <v>6.27</v>
          </cell>
          <cell r="P483">
            <v>12569</v>
          </cell>
          <cell r="Q483">
            <v>156482</v>
          </cell>
          <cell r="R483">
            <v>1</v>
          </cell>
          <cell r="S483">
            <v>8.0299999999999994</v>
          </cell>
          <cell r="T483">
            <v>12649999</v>
          </cell>
          <cell r="U483">
            <v>130497470</v>
          </cell>
          <cell r="V483">
            <v>4674683</v>
          </cell>
          <cell r="W483">
            <v>9.69</v>
          </cell>
        </row>
        <row r="484">
          <cell r="A484" t="str">
            <v>2013HI</v>
          </cell>
          <cell r="B484">
            <v>2013</v>
          </cell>
          <cell r="C484" t="str">
            <v>HI</v>
          </cell>
          <cell r="D484">
            <v>964882</v>
          </cell>
          <cell r="E484">
            <v>2608853</v>
          </cell>
          <cell r="F484">
            <v>422386</v>
          </cell>
          <cell r="G484">
            <v>36.979999999999997</v>
          </cell>
          <cell r="H484">
            <v>1113961</v>
          </cell>
          <cell r="I484">
            <v>3271200</v>
          </cell>
          <cell r="J484">
            <v>60467</v>
          </cell>
          <cell r="K484">
            <v>34.049999999999997</v>
          </cell>
          <cell r="L484">
            <v>1082194</v>
          </cell>
          <cell r="M484">
            <v>3623111</v>
          </cell>
          <cell r="N484">
            <v>694</v>
          </cell>
          <cell r="O484">
            <v>29.87</v>
          </cell>
          <cell r="P484">
            <v>0</v>
          </cell>
          <cell r="Q484">
            <v>0</v>
          </cell>
          <cell r="R484">
            <v>0</v>
          </cell>
          <cell r="S484">
            <v>0</v>
          </cell>
          <cell r="T484">
            <v>3161037</v>
          </cell>
          <cell r="U484">
            <v>9503164</v>
          </cell>
          <cell r="V484">
            <v>483547</v>
          </cell>
          <cell r="W484">
            <v>33.26</v>
          </cell>
        </row>
        <row r="485">
          <cell r="A485" t="str">
            <v>2013IA</v>
          </cell>
          <cell r="B485">
            <v>2013</v>
          </cell>
          <cell r="C485" t="str">
            <v>IA</v>
          </cell>
          <cell r="D485">
            <v>1614968</v>
          </cell>
          <cell r="E485">
            <v>14625866</v>
          </cell>
          <cell r="F485">
            <v>1341807</v>
          </cell>
          <cell r="G485">
            <v>11.04</v>
          </cell>
          <cell r="H485">
            <v>1049965</v>
          </cell>
          <cell r="I485">
            <v>12444635</v>
          </cell>
          <cell r="J485">
            <v>222065</v>
          </cell>
          <cell r="K485">
            <v>8.44</v>
          </cell>
          <cell r="L485">
            <v>1104037</v>
          </cell>
          <cell r="M485">
            <v>19634715</v>
          </cell>
          <cell r="N485">
            <v>8412</v>
          </cell>
          <cell r="O485">
            <v>5.62</v>
          </cell>
          <cell r="P485">
            <v>0</v>
          </cell>
          <cell r="Q485">
            <v>0</v>
          </cell>
          <cell r="R485">
            <v>0</v>
          </cell>
          <cell r="S485">
            <v>0</v>
          </cell>
          <cell r="T485">
            <v>3768970</v>
          </cell>
          <cell r="U485">
            <v>46705216</v>
          </cell>
          <cell r="V485">
            <v>1572284</v>
          </cell>
          <cell r="W485">
            <v>8.07</v>
          </cell>
        </row>
        <row r="486">
          <cell r="A486" t="str">
            <v>2013ID</v>
          </cell>
          <cell r="B486">
            <v>2013</v>
          </cell>
          <cell r="C486" t="str">
            <v>ID</v>
          </cell>
          <cell r="D486">
            <v>803665</v>
          </cell>
          <cell r="E486">
            <v>8619262</v>
          </cell>
          <cell r="F486">
            <v>680930</v>
          </cell>
          <cell r="G486">
            <v>9.32</v>
          </cell>
          <cell r="H486">
            <v>460410</v>
          </cell>
          <cell r="I486">
            <v>6250297</v>
          </cell>
          <cell r="J486">
            <v>103400</v>
          </cell>
          <cell r="K486">
            <v>7.37</v>
          </cell>
          <cell r="L486">
            <v>568510</v>
          </cell>
          <cell r="M486">
            <v>9338497</v>
          </cell>
          <cell r="N486">
            <v>26847</v>
          </cell>
          <cell r="O486">
            <v>6.09</v>
          </cell>
          <cell r="P486">
            <v>0</v>
          </cell>
          <cell r="Q486">
            <v>0</v>
          </cell>
          <cell r="R486">
            <v>0</v>
          </cell>
          <cell r="S486">
            <v>0</v>
          </cell>
          <cell r="T486">
            <v>1832584</v>
          </cell>
          <cell r="U486">
            <v>24208056</v>
          </cell>
          <cell r="V486">
            <v>811177</v>
          </cell>
          <cell r="W486">
            <v>7.57</v>
          </cell>
        </row>
        <row r="487">
          <cell r="A487" t="str">
            <v>2013IL</v>
          </cell>
          <cell r="B487">
            <v>2013</v>
          </cell>
          <cell r="C487" t="str">
            <v>IL</v>
          </cell>
          <cell r="D487">
            <v>4927661</v>
          </cell>
          <cell r="E487">
            <v>46372234</v>
          </cell>
          <cell r="F487">
            <v>5120607</v>
          </cell>
          <cell r="G487">
            <v>10.63</v>
          </cell>
          <cell r="H487">
            <v>4110781</v>
          </cell>
          <cell r="I487">
            <v>50472706</v>
          </cell>
          <cell r="J487">
            <v>596672</v>
          </cell>
          <cell r="K487">
            <v>8.14</v>
          </cell>
          <cell r="L487">
            <v>2637816</v>
          </cell>
          <cell r="M487">
            <v>44386770</v>
          </cell>
          <cell r="N487">
            <v>6498</v>
          </cell>
          <cell r="O487">
            <v>5.94</v>
          </cell>
          <cell r="P487">
            <v>30584</v>
          </cell>
          <cell r="Q487">
            <v>573178</v>
          </cell>
          <cell r="R487">
            <v>4</v>
          </cell>
          <cell r="S487">
            <v>5.34</v>
          </cell>
          <cell r="T487">
            <v>11706842</v>
          </cell>
          <cell r="U487">
            <v>141804888</v>
          </cell>
          <cell r="V487">
            <v>5723781</v>
          </cell>
          <cell r="W487">
            <v>8.26</v>
          </cell>
        </row>
        <row r="488">
          <cell r="A488" t="str">
            <v>2013IN</v>
          </cell>
          <cell r="B488">
            <v>2013</v>
          </cell>
          <cell r="C488" t="str">
            <v>IN</v>
          </cell>
          <cell r="D488">
            <v>3672739</v>
          </cell>
          <cell r="E488">
            <v>33406630</v>
          </cell>
          <cell r="F488">
            <v>2771260</v>
          </cell>
          <cell r="G488">
            <v>10.99</v>
          </cell>
          <cell r="H488">
            <v>2328248</v>
          </cell>
          <cell r="I488">
            <v>24252010</v>
          </cell>
          <cell r="J488">
            <v>346933</v>
          </cell>
          <cell r="K488">
            <v>9.6</v>
          </cell>
          <cell r="L488">
            <v>3201509</v>
          </cell>
          <cell r="M488">
            <v>47807527</v>
          </cell>
          <cell r="N488">
            <v>18162</v>
          </cell>
          <cell r="O488">
            <v>6.7</v>
          </cell>
          <cell r="P488">
            <v>2096</v>
          </cell>
          <cell r="Q488">
            <v>21222</v>
          </cell>
          <cell r="R488">
            <v>1</v>
          </cell>
          <cell r="S488">
            <v>9.8699999999999992</v>
          </cell>
          <cell r="T488">
            <v>9204591</v>
          </cell>
          <cell r="U488">
            <v>105487389</v>
          </cell>
          <cell r="V488">
            <v>3136356</v>
          </cell>
          <cell r="W488">
            <v>8.73</v>
          </cell>
        </row>
        <row r="489">
          <cell r="A489" t="str">
            <v>2013KS</v>
          </cell>
          <cell r="B489">
            <v>2013</v>
          </cell>
          <cell r="C489" t="str">
            <v>KS</v>
          </cell>
          <cell r="D489">
            <v>1582807</v>
          </cell>
          <cell r="E489">
            <v>13593003</v>
          </cell>
          <cell r="F489">
            <v>1222985</v>
          </cell>
          <cell r="G489">
            <v>11.64</v>
          </cell>
          <cell r="H489">
            <v>1475546</v>
          </cell>
          <cell r="I489">
            <v>15245028</v>
          </cell>
          <cell r="J489">
            <v>224515</v>
          </cell>
          <cell r="K489">
            <v>9.68</v>
          </cell>
          <cell r="L489">
            <v>813904</v>
          </cell>
          <cell r="M489">
            <v>11009366</v>
          </cell>
          <cell r="N489">
            <v>26394</v>
          </cell>
          <cell r="O489">
            <v>7.39</v>
          </cell>
          <cell r="P489">
            <v>0</v>
          </cell>
          <cell r="Q489">
            <v>0</v>
          </cell>
          <cell r="R489">
            <v>0</v>
          </cell>
          <cell r="S489">
            <v>0</v>
          </cell>
          <cell r="T489">
            <v>3872257</v>
          </cell>
          <cell r="U489">
            <v>39847397</v>
          </cell>
          <cell r="V489">
            <v>1473894</v>
          </cell>
          <cell r="W489">
            <v>9.7200000000000006</v>
          </cell>
        </row>
        <row r="490">
          <cell r="A490" t="str">
            <v>2013KY</v>
          </cell>
          <cell r="B490">
            <v>2013</v>
          </cell>
          <cell r="C490" t="str">
            <v>KY</v>
          </cell>
          <cell r="D490">
            <v>2623038</v>
          </cell>
          <cell r="E490">
            <v>26788098</v>
          </cell>
          <cell r="F490">
            <v>1935245</v>
          </cell>
          <cell r="G490">
            <v>9.7899999999999991</v>
          </cell>
          <cell r="H490">
            <v>1798004</v>
          </cell>
          <cell r="I490">
            <v>21004194</v>
          </cell>
          <cell r="J490">
            <v>297108</v>
          </cell>
          <cell r="K490">
            <v>8.56</v>
          </cell>
          <cell r="L490">
            <v>2094351</v>
          </cell>
          <cell r="M490">
            <v>36971550</v>
          </cell>
          <cell r="N490">
            <v>7185</v>
          </cell>
          <cell r="O490">
            <v>5.66</v>
          </cell>
          <cell r="P490">
            <v>0</v>
          </cell>
          <cell r="Q490">
            <v>0</v>
          </cell>
          <cell r="R490">
            <v>0</v>
          </cell>
          <cell r="S490">
            <v>0</v>
          </cell>
          <cell r="T490">
            <v>6515394</v>
          </cell>
          <cell r="U490">
            <v>84763842</v>
          </cell>
          <cell r="V490">
            <v>2239538</v>
          </cell>
          <cell r="W490">
            <v>7.69</v>
          </cell>
        </row>
        <row r="491">
          <cell r="A491" t="str">
            <v>2013LA</v>
          </cell>
          <cell r="B491">
            <v>2013</v>
          </cell>
          <cell r="C491" t="str">
            <v>LA</v>
          </cell>
          <cell r="D491">
            <v>2895482</v>
          </cell>
          <cell r="E491">
            <v>30709206</v>
          </cell>
          <cell r="F491">
            <v>2011044</v>
          </cell>
          <cell r="G491">
            <v>9.43</v>
          </cell>
          <cell r="H491">
            <v>2173960</v>
          </cell>
          <cell r="I491">
            <v>24253945</v>
          </cell>
          <cell r="J491">
            <v>281835</v>
          </cell>
          <cell r="K491">
            <v>8.9600000000000009</v>
          </cell>
          <cell r="L491">
            <v>1825435</v>
          </cell>
          <cell r="M491">
            <v>30833438</v>
          </cell>
          <cell r="N491">
            <v>19019</v>
          </cell>
          <cell r="O491">
            <v>5.92</v>
          </cell>
          <cell r="P491">
            <v>1072</v>
          </cell>
          <cell r="Q491">
            <v>11343</v>
          </cell>
          <cell r="R491">
            <v>1</v>
          </cell>
          <cell r="S491">
            <v>9.4499999999999993</v>
          </cell>
          <cell r="T491">
            <v>6895949</v>
          </cell>
          <cell r="U491">
            <v>85807932</v>
          </cell>
          <cell r="V491">
            <v>2311899</v>
          </cell>
          <cell r="W491">
            <v>8.0399999999999991</v>
          </cell>
        </row>
        <row r="492">
          <cell r="A492" t="str">
            <v>2013MA</v>
          </cell>
          <cell r="B492">
            <v>2013</v>
          </cell>
          <cell r="C492" t="str">
            <v>MA</v>
          </cell>
          <cell r="D492">
            <v>3282074</v>
          </cell>
          <cell r="E492">
            <v>20727624</v>
          </cell>
          <cell r="F492">
            <v>2708759</v>
          </cell>
          <cell r="G492">
            <v>15.83</v>
          </cell>
          <cell r="H492">
            <v>2521429</v>
          </cell>
          <cell r="I492">
            <v>17713103</v>
          </cell>
          <cell r="J492">
            <v>391856</v>
          </cell>
          <cell r="K492">
            <v>14.23</v>
          </cell>
          <cell r="L492">
            <v>2169240</v>
          </cell>
          <cell r="M492">
            <v>16463343</v>
          </cell>
          <cell r="N492">
            <v>16594</v>
          </cell>
          <cell r="O492">
            <v>13.18</v>
          </cell>
          <cell r="P492">
            <v>47149</v>
          </cell>
          <cell r="Q492">
            <v>361004</v>
          </cell>
          <cell r="R492">
            <v>2</v>
          </cell>
          <cell r="S492">
            <v>13.06</v>
          </cell>
          <cell r="T492">
            <v>8019892</v>
          </cell>
          <cell r="U492">
            <v>55265074</v>
          </cell>
          <cell r="V492">
            <v>3117211</v>
          </cell>
          <cell r="W492">
            <v>14.51</v>
          </cell>
        </row>
        <row r="493">
          <cell r="A493" t="str">
            <v>2013MD</v>
          </cell>
          <cell r="B493">
            <v>2013</v>
          </cell>
          <cell r="C493" t="str">
            <v>MD</v>
          </cell>
          <cell r="D493">
            <v>3638091</v>
          </cell>
          <cell r="E493">
            <v>27448367</v>
          </cell>
          <cell r="F493">
            <v>2218948</v>
          </cell>
          <cell r="G493">
            <v>13.25</v>
          </cell>
          <cell r="H493">
            <v>3201690</v>
          </cell>
          <cell r="I493">
            <v>29966199</v>
          </cell>
          <cell r="J493">
            <v>247168</v>
          </cell>
          <cell r="K493">
            <v>10.68</v>
          </cell>
          <cell r="L493">
            <v>329886</v>
          </cell>
          <cell r="M493">
            <v>3943942</v>
          </cell>
          <cell r="N493">
            <v>8788</v>
          </cell>
          <cell r="O493">
            <v>8.36</v>
          </cell>
          <cell r="P493">
            <v>45807</v>
          </cell>
          <cell r="Q493">
            <v>540970</v>
          </cell>
          <cell r="R493">
            <v>5</v>
          </cell>
          <cell r="S493">
            <v>8.4700000000000006</v>
          </cell>
          <cell r="T493">
            <v>7215474</v>
          </cell>
          <cell r="U493">
            <v>61899478</v>
          </cell>
          <cell r="V493">
            <v>2474909</v>
          </cell>
          <cell r="W493">
            <v>11.66</v>
          </cell>
        </row>
        <row r="494">
          <cell r="A494" t="str">
            <v>2013ME</v>
          </cell>
          <cell r="B494">
            <v>2013</v>
          </cell>
          <cell r="C494" t="str">
            <v>ME</v>
          </cell>
          <cell r="D494">
            <v>669227</v>
          </cell>
          <cell r="E494">
            <v>4662303</v>
          </cell>
          <cell r="F494">
            <v>704775</v>
          </cell>
          <cell r="G494">
            <v>14.35</v>
          </cell>
          <cell r="H494">
            <v>471461</v>
          </cell>
          <cell r="I494">
            <v>4015604</v>
          </cell>
          <cell r="J494">
            <v>89336</v>
          </cell>
          <cell r="K494">
            <v>11.74</v>
          </cell>
          <cell r="L494">
            <v>265002</v>
          </cell>
          <cell r="M494">
            <v>3177140</v>
          </cell>
          <cell r="N494">
            <v>2962</v>
          </cell>
          <cell r="O494">
            <v>8.34</v>
          </cell>
          <cell r="P494">
            <v>0</v>
          </cell>
          <cell r="Q494">
            <v>0</v>
          </cell>
          <cell r="R494">
            <v>0</v>
          </cell>
          <cell r="S494">
            <v>0</v>
          </cell>
          <cell r="T494">
            <v>1405690</v>
          </cell>
          <cell r="U494">
            <v>11855047</v>
          </cell>
          <cell r="V494">
            <v>797073</v>
          </cell>
          <cell r="W494">
            <v>11.86</v>
          </cell>
        </row>
        <row r="495">
          <cell r="A495" t="str">
            <v>2013MI</v>
          </cell>
          <cell r="B495">
            <v>2013</v>
          </cell>
          <cell r="C495" t="str">
            <v>MI</v>
          </cell>
          <cell r="D495">
            <v>4962369</v>
          </cell>
          <cell r="E495">
            <v>34013168</v>
          </cell>
          <cell r="F495">
            <v>4265264</v>
          </cell>
          <cell r="G495">
            <v>14.59</v>
          </cell>
          <cell r="H495">
            <v>4170783</v>
          </cell>
          <cell r="I495">
            <v>37697520</v>
          </cell>
          <cell r="J495">
            <v>520327</v>
          </cell>
          <cell r="K495">
            <v>11.06</v>
          </cell>
          <cell r="L495">
            <v>2416682</v>
          </cell>
          <cell r="M495">
            <v>31321534</v>
          </cell>
          <cell r="N495">
            <v>13419</v>
          </cell>
          <cell r="O495">
            <v>7.72</v>
          </cell>
          <cell r="P495">
            <v>533</v>
          </cell>
          <cell r="Q495">
            <v>6083</v>
          </cell>
          <cell r="R495">
            <v>1</v>
          </cell>
          <cell r="S495">
            <v>8.77</v>
          </cell>
          <cell r="T495">
            <v>11550367</v>
          </cell>
          <cell r="U495">
            <v>103038305</v>
          </cell>
          <cell r="V495">
            <v>4799011</v>
          </cell>
          <cell r="W495">
            <v>11.21</v>
          </cell>
        </row>
        <row r="496">
          <cell r="A496" t="str">
            <v>2013MN</v>
          </cell>
          <cell r="B496">
            <v>2013</v>
          </cell>
          <cell r="C496" t="str">
            <v>MN</v>
          </cell>
          <cell r="D496">
            <v>2698103</v>
          </cell>
          <cell r="E496">
            <v>22849542</v>
          </cell>
          <cell r="F496">
            <v>2329734</v>
          </cell>
          <cell r="G496">
            <v>11.81</v>
          </cell>
          <cell r="H496">
            <v>2170780</v>
          </cell>
          <cell r="I496">
            <v>23041186</v>
          </cell>
          <cell r="J496">
            <v>281187</v>
          </cell>
          <cell r="K496">
            <v>9.42</v>
          </cell>
          <cell r="L496">
            <v>1587306</v>
          </cell>
          <cell r="M496">
            <v>22734273</v>
          </cell>
          <cell r="N496">
            <v>11383</v>
          </cell>
          <cell r="O496">
            <v>6.98</v>
          </cell>
          <cell r="P496">
            <v>1870</v>
          </cell>
          <cell r="Q496">
            <v>19102</v>
          </cell>
          <cell r="R496">
            <v>1</v>
          </cell>
          <cell r="S496">
            <v>9.7899999999999991</v>
          </cell>
          <cell r="T496">
            <v>6458059</v>
          </cell>
          <cell r="U496">
            <v>68644103</v>
          </cell>
          <cell r="V496">
            <v>2622305</v>
          </cell>
          <cell r="W496">
            <v>9.41</v>
          </cell>
        </row>
        <row r="497">
          <cell r="A497" t="str">
            <v>2013MO</v>
          </cell>
          <cell r="B497">
            <v>2013</v>
          </cell>
          <cell r="C497" t="str">
            <v>MO</v>
          </cell>
          <cell r="D497">
            <v>3745002</v>
          </cell>
          <cell r="E497">
            <v>35318204</v>
          </cell>
          <cell r="F497">
            <v>2708934</v>
          </cell>
          <cell r="G497">
            <v>10.6</v>
          </cell>
          <cell r="H497">
            <v>2686659</v>
          </cell>
          <cell r="I497">
            <v>30515252</v>
          </cell>
          <cell r="J497">
            <v>371712</v>
          </cell>
          <cell r="K497">
            <v>8.8000000000000007</v>
          </cell>
          <cell r="L497">
            <v>1104696</v>
          </cell>
          <cell r="M497">
            <v>17551296</v>
          </cell>
          <cell r="N497">
            <v>10274</v>
          </cell>
          <cell r="O497">
            <v>6.29</v>
          </cell>
          <cell r="P497">
            <v>1735</v>
          </cell>
          <cell r="Q497">
            <v>22205</v>
          </cell>
          <cell r="R497">
            <v>1</v>
          </cell>
          <cell r="S497">
            <v>7.81</v>
          </cell>
          <cell r="T497">
            <v>7538092</v>
          </cell>
          <cell r="U497">
            <v>83406957</v>
          </cell>
          <cell r="V497">
            <v>3090921</v>
          </cell>
          <cell r="W497">
            <v>9.0399999999999991</v>
          </cell>
        </row>
        <row r="498">
          <cell r="A498" t="str">
            <v>2013MS</v>
          </cell>
          <cell r="B498">
            <v>2013</v>
          </cell>
          <cell r="C498" t="str">
            <v>MS</v>
          </cell>
          <cell r="D498">
            <v>1989585</v>
          </cell>
          <cell r="E498">
            <v>18462415</v>
          </cell>
          <cell r="F498">
            <v>1260892</v>
          </cell>
          <cell r="G498">
            <v>10.78</v>
          </cell>
          <cell r="H498">
            <v>1433114</v>
          </cell>
          <cell r="I498">
            <v>14187814</v>
          </cell>
          <cell r="J498">
            <v>228508</v>
          </cell>
          <cell r="K498">
            <v>10.1</v>
          </cell>
          <cell r="L498">
            <v>1022567</v>
          </cell>
          <cell r="M498">
            <v>16131761</v>
          </cell>
          <cell r="N498">
            <v>7165</v>
          </cell>
          <cell r="O498">
            <v>6.34</v>
          </cell>
          <cell r="P498">
            <v>0</v>
          </cell>
          <cell r="Q498">
            <v>0</v>
          </cell>
          <cell r="R498">
            <v>0</v>
          </cell>
          <cell r="S498">
            <v>0</v>
          </cell>
          <cell r="T498">
            <v>4445266</v>
          </cell>
          <cell r="U498">
            <v>48781990</v>
          </cell>
          <cell r="V498">
            <v>1496565</v>
          </cell>
          <cell r="W498">
            <v>9.11</v>
          </cell>
        </row>
        <row r="499">
          <cell r="A499" t="str">
            <v>2013MT</v>
          </cell>
          <cell r="B499">
            <v>2013</v>
          </cell>
          <cell r="C499" t="str">
            <v>MT</v>
          </cell>
          <cell r="D499">
            <v>508873</v>
          </cell>
          <cell r="E499">
            <v>4926471</v>
          </cell>
          <cell r="F499">
            <v>477266</v>
          </cell>
          <cell r="G499">
            <v>10.33</v>
          </cell>
          <cell r="H499">
            <v>466259</v>
          </cell>
          <cell r="I499">
            <v>4889642</v>
          </cell>
          <cell r="J499">
            <v>101216</v>
          </cell>
          <cell r="K499">
            <v>9.5399999999999991</v>
          </cell>
          <cell r="L499">
            <v>229520</v>
          </cell>
          <cell r="M499">
            <v>4229061</v>
          </cell>
          <cell r="N499">
            <v>8692</v>
          </cell>
          <cell r="O499">
            <v>5.43</v>
          </cell>
          <cell r="P499">
            <v>0</v>
          </cell>
          <cell r="Q499">
            <v>0</v>
          </cell>
          <cell r="R499">
            <v>0</v>
          </cell>
          <cell r="S499">
            <v>0</v>
          </cell>
          <cell r="T499">
            <v>1204652</v>
          </cell>
          <cell r="U499">
            <v>14045174</v>
          </cell>
          <cell r="V499">
            <v>587174</v>
          </cell>
          <cell r="W499">
            <v>8.58</v>
          </cell>
        </row>
        <row r="500">
          <cell r="A500" t="str">
            <v>2013NC</v>
          </cell>
          <cell r="B500">
            <v>2013</v>
          </cell>
          <cell r="C500" t="str">
            <v>NC</v>
          </cell>
          <cell r="D500">
            <v>6172487</v>
          </cell>
          <cell r="E500">
            <v>56251297</v>
          </cell>
          <cell r="F500">
            <v>4268019</v>
          </cell>
          <cell r="G500">
            <v>10.97</v>
          </cell>
          <cell r="H500">
            <v>4085188</v>
          </cell>
          <cell r="I500">
            <v>46648766</v>
          </cell>
          <cell r="J500">
            <v>654747</v>
          </cell>
          <cell r="K500">
            <v>8.76</v>
          </cell>
          <cell r="L500">
            <v>1732933</v>
          </cell>
          <cell r="M500">
            <v>26872437</v>
          </cell>
          <cell r="N500">
            <v>10276</v>
          </cell>
          <cell r="O500">
            <v>6.45</v>
          </cell>
          <cell r="P500">
            <v>588</v>
          </cell>
          <cell r="Q500">
            <v>7405</v>
          </cell>
          <cell r="R500">
            <v>1</v>
          </cell>
          <cell r="S500">
            <v>7.94</v>
          </cell>
          <cell r="T500">
            <v>11991196</v>
          </cell>
          <cell r="U500">
            <v>129779905</v>
          </cell>
          <cell r="V500">
            <v>4933043</v>
          </cell>
          <cell r="W500">
            <v>9.24</v>
          </cell>
        </row>
        <row r="501">
          <cell r="A501" t="str">
            <v>2013ND</v>
          </cell>
          <cell r="B501">
            <v>2013</v>
          </cell>
          <cell r="C501" t="str">
            <v>ND</v>
          </cell>
          <cell r="D501">
            <v>459360</v>
          </cell>
          <cell r="E501">
            <v>5038846</v>
          </cell>
          <cell r="F501">
            <v>348486</v>
          </cell>
          <cell r="G501">
            <v>9.1199999999999992</v>
          </cell>
          <cell r="H501">
            <v>476912</v>
          </cell>
          <cell r="I501">
            <v>5685146</v>
          </cell>
          <cell r="J501">
            <v>66801</v>
          </cell>
          <cell r="K501">
            <v>8.39</v>
          </cell>
          <cell r="L501">
            <v>378338</v>
          </cell>
          <cell r="M501">
            <v>5308975</v>
          </cell>
          <cell r="N501">
            <v>6683</v>
          </cell>
          <cell r="O501">
            <v>7.13</v>
          </cell>
          <cell r="P501">
            <v>0</v>
          </cell>
          <cell r="Q501">
            <v>0</v>
          </cell>
          <cell r="R501">
            <v>0</v>
          </cell>
          <cell r="S501">
            <v>0</v>
          </cell>
          <cell r="T501">
            <v>1314610</v>
          </cell>
          <cell r="U501">
            <v>16032967</v>
          </cell>
          <cell r="V501">
            <v>421970</v>
          </cell>
          <cell r="W501">
            <v>8.1999999999999993</v>
          </cell>
        </row>
        <row r="502">
          <cell r="A502" t="str">
            <v>2013NE</v>
          </cell>
          <cell r="B502">
            <v>2013</v>
          </cell>
          <cell r="C502" t="str">
            <v>NE</v>
          </cell>
          <cell r="D502">
            <v>1037786</v>
          </cell>
          <cell r="E502">
            <v>10062159</v>
          </cell>
          <cell r="F502">
            <v>810867</v>
          </cell>
          <cell r="G502">
            <v>10.31</v>
          </cell>
          <cell r="H502">
            <v>807459</v>
          </cell>
          <cell r="I502">
            <v>9387074</v>
          </cell>
          <cell r="J502">
            <v>148648</v>
          </cell>
          <cell r="K502">
            <v>8.6</v>
          </cell>
          <cell r="L502">
            <v>837384</v>
          </cell>
          <cell r="M502">
            <v>11251372</v>
          </cell>
          <cell r="N502">
            <v>56365</v>
          </cell>
          <cell r="O502">
            <v>7.44</v>
          </cell>
          <cell r="P502">
            <v>0</v>
          </cell>
          <cell r="Q502">
            <v>0</v>
          </cell>
          <cell r="R502">
            <v>0</v>
          </cell>
          <cell r="S502">
            <v>0</v>
          </cell>
          <cell r="T502">
            <v>2682629</v>
          </cell>
          <cell r="U502">
            <v>30700605</v>
          </cell>
          <cell r="V502">
            <v>1015880</v>
          </cell>
          <cell r="W502">
            <v>8.74</v>
          </cell>
        </row>
        <row r="503">
          <cell r="A503" t="str">
            <v>2013NH</v>
          </cell>
          <cell r="B503">
            <v>2013</v>
          </cell>
          <cell r="C503" t="str">
            <v>NH</v>
          </cell>
          <cell r="D503">
            <v>743587</v>
          </cell>
          <cell r="E503">
            <v>4553871</v>
          </cell>
          <cell r="F503">
            <v>603628</v>
          </cell>
          <cell r="G503">
            <v>16.329999999999998</v>
          </cell>
          <cell r="H503">
            <v>610718</v>
          </cell>
          <cell r="I503">
            <v>4516866</v>
          </cell>
          <cell r="J503">
            <v>105461</v>
          </cell>
          <cell r="K503">
            <v>13.52</v>
          </cell>
          <cell r="L503">
            <v>224839</v>
          </cell>
          <cell r="M503">
            <v>1972539</v>
          </cell>
          <cell r="N503">
            <v>3371</v>
          </cell>
          <cell r="O503">
            <v>11.4</v>
          </cell>
          <cell r="P503">
            <v>0</v>
          </cell>
          <cell r="Q503">
            <v>0</v>
          </cell>
          <cell r="R503">
            <v>0</v>
          </cell>
          <cell r="S503">
            <v>0</v>
          </cell>
          <cell r="T503">
            <v>1579144</v>
          </cell>
          <cell r="U503">
            <v>11043276</v>
          </cell>
          <cell r="V503">
            <v>712460</v>
          </cell>
          <cell r="W503">
            <v>14.3</v>
          </cell>
        </row>
        <row r="504">
          <cell r="A504" t="str">
            <v>2013NJ</v>
          </cell>
          <cell r="B504">
            <v>2013</v>
          </cell>
          <cell r="C504" t="str">
            <v>NJ</v>
          </cell>
          <cell r="D504">
            <v>4489692</v>
          </cell>
          <cell r="E504">
            <v>28544638</v>
          </cell>
          <cell r="F504">
            <v>3461109</v>
          </cell>
          <cell r="G504">
            <v>15.73</v>
          </cell>
          <cell r="H504">
            <v>4883739</v>
          </cell>
          <cell r="I504">
            <v>38231099</v>
          </cell>
          <cell r="J504">
            <v>482105</v>
          </cell>
          <cell r="K504">
            <v>12.77</v>
          </cell>
          <cell r="L504">
            <v>816914</v>
          </cell>
          <cell r="M504">
            <v>7565722</v>
          </cell>
          <cell r="N504">
            <v>12369</v>
          </cell>
          <cell r="O504">
            <v>10.8</v>
          </cell>
          <cell r="P504">
            <v>31898</v>
          </cell>
          <cell r="Q504">
            <v>300940</v>
          </cell>
          <cell r="R504">
            <v>5</v>
          </cell>
          <cell r="S504">
            <v>10.6</v>
          </cell>
          <cell r="T504">
            <v>10222244</v>
          </cell>
          <cell r="U504">
            <v>74642399</v>
          </cell>
          <cell r="V504">
            <v>3955588</v>
          </cell>
          <cell r="W504">
            <v>13.7</v>
          </cell>
        </row>
        <row r="505">
          <cell r="A505" t="str">
            <v>2013NM</v>
          </cell>
          <cell r="B505">
            <v>2013</v>
          </cell>
          <cell r="C505" t="str">
            <v>NM</v>
          </cell>
          <cell r="D505">
            <v>794916</v>
          </cell>
          <cell r="E505">
            <v>6803987</v>
          </cell>
          <cell r="F505">
            <v>865195</v>
          </cell>
          <cell r="G505">
            <v>11.68</v>
          </cell>
          <cell r="H505">
            <v>874970</v>
          </cell>
          <cell r="I505">
            <v>8982563</v>
          </cell>
          <cell r="J505">
            <v>138801</v>
          </cell>
          <cell r="K505">
            <v>9.74</v>
          </cell>
          <cell r="L505">
            <v>462597</v>
          </cell>
          <cell r="M505">
            <v>7278476</v>
          </cell>
          <cell r="N505">
            <v>8676</v>
          </cell>
          <cell r="O505">
            <v>6.36</v>
          </cell>
          <cell r="P505">
            <v>0</v>
          </cell>
          <cell r="Q505">
            <v>0</v>
          </cell>
          <cell r="R505">
            <v>0</v>
          </cell>
          <cell r="S505">
            <v>0</v>
          </cell>
          <cell r="T505">
            <v>2132483</v>
          </cell>
          <cell r="U505">
            <v>23065026</v>
          </cell>
          <cell r="V505">
            <v>1012672</v>
          </cell>
          <cell r="W505">
            <v>9.25</v>
          </cell>
        </row>
        <row r="506">
          <cell r="A506" t="str">
            <v>2013NV</v>
          </cell>
          <cell r="B506">
            <v>2013</v>
          </cell>
          <cell r="C506" t="str">
            <v>NV</v>
          </cell>
          <cell r="D506">
            <v>1444315</v>
          </cell>
          <cell r="E506">
            <v>12142431</v>
          </cell>
          <cell r="F506">
            <v>1094770</v>
          </cell>
          <cell r="G506">
            <v>11.89</v>
          </cell>
          <cell r="H506">
            <v>838527</v>
          </cell>
          <cell r="I506">
            <v>9301939</v>
          </cell>
          <cell r="J506">
            <v>158355</v>
          </cell>
          <cell r="K506">
            <v>9.01</v>
          </cell>
          <cell r="L506">
            <v>896458</v>
          </cell>
          <cell r="M506">
            <v>13758569</v>
          </cell>
          <cell r="N506">
            <v>3783</v>
          </cell>
          <cell r="O506">
            <v>6.52</v>
          </cell>
          <cell r="P506">
            <v>701</v>
          </cell>
          <cell r="Q506">
            <v>8276</v>
          </cell>
          <cell r="R506">
            <v>1</v>
          </cell>
          <cell r="S506">
            <v>8.4700000000000006</v>
          </cell>
          <cell r="T506">
            <v>3180001</v>
          </cell>
          <cell r="U506">
            <v>35211215</v>
          </cell>
          <cell r="V506">
            <v>1256909</v>
          </cell>
          <cell r="W506">
            <v>9.0299999999999994</v>
          </cell>
        </row>
        <row r="507">
          <cell r="A507" t="str">
            <v>2013NY</v>
          </cell>
          <cell r="B507">
            <v>2013</v>
          </cell>
          <cell r="C507" t="str">
            <v>NY</v>
          </cell>
          <cell r="D507">
            <v>9543510</v>
          </cell>
          <cell r="E507">
            <v>50777369</v>
          </cell>
          <cell r="F507">
            <v>7027866</v>
          </cell>
          <cell r="G507">
            <v>18.79</v>
          </cell>
          <cell r="H507">
            <v>11721657</v>
          </cell>
          <cell r="I507">
            <v>76342319</v>
          </cell>
          <cell r="J507">
            <v>1040398</v>
          </cell>
          <cell r="K507">
            <v>15.35</v>
          </cell>
          <cell r="L507">
            <v>1179389</v>
          </cell>
          <cell r="M507">
            <v>17910950</v>
          </cell>
          <cell r="N507">
            <v>7960</v>
          </cell>
          <cell r="O507">
            <v>6.58</v>
          </cell>
          <cell r="P507">
            <v>391038</v>
          </cell>
          <cell r="Q507">
            <v>2864489</v>
          </cell>
          <cell r="R507">
            <v>6</v>
          </cell>
          <cell r="S507">
            <v>13.65</v>
          </cell>
          <cell r="T507">
            <v>22835593</v>
          </cell>
          <cell r="U507">
            <v>147895127</v>
          </cell>
          <cell r="V507">
            <v>8076230</v>
          </cell>
          <cell r="W507">
            <v>15.44</v>
          </cell>
        </row>
        <row r="508">
          <cell r="A508" t="str">
            <v>2013OH</v>
          </cell>
          <cell r="B508">
            <v>2013</v>
          </cell>
          <cell r="C508" t="str">
            <v>OH</v>
          </cell>
          <cell r="D508">
            <v>6264302</v>
          </cell>
          <cell r="E508">
            <v>52158094</v>
          </cell>
          <cell r="F508">
            <v>4875346</v>
          </cell>
          <cell r="G508">
            <v>12.01</v>
          </cell>
          <cell r="H508">
            <v>4367476</v>
          </cell>
          <cell r="I508">
            <v>46717859</v>
          </cell>
          <cell r="J508">
            <v>613964</v>
          </cell>
          <cell r="K508">
            <v>9.35</v>
          </cell>
          <cell r="L508">
            <v>3196429</v>
          </cell>
          <cell r="M508">
            <v>51387011</v>
          </cell>
          <cell r="N508">
            <v>19360</v>
          </cell>
          <cell r="O508">
            <v>6.22</v>
          </cell>
          <cell r="P508">
            <v>2917</v>
          </cell>
          <cell r="Q508">
            <v>44054</v>
          </cell>
          <cell r="R508">
            <v>2</v>
          </cell>
          <cell r="S508">
            <v>6.62</v>
          </cell>
          <cell r="T508">
            <v>13831124</v>
          </cell>
          <cell r="U508">
            <v>150307018</v>
          </cell>
          <cell r="V508">
            <v>5508672</v>
          </cell>
          <cell r="W508">
            <v>9.1999999999999993</v>
          </cell>
        </row>
        <row r="509">
          <cell r="A509" t="str">
            <v>2013OK</v>
          </cell>
          <cell r="B509">
            <v>2013</v>
          </cell>
          <cell r="C509" t="str">
            <v>OK</v>
          </cell>
          <cell r="D509">
            <v>2244427</v>
          </cell>
          <cell r="E509">
            <v>23199968</v>
          </cell>
          <cell r="F509">
            <v>1693151</v>
          </cell>
          <cell r="G509">
            <v>9.67</v>
          </cell>
          <cell r="H509">
            <v>1541200</v>
          </cell>
          <cell r="I509">
            <v>19843129</v>
          </cell>
          <cell r="J509">
            <v>271698</v>
          </cell>
          <cell r="K509">
            <v>7.77</v>
          </cell>
          <cell r="L509">
            <v>927308</v>
          </cell>
          <cell r="M509">
            <v>16886075</v>
          </cell>
          <cell r="N509">
            <v>18471</v>
          </cell>
          <cell r="O509">
            <v>5.49</v>
          </cell>
          <cell r="P509">
            <v>0</v>
          </cell>
          <cell r="Q509">
            <v>0</v>
          </cell>
          <cell r="R509">
            <v>0</v>
          </cell>
          <cell r="S509">
            <v>0</v>
          </cell>
          <cell r="T509">
            <v>4712935</v>
          </cell>
          <cell r="U509">
            <v>59929172</v>
          </cell>
          <cell r="V509">
            <v>1983320</v>
          </cell>
          <cell r="W509">
            <v>7.86</v>
          </cell>
        </row>
        <row r="510">
          <cell r="A510" t="str">
            <v>2013OR</v>
          </cell>
          <cell r="B510">
            <v>2013</v>
          </cell>
          <cell r="C510" t="str">
            <v>OR</v>
          </cell>
          <cell r="D510">
            <v>1913137</v>
          </cell>
          <cell r="E510">
            <v>19328558</v>
          </cell>
          <cell r="F510">
            <v>1650803</v>
          </cell>
          <cell r="G510">
            <v>9.9</v>
          </cell>
          <cell r="H510">
            <v>1395822</v>
          </cell>
          <cell r="I510">
            <v>16080354</v>
          </cell>
          <cell r="J510">
            <v>235191</v>
          </cell>
          <cell r="K510">
            <v>8.68</v>
          </cell>
          <cell r="L510">
            <v>707974</v>
          </cell>
          <cell r="M510">
            <v>12209593</v>
          </cell>
          <cell r="N510">
            <v>23392</v>
          </cell>
          <cell r="O510">
            <v>5.8</v>
          </cell>
          <cell r="P510">
            <v>1996</v>
          </cell>
          <cell r="Q510">
            <v>22473</v>
          </cell>
          <cell r="R510">
            <v>4</v>
          </cell>
          <cell r="S510">
            <v>8.8800000000000008</v>
          </cell>
          <cell r="T510">
            <v>4018928</v>
          </cell>
          <cell r="U510">
            <v>47640978</v>
          </cell>
          <cell r="V510">
            <v>1909390</v>
          </cell>
          <cell r="W510">
            <v>8.44</v>
          </cell>
        </row>
        <row r="511">
          <cell r="A511" t="str">
            <v>2013PA</v>
          </cell>
          <cell r="B511">
            <v>2013</v>
          </cell>
          <cell r="C511" t="str">
            <v>PA</v>
          </cell>
          <cell r="D511">
            <v>6938374</v>
          </cell>
          <cell r="E511">
            <v>54251847</v>
          </cell>
          <cell r="F511">
            <v>5272857</v>
          </cell>
          <cell r="G511">
            <v>12.79</v>
          </cell>
          <cell r="H511">
            <v>3990880</v>
          </cell>
          <cell r="I511">
            <v>43145011</v>
          </cell>
          <cell r="J511">
            <v>689355</v>
          </cell>
          <cell r="K511">
            <v>9.25</v>
          </cell>
          <cell r="L511">
            <v>3347992</v>
          </cell>
          <cell r="M511">
            <v>48043117</v>
          </cell>
          <cell r="N511">
            <v>24601</v>
          </cell>
          <cell r="O511">
            <v>6.97</v>
          </cell>
          <cell r="P511">
            <v>63526</v>
          </cell>
          <cell r="Q511">
            <v>813788</v>
          </cell>
          <cell r="R511">
            <v>4</v>
          </cell>
          <cell r="S511">
            <v>7.81</v>
          </cell>
          <cell r="T511">
            <v>14340772</v>
          </cell>
          <cell r="U511">
            <v>146253763</v>
          </cell>
          <cell r="V511">
            <v>5986817</v>
          </cell>
          <cell r="W511">
            <v>9.81</v>
          </cell>
        </row>
        <row r="512">
          <cell r="A512" t="str">
            <v>2013RI</v>
          </cell>
          <cell r="B512">
            <v>2013</v>
          </cell>
          <cell r="C512" t="str">
            <v>RI</v>
          </cell>
          <cell r="D512">
            <v>481014</v>
          </cell>
          <cell r="E512">
            <v>3164692</v>
          </cell>
          <cell r="F512">
            <v>438198</v>
          </cell>
          <cell r="G512">
            <v>15.2</v>
          </cell>
          <cell r="H512">
            <v>473699</v>
          </cell>
          <cell r="I512">
            <v>3667095</v>
          </cell>
          <cell r="J512">
            <v>58317</v>
          </cell>
          <cell r="K512">
            <v>12.92</v>
          </cell>
          <cell r="L512">
            <v>109106</v>
          </cell>
          <cell r="M512">
            <v>922911</v>
          </cell>
          <cell r="N512">
            <v>1913</v>
          </cell>
          <cell r="O512">
            <v>11.82</v>
          </cell>
          <cell r="P512">
            <v>3443</v>
          </cell>
          <cell r="Q512">
            <v>26424</v>
          </cell>
          <cell r="R512">
            <v>1</v>
          </cell>
          <cell r="S512">
            <v>13.03</v>
          </cell>
          <cell r="T512">
            <v>1067261</v>
          </cell>
          <cell r="U512">
            <v>7781122</v>
          </cell>
          <cell r="V512">
            <v>498429</v>
          </cell>
          <cell r="W512">
            <v>13.72</v>
          </cell>
        </row>
        <row r="513">
          <cell r="A513" t="str">
            <v>2013SC</v>
          </cell>
          <cell r="B513">
            <v>2013</v>
          </cell>
          <cell r="C513" t="str">
            <v>SC</v>
          </cell>
          <cell r="D513">
            <v>3455720</v>
          </cell>
          <cell r="E513">
            <v>28812518</v>
          </cell>
          <cell r="F513">
            <v>2135432</v>
          </cell>
          <cell r="G513">
            <v>11.99</v>
          </cell>
          <cell r="H513">
            <v>2086085</v>
          </cell>
          <cell r="I513">
            <v>21120198</v>
          </cell>
          <cell r="J513">
            <v>346026</v>
          </cell>
          <cell r="K513">
            <v>9.8800000000000008</v>
          </cell>
          <cell r="L513">
            <v>1722902</v>
          </cell>
          <cell r="M513">
            <v>28669378</v>
          </cell>
          <cell r="N513">
            <v>4479</v>
          </cell>
          <cell r="O513">
            <v>6.01</v>
          </cell>
          <cell r="P513">
            <v>0</v>
          </cell>
          <cell r="Q513">
            <v>0</v>
          </cell>
          <cell r="R513">
            <v>0</v>
          </cell>
          <cell r="S513">
            <v>0</v>
          </cell>
          <cell r="T513">
            <v>7264707</v>
          </cell>
          <cell r="U513">
            <v>78602094</v>
          </cell>
          <cell r="V513">
            <v>2485937</v>
          </cell>
          <cell r="W513">
            <v>9.24</v>
          </cell>
        </row>
        <row r="514">
          <cell r="A514" t="str">
            <v>2013SD</v>
          </cell>
          <cell r="B514">
            <v>2013</v>
          </cell>
          <cell r="C514" t="str">
            <v>SD</v>
          </cell>
          <cell r="D514">
            <v>494855</v>
          </cell>
          <cell r="E514">
            <v>4824150</v>
          </cell>
          <cell r="F514">
            <v>381081</v>
          </cell>
          <cell r="G514">
            <v>10.26</v>
          </cell>
          <cell r="H514">
            <v>396838</v>
          </cell>
          <cell r="I514">
            <v>4661845</v>
          </cell>
          <cell r="J514">
            <v>69446</v>
          </cell>
          <cell r="K514">
            <v>8.51</v>
          </cell>
          <cell r="L514">
            <v>189746</v>
          </cell>
          <cell r="M514">
            <v>2723804</v>
          </cell>
          <cell r="N514">
            <v>3535</v>
          </cell>
          <cell r="O514">
            <v>6.97</v>
          </cell>
          <cell r="P514">
            <v>0</v>
          </cell>
          <cell r="Q514">
            <v>0</v>
          </cell>
          <cell r="R514">
            <v>0</v>
          </cell>
          <cell r="S514">
            <v>0</v>
          </cell>
          <cell r="T514">
            <v>1081439</v>
          </cell>
          <cell r="U514">
            <v>12209799</v>
          </cell>
          <cell r="V514">
            <v>454062</v>
          </cell>
          <cell r="W514">
            <v>8.86</v>
          </cell>
        </row>
        <row r="515">
          <cell r="A515" t="str">
            <v>2013TN</v>
          </cell>
          <cell r="B515">
            <v>2013</v>
          </cell>
          <cell r="C515" t="str">
            <v>TN</v>
          </cell>
          <cell r="D515">
            <v>4083088</v>
          </cell>
          <cell r="E515">
            <v>40905924</v>
          </cell>
          <cell r="F515">
            <v>2738547</v>
          </cell>
          <cell r="G515">
            <v>9.98</v>
          </cell>
          <cell r="H515">
            <v>3356761</v>
          </cell>
          <cell r="I515">
            <v>33574605</v>
          </cell>
          <cell r="J515">
            <v>469382</v>
          </cell>
          <cell r="K515">
            <v>10</v>
          </cell>
          <cell r="L515">
            <v>1412984</v>
          </cell>
          <cell r="M515">
            <v>22461702</v>
          </cell>
          <cell r="N515">
            <v>1191</v>
          </cell>
          <cell r="O515">
            <v>6.29</v>
          </cell>
          <cell r="P515">
            <v>208</v>
          </cell>
          <cell r="Q515">
            <v>1782</v>
          </cell>
          <cell r="R515">
            <v>1</v>
          </cell>
          <cell r="S515">
            <v>11.68</v>
          </cell>
          <cell r="T515">
            <v>8853041</v>
          </cell>
          <cell r="U515">
            <v>96944013</v>
          </cell>
          <cell r="V515">
            <v>3209121</v>
          </cell>
          <cell r="W515">
            <v>9.1300000000000008</v>
          </cell>
        </row>
        <row r="516">
          <cell r="A516" t="str">
            <v>2013TX</v>
          </cell>
          <cell r="B516">
            <v>2013</v>
          </cell>
          <cell r="C516" t="str">
            <v>TX</v>
          </cell>
          <cell r="D516">
            <v>15926136</v>
          </cell>
          <cell r="E516">
            <v>140272607</v>
          </cell>
          <cell r="F516">
            <v>9954303</v>
          </cell>
          <cell r="G516">
            <v>11.35</v>
          </cell>
          <cell r="H516">
            <v>10944864</v>
          </cell>
          <cell r="I516">
            <v>136516037</v>
          </cell>
          <cell r="J516">
            <v>1366825</v>
          </cell>
          <cell r="K516">
            <v>8.02</v>
          </cell>
          <cell r="L516">
            <v>5920133</v>
          </cell>
          <cell r="M516">
            <v>101967843</v>
          </cell>
          <cell r="N516">
            <v>95881</v>
          </cell>
          <cell r="O516">
            <v>5.81</v>
          </cell>
          <cell r="P516">
            <v>6190</v>
          </cell>
          <cell r="Q516">
            <v>60767</v>
          </cell>
          <cell r="R516">
            <v>3</v>
          </cell>
          <cell r="S516">
            <v>10.19</v>
          </cell>
          <cell r="T516">
            <v>32797323</v>
          </cell>
          <cell r="U516">
            <v>378817254</v>
          </cell>
          <cell r="V516">
            <v>11417012</v>
          </cell>
          <cell r="W516">
            <v>8.66</v>
          </cell>
        </row>
        <row r="517">
          <cell r="A517" t="str">
            <v>2013UT</v>
          </cell>
          <cell r="B517">
            <v>2013</v>
          </cell>
          <cell r="C517" t="str">
            <v>UT</v>
          </cell>
          <cell r="D517">
            <v>974822</v>
          </cell>
          <cell r="E517">
            <v>9401748</v>
          </cell>
          <cell r="F517">
            <v>981194</v>
          </cell>
          <cell r="G517">
            <v>10.37</v>
          </cell>
          <cell r="H517">
            <v>915606</v>
          </cell>
          <cell r="I517">
            <v>11007765</v>
          </cell>
          <cell r="J517">
            <v>116263</v>
          </cell>
          <cell r="K517">
            <v>8.32</v>
          </cell>
          <cell r="L517">
            <v>587626</v>
          </cell>
          <cell r="M517">
            <v>10010410</v>
          </cell>
          <cell r="N517">
            <v>9629</v>
          </cell>
          <cell r="O517">
            <v>5.87</v>
          </cell>
          <cell r="P517">
            <v>5779</v>
          </cell>
          <cell r="Q517">
            <v>54111</v>
          </cell>
          <cell r="R517">
            <v>1</v>
          </cell>
          <cell r="S517">
            <v>10.68</v>
          </cell>
          <cell r="T517">
            <v>2483833</v>
          </cell>
          <cell r="U517">
            <v>30474034</v>
          </cell>
          <cell r="V517">
            <v>1107087</v>
          </cell>
          <cell r="W517">
            <v>8.15</v>
          </cell>
        </row>
        <row r="518">
          <cell r="A518" t="str">
            <v>2013VA</v>
          </cell>
          <cell r="B518">
            <v>2013</v>
          </cell>
          <cell r="C518" t="str">
            <v>VA</v>
          </cell>
          <cell r="D518">
            <v>4924510</v>
          </cell>
          <cell r="E518">
            <v>45416253</v>
          </cell>
          <cell r="F518">
            <v>3273502</v>
          </cell>
          <cell r="G518">
            <v>10.84</v>
          </cell>
          <cell r="H518">
            <v>3820166</v>
          </cell>
          <cell r="I518">
            <v>47750595</v>
          </cell>
          <cell r="J518">
            <v>422713</v>
          </cell>
          <cell r="K518">
            <v>8</v>
          </cell>
          <cell r="L518">
            <v>1136239</v>
          </cell>
          <cell r="M518">
            <v>17150375</v>
          </cell>
          <cell r="N518">
            <v>3585</v>
          </cell>
          <cell r="O518">
            <v>6.63</v>
          </cell>
          <cell r="P518">
            <v>15897</v>
          </cell>
          <cell r="Q518">
            <v>194604</v>
          </cell>
          <cell r="R518">
            <v>1</v>
          </cell>
          <cell r="S518">
            <v>8.17</v>
          </cell>
          <cell r="T518">
            <v>9896812</v>
          </cell>
          <cell r="U518">
            <v>110511827</v>
          </cell>
          <cell r="V518">
            <v>3699801</v>
          </cell>
          <cell r="W518">
            <v>8.9600000000000009</v>
          </cell>
        </row>
        <row r="519">
          <cell r="A519" t="str">
            <v>2013VT</v>
          </cell>
          <cell r="B519">
            <v>2013</v>
          </cell>
          <cell r="C519" t="str">
            <v>VT</v>
          </cell>
          <cell r="D519">
            <v>364245</v>
          </cell>
          <cell r="E519">
            <v>2125435</v>
          </cell>
          <cell r="F519">
            <v>311308</v>
          </cell>
          <cell r="G519">
            <v>17.14</v>
          </cell>
          <cell r="H519">
            <v>295636</v>
          </cell>
          <cell r="I519">
            <v>2016501</v>
          </cell>
          <cell r="J519">
            <v>51733</v>
          </cell>
          <cell r="K519">
            <v>14.66</v>
          </cell>
          <cell r="L519">
            <v>156753</v>
          </cell>
          <cell r="M519">
            <v>1445776</v>
          </cell>
          <cell r="N519">
            <v>223</v>
          </cell>
          <cell r="O519">
            <v>10.84</v>
          </cell>
          <cell r="P519">
            <v>0</v>
          </cell>
          <cell r="Q519">
            <v>0</v>
          </cell>
          <cell r="R519">
            <v>0</v>
          </cell>
          <cell r="S519">
            <v>0</v>
          </cell>
          <cell r="T519">
            <v>816634</v>
          </cell>
          <cell r="U519">
            <v>5587712</v>
          </cell>
          <cell r="V519">
            <v>363264</v>
          </cell>
          <cell r="W519">
            <v>14.61</v>
          </cell>
        </row>
        <row r="520">
          <cell r="A520" t="str">
            <v>2013WA</v>
          </cell>
          <cell r="B520">
            <v>2013</v>
          </cell>
          <cell r="C520" t="str">
            <v>WA</v>
          </cell>
          <cell r="D520">
            <v>3129362</v>
          </cell>
          <cell r="E520">
            <v>35983486</v>
          </cell>
          <cell r="F520">
            <v>2880008</v>
          </cell>
          <cell r="G520">
            <v>8.6999999999999993</v>
          </cell>
          <cell r="H520">
            <v>2307207</v>
          </cell>
          <cell r="I520">
            <v>29658670</v>
          </cell>
          <cell r="J520">
            <v>360855</v>
          </cell>
          <cell r="K520">
            <v>7.78</v>
          </cell>
          <cell r="L520">
            <v>1152363</v>
          </cell>
          <cell r="M520">
            <v>27234626</v>
          </cell>
          <cell r="N520">
            <v>27808</v>
          </cell>
          <cell r="O520">
            <v>4.2300000000000004</v>
          </cell>
          <cell r="P520">
            <v>478</v>
          </cell>
          <cell r="Q520">
            <v>5941</v>
          </cell>
          <cell r="R520">
            <v>6</v>
          </cell>
          <cell r="S520">
            <v>8.0399999999999991</v>
          </cell>
          <cell r="T520">
            <v>6589411</v>
          </cell>
          <cell r="U520">
            <v>92882723</v>
          </cell>
          <cell r="V520">
            <v>3268677</v>
          </cell>
          <cell r="W520">
            <v>7.09</v>
          </cell>
        </row>
        <row r="521">
          <cell r="A521" t="str">
            <v>2013WI</v>
          </cell>
          <cell r="B521">
            <v>2013</v>
          </cell>
          <cell r="C521" t="str">
            <v>WI</v>
          </cell>
          <cell r="D521">
            <v>2993098</v>
          </cell>
          <cell r="E521">
            <v>22095922</v>
          </cell>
          <cell r="F521">
            <v>2619676</v>
          </cell>
          <cell r="G521">
            <v>13.55</v>
          </cell>
          <cell r="H521">
            <v>2542086</v>
          </cell>
          <cell r="I521">
            <v>23658373</v>
          </cell>
          <cell r="J521">
            <v>341657</v>
          </cell>
          <cell r="K521">
            <v>10.75</v>
          </cell>
          <cell r="L521">
            <v>1729642</v>
          </cell>
          <cell r="M521">
            <v>23369748</v>
          </cell>
          <cell r="N521">
            <v>4725</v>
          </cell>
          <cell r="O521">
            <v>7.4</v>
          </cell>
          <cell r="P521">
            <v>0</v>
          </cell>
          <cell r="Q521">
            <v>0</v>
          </cell>
          <cell r="R521">
            <v>0</v>
          </cell>
          <cell r="S521">
            <v>0</v>
          </cell>
          <cell r="T521">
            <v>7264826</v>
          </cell>
          <cell r="U521">
            <v>69124043</v>
          </cell>
          <cell r="V521">
            <v>2966058</v>
          </cell>
          <cell r="W521">
            <v>10.51</v>
          </cell>
        </row>
        <row r="522">
          <cell r="A522" t="str">
            <v>2013WV</v>
          </cell>
          <cell r="B522">
            <v>2013</v>
          </cell>
          <cell r="C522" t="str">
            <v>WV</v>
          </cell>
          <cell r="D522">
            <v>1103102</v>
          </cell>
          <cell r="E522">
            <v>11581825</v>
          </cell>
          <cell r="F522">
            <v>863641</v>
          </cell>
          <cell r="G522">
            <v>9.52</v>
          </cell>
          <cell r="H522">
            <v>636469</v>
          </cell>
          <cell r="I522">
            <v>7793517</v>
          </cell>
          <cell r="J522">
            <v>139514</v>
          </cell>
          <cell r="K522">
            <v>8.17</v>
          </cell>
          <cell r="L522">
            <v>745335</v>
          </cell>
          <cell r="M522">
            <v>12020526</v>
          </cell>
          <cell r="N522">
            <v>12314</v>
          </cell>
          <cell r="O522">
            <v>6.2</v>
          </cell>
          <cell r="P522">
            <v>346</v>
          </cell>
          <cell r="Q522">
            <v>3982</v>
          </cell>
          <cell r="R522">
            <v>1</v>
          </cell>
          <cell r="S522">
            <v>8.68</v>
          </cell>
          <cell r="T522">
            <v>2485252</v>
          </cell>
          <cell r="U522">
            <v>31399850</v>
          </cell>
          <cell r="V522">
            <v>1015470</v>
          </cell>
          <cell r="W522">
            <v>7.91</v>
          </cell>
        </row>
        <row r="523">
          <cell r="A523" t="str">
            <v>2013WY</v>
          </cell>
          <cell r="B523">
            <v>2013</v>
          </cell>
          <cell r="C523" t="str">
            <v>WY</v>
          </cell>
          <cell r="D523">
            <v>287380</v>
          </cell>
          <cell r="E523">
            <v>2829496</v>
          </cell>
          <cell r="F523">
            <v>263614</v>
          </cell>
          <cell r="G523">
            <v>10.16</v>
          </cell>
          <cell r="H523">
            <v>348530</v>
          </cell>
          <cell r="I523">
            <v>4066842</v>
          </cell>
          <cell r="J523">
            <v>58015</v>
          </cell>
          <cell r="K523">
            <v>8.57</v>
          </cell>
          <cell r="L523">
            <v>652083</v>
          </cell>
          <cell r="M523">
            <v>10157176</v>
          </cell>
          <cell r="N523">
            <v>10134</v>
          </cell>
          <cell r="O523">
            <v>6.42</v>
          </cell>
          <cell r="P523">
            <v>0</v>
          </cell>
          <cell r="Q523">
            <v>0</v>
          </cell>
          <cell r="R523">
            <v>0</v>
          </cell>
          <cell r="S523">
            <v>0</v>
          </cell>
          <cell r="T523">
            <v>1287993</v>
          </cell>
          <cell r="U523">
            <v>17053514</v>
          </cell>
          <cell r="V523">
            <v>331763</v>
          </cell>
          <cell r="W523">
            <v>7.55</v>
          </cell>
        </row>
        <row r="524">
          <cell r="A524" t="str">
            <v>2013US</v>
          </cell>
          <cell r="B524">
            <v>2013</v>
          </cell>
          <cell r="C524" t="str">
            <v>US</v>
          </cell>
          <cell r="D524">
            <v>169130640</v>
          </cell>
          <cell r="E524">
            <v>1394812129</v>
          </cell>
          <cell r="F524">
            <v>127777153</v>
          </cell>
          <cell r="G524">
            <v>12.13</v>
          </cell>
          <cell r="H524">
            <v>137188490</v>
          </cell>
          <cell r="I524">
            <v>1337078777</v>
          </cell>
          <cell r="J524">
            <v>17679562</v>
          </cell>
          <cell r="K524">
            <v>10.26</v>
          </cell>
          <cell r="L524">
            <v>67933816</v>
          </cell>
          <cell r="M524">
            <v>985351874</v>
          </cell>
          <cell r="N524">
            <v>831790</v>
          </cell>
          <cell r="O524">
            <v>6.89</v>
          </cell>
          <cell r="P524">
            <v>804792</v>
          </cell>
          <cell r="Q524">
            <v>7625041</v>
          </cell>
          <cell r="R524">
            <v>75</v>
          </cell>
          <cell r="S524">
            <v>10.55</v>
          </cell>
          <cell r="T524">
            <v>375057738</v>
          </cell>
          <cell r="U524">
            <v>3724867821</v>
          </cell>
          <cell r="V524">
            <v>146288580</v>
          </cell>
          <cell r="W524">
            <v>10.07</v>
          </cell>
        </row>
        <row r="525">
          <cell r="A525" t="str">
            <v>2012AK</v>
          </cell>
          <cell r="B525">
            <v>2012</v>
          </cell>
          <cell r="C525" t="str">
            <v>AK</v>
          </cell>
          <cell r="D525">
            <v>386304</v>
          </cell>
          <cell r="E525">
            <v>2160196</v>
          </cell>
          <cell r="F525">
            <v>275405</v>
          </cell>
          <cell r="G525">
            <v>17.88</v>
          </cell>
          <cell r="H525">
            <v>429152</v>
          </cell>
          <cell r="I525">
            <v>2875038</v>
          </cell>
          <cell r="J525">
            <v>48790</v>
          </cell>
          <cell r="K525">
            <v>14.93</v>
          </cell>
          <cell r="L525">
            <v>232325</v>
          </cell>
          <cell r="M525">
            <v>1381177</v>
          </cell>
          <cell r="N525">
            <v>1263</v>
          </cell>
          <cell r="O525">
            <v>16.82</v>
          </cell>
          <cell r="P525">
            <v>0</v>
          </cell>
          <cell r="Q525">
            <v>0</v>
          </cell>
          <cell r="R525">
            <v>0</v>
          </cell>
          <cell r="S525">
            <v>0</v>
          </cell>
          <cell r="T525">
            <v>1047781</v>
          </cell>
          <cell r="U525">
            <v>6416411</v>
          </cell>
          <cell r="V525">
            <v>325458</v>
          </cell>
          <cell r="W525">
            <v>16.329999999999998</v>
          </cell>
        </row>
        <row r="526">
          <cell r="A526" t="str">
            <v>2012AL</v>
          </cell>
          <cell r="B526">
            <v>2012</v>
          </cell>
          <cell r="C526" t="str">
            <v>AL</v>
          </cell>
          <cell r="D526">
            <v>3491380</v>
          </cell>
          <cell r="E526">
            <v>30632261</v>
          </cell>
          <cell r="F526">
            <v>2150977</v>
          </cell>
          <cell r="G526">
            <v>11.4</v>
          </cell>
          <cell r="H526">
            <v>2318146</v>
          </cell>
          <cell r="I526">
            <v>21799181</v>
          </cell>
          <cell r="J526">
            <v>357395</v>
          </cell>
          <cell r="K526">
            <v>10.63</v>
          </cell>
          <cell r="L526">
            <v>2100936</v>
          </cell>
          <cell r="M526">
            <v>33751106</v>
          </cell>
          <cell r="N526">
            <v>7168</v>
          </cell>
          <cell r="O526">
            <v>6.22</v>
          </cell>
          <cell r="P526">
            <v>0</v>
          </cell>
          <cell r="Q526">
            <v>0</v>
          </cell>
          <cell r="R526">
            <v>0</v>
          </cell>
          <cell r="S526">
            <v>0</v>
          </cell>
          <cell r="T526">
            <v>7910462</v>
          </cell>
          <cell r="U526">
            <v>86182548</v>
          </cell>
          <cell r="V526">
            <v>2515540</v>
          </cell>
          <cell r="W526">
            <v>9.18</v>
          </cell>
        </row>
        <row r="527">
          <cell r="A527" t="str">
            <v>2012AR</v>
          </cell>
          <cell r="B527">
            <v>2012</v>
          </cell>
          <cell r="C527" t="str">
            <v>AR</v>
          </cell>
          <cell r="D527">
            <v>1664696</v>
          </cell>
          <cell r="E527">
            <v>17909301</v>
          </cell>
          <cell r="F527">
            <v>1332154</v>
          </cell>
          <cell r="G527">
            <v>9.3000000000000007</v>
          </cell>
          <cell r="H527">
            <v>933567</v>
          </cell>
          <cell r="I527">
            <v>12102048</v>
          </cell>
          <cell r="J527">
            <v>181823</v>
          </cell>
          <cell r="K527">
            <v>7.71</v>
          </cell>
          <cell r="L527">
            <v>971266</v>
          </cell>
          <cell r="M527">
            <v>16847755</v>
          </cell>
          <cell r="N527">
            <v>33926</v>
          </cell>
          <cell r="O527">
            <v>5.77</v>
          </cell>
          <cell r="P527">
            <v>52</v>
          </cell>
          <cell r="Q527">
            <v>463</v>
          </cell>
          <cell r="R527">
            <v>2</v>
          </cell>
          <cell r="S527">
            <v>11.23</v>
          </cell>
          <cell r="T527">
            <v>3569581</v>
          </cell>
          <cell r="U527">
            <v>46859567</v>
          </cell>
          <cell r="V527">
            <v>1547905</v>
          </cell>
          <cell r="W527">
            <v>7.62</v>
          </cell>
        </row>
        <row r="528">
          <cell r="A528" t="str">
            <v>2012AZ</v>
          </cell>
          <cell r="B528">
            <v>2012</v>
          </cell>
          <cell r="C528" t="str">
            <v>AZ</v>
          </cell>
          <cell r="D528">
            <v>3718357</v>
          </cell>
          <cell r="E528">
            <v>32922970</v>
          </cell>
          <cell r="F528">
            <v>2585638</v>
          </cell>
          <cell r="G528">
            <v>11.29</v>
          </cell>
          <cell r="H528">
            <v>2829551</v>
          </cell>
          <cell r="I528">
            <v>29692256</v>
          </cell>
          <cell r="J528">
            <v>305250</v>
          </cell>
          <cell r="K528">
            <v>9.5299999999999994</v>
          </cell>
          <cell r="L528">
            <v>813094</v>
          </cell>
          <cell r="M528">
            <v>12448117</v>
          </cell>
          <cell r="N528">
            <v>7740</v>
          </cell>
          <cell r="O528">
            <v>6.53</v>
          </cell>
          <cell r="P528">
            <v>0</v>
          </cell>
          <cell r="Q528">
            <v>0</v>
          </cell>
          <cell r="R528">
            <v>0</v>
          </cell>
          <cell r="S528">
            <v>0</v>
          </cell>
          <cell r="T528">
            <v>7361001</v>
          </cell>
          <cell r="U528">
            <v>75063343</v>
          </cell>
          <cell r="V528">
            <v>2898628</v>
          </cell>
          <cell r="W528">
            <v>9.81</v>
          </cell>
        </row>
        <row r="529">
          <cell r="A529" t="str">
            <v>2012CA</v>
          </cell>
          <cell r="B529">
            <v>2012</v>
          </cell>
          <cell r="C529" t="str">
            <v>CA</v>
          </cell>
          <cell r="D529">
            <v>13821565</v>
          </cell>
          <cell r="E529">
            <v>90109995</v>
          </cell>
          <cell r="F529">
            <v>13101887</v>
          </cell>
          <cell r="G529">
            <v>15.34</v>
          </cell>
          <cell r="H529">
            <v>16327164</v>
          </cell>
          <cell r="I529">
            <v>121791536</v>
          </cell>
          <cell r="J529">
            <v>1834779</v>
          </cell>
          <cell r="K529">
            <v>13.41</v>
          </cell>
          <cell r="L529">
            <v>4925482</v>
          </cell>
          <cell r="M529">
            <v>46951714</v>
          </cell>
          <cell r="N529">
            <v>73805</v>
          </cell>
          <cell r="O529">
            <v>10.49</v>
          </cell>
          <cell r="P529">
            <v>49095</v>
          </cell>
          <cell r="Q529">
            <v>684793</v>
          </cell>
          <cell r="R529">
            <v>12</v>
          </cell>
          <cell r="S529">
            <v>7.17</v>
          </cell>
          <cell r="T529">
            <v>35123306</v>
          </cell>
          <cell r="U529">
            <v>259538038</v>
          </cell>
          <cell r="V529">
            <v>15010483</v>
          </cell>
          <cell r="W529">
            <v>13.53</v>
          </cell>
        </row>
        <row r="530">
          <cell r="A530" t="str">
            <v>2012CO</v>
          </cell>
          <cell r="B530">
            <v>2012</v>
          </cell>
          <cell r="C530" t="str">
            <v>CO</v>
          </cell>
          <cell r="D530">
            <v>2087889</v>
          </cell>
          <cell r="E530">
            <v>18220365</v>
          </cell>
          <cell r="F530">
            <v>2149637</v>
          </cell>
          <cell r="G530">
            <v>11.46</v>
          </cell>
          <cell r="H530">
            <v>1878364</v>
          </cell>
          <cell r="I530">
            <v>19997226</v>
          </cell>
          <cell r="J530">
            <v>348752</v>
          </cell>
          <cell r="K530">
            <v>9.39</v>
          </cell>
          <cell r="L530">
            <v>1070816</v>
          </cell>
          <cell r="M530">
            <v>15415235</v>
          </cell>
          <cell r="N530">
            <v>16017</v>
          </cell>
          <cell r="O530">
            <v>6.95</v>
          </cell>
          <cell r="P530">
            <v>5083</v>
          </cell>
          <cell r="Q530">
            <v>52471</v>
          </cell>
          <cell r="R530">
            <v>1</v>
          </cell>
          <cell r="S530">
            <v>9.69</v>
          </cell>
          <cell r="T530">
            <v>5042152</v>
          </cell>
          <cell r="U530">
            <v>53685297</v>
          </cell>
          <cell r="V530">
            <v>2514407</v>
          </cell>
          <cell r="W530">
            <v>9.39</v>
          </cell>
        </row>
        <row r="531">
          <cell r="A531" t="str">
            <v>2012CT</v>
          </cell>
          <cell r="B531">
            <v>2012</v>
          </cell>
          <cell r="C531" t="str">
            <v>CT</v>
          </cell>
          <cell r="D531">
            <v>2212594</v>
          </cell>
          <cell r="E531">
            <v>12757633</v>
          </cell>
          <cell r="F531">
            <v>1454651</v>
          </cell>
          <cell r="G531">
            <v>17.34</v>
          </cell>
          <cell r="H531">
            <v>1901294</v>
          </cell>
          <cell r="I531">
            <v>12976050</v>
          </cell>
          <cell r="J531">
            <v>150435</v>
          </cell>
          <cell r="K531">
            <v>14.65</v>
          </cell>
          <cell r="L531">
            <v>451910</v>
          </cell>
          <cell r="M531">
            <v>3565944</v>
          </cell>
          <cell r="N531">
            <v>4647</v>
          </cell>
          <cell r="O531">
            <v>12.67</v>
          </cell>
          <cell r="P531">
            <v>18680</v>
          </cell>
          <cell r="Q531">
            <v>192711</v>
          </cell>
          <cell r="R531">
            <v>2</v>
          </cell>
          <cell r="S531">
            <v>9.69</v>
          </cell>
          <cell r="T531">
            <v>4584478</v>
          </cell>
          <cell r="U531">
            <v>29492338</v>
          </cell>
          <cell r="V531">
            <v>1609735</v>
          </cell>
          <cell r="W531">
            <v>15.54</v>
          </cell>
        </row>
        <row r="532">
          <cell r="A532" t="str">
            <v>2012DC</v>
          </cell>
          <cell r="B532">
            <v>2012</v>
          </cell>
          <cell r="C532" t="str">
            <v>DC</v>
          </cell>
          <cell r="D532">
            <v>245940</v>
          </cell>
          <cell r="E532">
            <v>2002527</v>
          </cell>
          <cell r="F532">
            <v>231550</v>
          </cell>
          <cell r="G532">
            <v>12.28</v>
          </cell>
          <cell r="H532">
            <v>1047560</v>
          </cell>
          <cell r="I532">
            <v>8713337</v>
          </cell>
          <cell r="J532">
            <v>26547</v>
          </cell>
          <cell r="K532">
            <v>12.02</v>
          </cell>
          <cell r="L532">
            <v>11919</v>
          </cell>
          <cell r="M532">
            <v>218376</v>
          </cell>
          <cell r="N532">
            <v>1</v>
          </cell>
          <cell r="O532">
            <v>5.46</v>
          </cell>
          <cell r="P532">
            <v>29239</v>
          </cell>
          <cell r="Q532">
            <v>324605</v>
          </cell>
          <cell r="R532">
            <v>1</v>
          </cell>
          <cell r="S532">
            <v>9.01</v>
          </cell>
          <cell r="T532">
            <v>1334657</v>
          </cell>
          <cell r="U532">
            <v>11258845</v>
          </cell>
          <cell r="V532">
            <v>258099</v>
          </cell>
          <cell r="W532">
            <v>11.85</v>
          </cell>
        </row>
        <row r="533">
          <cell r="A533" t="str">
            <v>2012DE</v>
          </cell>
          <cell r="B533">
            <v>2012</v>
          </cell>
          <cell r="C533" t="str">
            <v>DE</v>
          </cell>
          <cell r="D533">
            <v>614037</v>
          </cell>
          <cell r="E533">
            <v>4521682</v>
          </cell>
          <cell r="F533">
            <v>399998</v>
          </cell>
          <cell r="G533">
            <v>13.58</v>
          </cell>
          <cell r="H533">
            <v>429799</v>
          </cell>
          <cell r="I533">
            <v>4243028</v>
          </cell>
          <cell r="J533">
            <v>51056</v>
          </cell>
          <cell r="K533">
            <v>10.130000000000001</v>
          </cell>
          <cell r="L533">
            <v>230215</v>
          </cell>
          <cell r="M533">
            <v>2754621</v>
          </cell>
          <cell r="N533">
            <v>854</v>
          </cell>
          <cell r="O533">
            <v>8.36</v>
          </cell>
          <cell r="P533">
            <v>0</v>
          </cell>
          <cell r="Q533">
            <v>0</v>
          </cell>
          <cell r="R533">
            <v>0</v>
          </cell>
          <cell r="S533">
            <v>0</v>
          </cell>
          <cell r="T533">
            <v>1274051</v>
          </cell>
          <cell r="U533">
            <v>11519331</v>
          </cell>
          <cell r="V533">
            <v>451908</v>
          </cell>
          <cell r="W533">
            <v>11.06</v>
          </cell>
        </row>
        <row r="534">
          <cell r="A534" t="str">
            <v>2012FL</v>
          </cell>
          <cell r="B534">
            <v>2012</v>
          </cell>
          <cell r="C534" t="str">
            <v>FL</v>
          </cell>
          <cell r="D534">
            <v>12806820</v>
          </cell>
          <cell r="E534">
            <v>112127056</v>
          </cell>
          <cell r="F534">
            <v>8645207</v>
          </cell>
          <cell r="G534">
            <v>11.42</v>
          </cell>
          <cell r="H534">
            <v>8894821</v>
          </cell>
          <cell r="I534">
            <v>92037801</v>
          </cell>
          <cell r="J534">
            <v>1160572</v>
          </cell>
          <cell r="K534">
            <v>9.66</v>
          </cell>
          <cell r="L534">
            <v>1319868</v>
          </cell>
          <cell r="M534">
            <v>16425581</v>
          </cell>
          <cell r="N534">
            <v>17414</v>
          </cell>
          <cell r="O534">
            <v>8.0399999999999991</v>
          </cell>
          <cell r="P534">
            <v>7093</v>
          </cell>
          <cell r="Q534">
            <v>83895</v>
          </cell>
          <cell r="R534">
            <v>2</v>
          </cell>
          <cell r="S534">
            <v>8.4499999999999993</v>
          </cell>
          <cell r="T534">
            <v>23028602</v>
          </cell>
          <cell r="U534">
            <v>220674333</v>
          </cell>
          <cell r="V534">
            <v>9823195</v>
          </cell>
          <cell r="W534">
            <v>10.44</v>
          </cell>
        </row>
        <row r="535">
          <cell r="A535" t="str">
            <v>2012GA</v>
          </cell>
          <cell r="B535">
            <v>2012</v>
          </cell>
          <cell r="C535" t="str">
            <v>GA</v>
          </cell>
          <cell r="D535">
            <v>5996286</v>
          </cell>
          <cell r="E535">
            <v>53660167</v>
          </cell>
          <cell r="F535">
            <v>4071478</v>
          </cell>
          <cell r="G535">
            <v>11.17</v>
          </cell>
          <cell r="H535">
            <v>4400045</v>
          </cell>
          <cell r="I535">
            <v>45937150</v>
          </cell>
          <cell r="J535">
            <v>547610</v>
          </cell>
          <cell r="K535">
            <v>9.58</v>
          </cell>
          <cell r="L535">
            <v>1866393</v>
          </cell>
          <cell r="M535">
            <v>31224600</v>
          </cell>
          <cell r="N535">
            <v>17335</v>
          </cell>
          <cell r="O535">
            <v>5.98</v>
          </cell>
          <cell r="P535">
            <v>12015</v>
          </cell>
          <cell r="Q535">
            <v>156955</v>
          </cell>
          <cell r="R535">
            <v>1</v>
          </cell>
          <cell r="S535">
            <v>7.65</v>
          </cell>
          <cell r="T535">
            <v>12274740</v>
          </cell>
          <cell r="U535">
            <v>130978872</v>
          </cell>
          <cell r="V535">
            <v>4636424</v>
          </cell>
          <cell r="W535">
            <v>9.3699999999999992</v>
          </cell>
        </row>
        <row r="536">
          <cell r="A536" t="str">
            <v>2012HI</v>
          </cell>
          <cell r="B536">
            <v>2012</v>
          </cell>
          <cell r="C536" t="str">
            <v>HI</v>
          </cell>
          <cell r="D536">
            <v>1022944</v>
          </cell>
          <cell r="E536">
            <v>2739298</v>
          </cell>
          <cell r="F536">
            <v>419612</v>
          </cell>
          <cell r="G536">
            <v>37.340000000000003</v>
          </cell>
          <cell r="H536">
            <v>1129545</v>
          </cell>
          <cell r="I536">
            <v>3238180</v>
          </cell>
          <cell r="J536">
            <v>60109</v>
          </cell>
          <cell r="K536">
            <v>34.880000000000003</v>
          </cell>
          <cell r="L536">
            <v>1128570</v>
          </cell>
          <cell r="M536">
            <v>3661679</v>
          </cell>
          <cell r="N536">
            <v>706</v>
          </cell>
          <cell r="O536">
            <v>30.82</v>
          </cell>
          <cell r="P536">
            <v>0</v>
          </cell>
          <cell r="Q536">
            <v>0</v>
          </cell>
          <cell r="R536">
            <v>0</v>
          </cell>
          <cell r="S536">
            <v>0</v>
          </cell>
          <cell r="T536">
            <v>3281059</v>
          </cell>
          <cell r="U536">
            <v>9639157</v>
          </cell>
          <cell r="V536">
            <v>480427</v>
          </cell>
          <cell r="W536">
            <v>34.04</v>
          </cell>
        </row>
        <row r="537">
          <cell r="A537" t="str">
            <v>2012IA</v>
          </cell>
          <cell r="B537">
            <v>2012</v>
          </cell>
          <cell r="C537" t="str">
            <v>IA</v>
          </cell>
          <cell r="D537">
            <v>1513376</v>
          </cell>
          <cell r="E537">
            <v>13987613</v>
          </cell>
          <cell r="F537">
            <v>1334596</v>
          </cell>
          <cell r="G537">
            <v>10.82</v>
          </cell>
          <cell r="H537">
            <v>977690</v>
          </cell>
          <cell r="I537">
            <v>12209804</v>
          </cell>
          <cell r="J537">
            <v>221154</v>
          </cell>
          <cell r="K537">
            <v>8.01</v>
          </cell>
          <cell r="L537">
            <v>1033194</v>
          </cell>
          <cell r="M537">
            <v>19511683</v>
          </cell>
          <cell r="N537">
            <v>7255</v>
          </cell>
          <cell r="O537">
            <v>5.3</v>
          </cell>
          <cell r="P537">
            <v>0</v>
          </cell>
          <cell r="Q537">
            <v>0</v>
          </cell>
          <cell r="R537">
            <v>0</v>
          </cell>
          <cell r="S537">
            <v>0</v>
          </cell>
          <cell r="T537">
            <v>3524261</v>
          </cell>
          <cell r="U537">
            <v>45709100</v>
          </cell>
          <cell r="V537">
            <v>1563005</v>
          </cell>
          <cell r="W537">
            <v>7.71</v>
          </cell>
        </row>
        <row r="538">
          <cell r="A538" t="str">
            <v>2012ID</v>
          </cell>
          <cell r="B538">
            <v>2012</v>
          </cell>
          <cell r="C538" t="str">
            <v>ID</v>
          </cell>
          <cell r="D538">
            <v>707181</v>
          </cell>
          <cell r="E538">
            <v>8159349</v>
          </cell>
          <cell r="F538">
            <v>673368</v>
          </cell>
          <cell r="G538">
            <v>8.67</v>
          </cell>
          <cell r="H538">
            <v>410328</v>
          </cell>
          <cell r="I538">
            <v>5978118</v>
          </cell>
          <cell r="J538">
            <v>102319</v>
          </cell>
          <cell r="K538">
            <v>6.86</v>
          </cell>
          <cell r="L538">
            <v>524514</v>
          </cell>
          <cell r="M538">
            <v>9574392</v>
          </cell>
          <cell r="N538">
            <v>26523</v>
          </cell>
          <cell r="O538">
            <v>5.48</v>
          </cell>
          <cell r="P538">
            <v>0</v>
          </cell>
          <cell r="Q538">
            <v>0</v>
          </cell>
          <cell r="R538">
            <v>0</v>
          </cell>
          <cell r="S538">
            <v>0</v>
          </cell>
          <cell r="T538">
            <v>1642023</v>
          </cell>
          <cell r="U538">
            <v>23711859</v>
          </cell>
          <cell r="V538">
            <v>802210</v>
          </cell>
          <cell r="W538">
            <v>6.92</v>
          </cell>
        </row>
        <row r="539">
          <cell r="A539" t="str">
            <v>2012IL</v>
          </cell>
          <cell r="B539">
            <v>2012</v>
          </cell>
          <cell r="C539" t="str">
            <v>IL</v>
          </cell>
          <cell r="D539">
            <v>5335088</v>
          </cell>
          <cell r="E539">
            <v>46901870</v>
          </cell>
          <cell r="F539">
            <v>5098647</v>
          </cell>
          <cell r="G539">
            <v>11.38</v>
          </cell>
          <cell r="H539">
            <v>4058476</v>
          </cell>
          <cell r="I539">
            <v>50807913</v>
          </cell>
          <cell r="J539">
            <v>590142</v>
          </cell>
          <cell r="K539">
            <v>7.99</v>
          </cell>
          <cell r="L539">
            <v>2625085</v>
          </cell>
          <cell r="M539">
            <v>45277444</v>
          </cell>
          <cell r="N539">
            <v>6042</v>
          </cell>
          <cell r="O539">
            <v>5.8</v>
          </cell>
          <cell r="P539">
            <v>33992</v>
          </cell>
          <cell r="Q539">
            <v>552777</v>
          </cell>
          <cell r="R539">
            <v>3</v>
          </cell>
          <cell r="S539">
            <v>6.15</v>
          </cell>
          <cell r="T539">
            <v>12052640</v>
          </cell>
          <cell r="U539">
            <v>143540004</v>
          </cell>
          <cell r="V539">
            <v>5694834</v>
          </cell>
          <cell r="W539">
            <v>8.4</v>
          </cell>
        </row>
        <row r="540">
          <cell r="A540" t="str">
            <v>2012IN</v>
          </cell>
          <cell r="B540">
            <v>2012</v>
          </cell>
          <cell r="C540" t="str">
            <v>IN</v>
          </cell>
          <cell r="D540">
            <v>3469890</v>
          </cell>
          <cell r="E540">
            <v>32963522</v>
          </cell>
          <cell r="F540">
            <v>2755595</v>
          </cell>
          <cell r="G540">
            <v>10.53</v>
          </cell>
          <cell r="H540">
            <v>2195779</v>
          </cell>
          <cell r="I540">
            <v>24022068</v>
          </cell>
          <cell r="J540">
            <v>344453</v>
          </cell>
          <cell r="K540">
            <v>9.14</v>
          </cell>
          <cell r="L540">
            <v>3053069</v>
          </cell>
          <cell r="M540">
            <v>48167545</v>
          </cell>
          <cell r="N540">
            <v>18525</v>
          </cell>
          <cell r="O540">
            <v>6.34</v>
          </cell>
          <cell r="P540">
            <v>1940</v>
          </cell>
          <cell r="Q540">
            <v>20290</v>
          </cell>
          <cell r="R540">
            <v>1</v>
          </cell>
          <cell r="S540">
            <v>9.56</v>
          </cell>
          <cell r="T540">
            <v>8720678</v>
          </cell>
          <cell r="U540">
            <v>105173425</v>
          </cell>
          <cell r="V540">
            <v>3118574</v>
          </cell>
          <cell r="W540">
            <v>8.2899999999999991</v>
          </cell>
        </row>
        <row r="541">
          <cell r="A541" t="str">
            <v>2012KS</v>
          </cell>
          <cell r="B541">
            <v>2012</v>
          </cell>
          <cell r="C541" t="str">
            <v>KS</v>
          </cell>
          <cell r="D541">
            <v>1551102</v>
          </cell>
          <cell r="E541">
            <v>13796679</v>
          </cell>
          <cell r="F541">
            <v>1217256</v>
          </cell>
          <cell r="G541">
            <v>11.24</v>
          </cell>
          <cell r="H541">
            <v>1427425</v>
          </cell>
          <cell r="I541">
            <v>15455686</v>
          </cell>
          <cell r="J541">
            <v>223822</v>
          </cell>
          <cell r="K541">
            <v>9.24</v>
          </cell>
          <cell r="L541">
            <v>782714</v>
          </cell>
          <cell r="M541">
            <v>11041111</v>
          </cell>
          <cell r="N541">
            <v>25017</v>
          </cell>
          <cell r="O541">
            <v>7.09</v>
          </cell>
          <cell r="P541">
            <v>0</v>
          </cell>
          <cell r="Q541">
            <v>0</v>
          </cell>
          <cell r="R541">
            <v>0</v>
          </cell>
          <cell r="S541">
            <v>0</v>
          </cell>
          <cell r="T541">
            <v>3761241</v>
          </cell>
          <cell r="U541">
            <v>40293476</v>
          </cell>
          <cell r="V541">
            <v>1466095</v>
          </cell>
          <cell r="W541">
            <v>9.33</v>
          </cell>
        </row>
        <row r="542">
          <cell r="A542" t="str">
            <v>2012KY</v>
          </cell>
          <cell r="B542">
            <v>2012</v>
          </cell>
          <cell r="C542" t="str">
            <v>KY</v>
          </cell>
          <cell r="D542">
            <v>2460674</v>
          </cell>
          <cell r="E542">
            <v>26096707</v>
          </cell>
          <cell r="F542">
            <v>1924644</v>
          </cell>
          <cell r="G542">
            <v>9.43</v>
          </cell>
          <cell r="H542">
            <v>1637229</v>
          </cell>
          <cell r="I542">
            <v>18755918</v>
          </cell>
          <cell r="J542">
            <v>298211</v>
          </cell>
          <cell r="K542">
            <v>8.73</v>
          </cell>
          <cell r="L542">
            <v>2364592</v>
          </cell>
          <cell r="M542">
            <v>44195865</v>
          </cell>
          <cell r="N542">
            <v>7134</v>
          </cell>
          <cell r="O542">
            <v>5.35</v>
          </cell>
          <cell r="P542">
            <v>0</v>
          </cell>
          <cell r="Q542">
            <v>0</v>
          </cell>
          <cell r="R542">
            <v>0</v>
          </cell>
          <cell r="S542">
            <v>0</v>
          </cell>
          <cell r="T542">
            <v>6462494</v>
          </cell>
          <cell r="U542">
            <v>89048490</v>
          </cell>
          <cell r="V542">
            <v>2229989</v>
          </cell>
          <cell r="W542">
            <v>7.26</v>
          </cell>
        </row>
        <row r="543">
          <cell r="A543" t="str">
            <v>2012LA</v>
          </cell>
          <cell r="B543">
            <v>2012</v>
          </cell>
          <cell r="C543" t="str">
            <v>LA</v>
          </cell>
          <cell r="D543">
            <v>2514353</v>
          </cell>
          <cell r="E543">
            <v>30026588</v>
          </cell>
          <cell r="F543">
            <v>1995661</v>
          </cell>
          <cell r="G543">
            <v>8.3699999999999992</v>
          </cell>
          <cell r="H543">
            <v>1879856</v>
          </cell>
          <cell r="I543">
            <v>24244733</v>
          </cell>
          <cell r="J543">
            <v>279613</v>
          </cell>
          <cell r="K543">
            <v>7.75</v>
          </cell>
          <cell r="L543">
            <v>1448981</v>
          </cell>
          <cell r="M543">
            <v>30448836</v>
          </cell>
          <cell r="N543">
            <v>18143</v>
          </cell>
          <cell r="O543">
            <v>4.76</v>
          </cell>
          <cell r="P543">
            <v>924</v>
          </cell>
          <cell r="Q543">
            <v>10586</v>
          </cell>
          <cell r="R543">
            <v>1</v>
          </cell>
          <cell r="S543">
            <v>8.7200000000000006</v>
          </cell>
          <cell r="T543">
            <v>5844114</v>
          </cell>
          <cell r="U543">
            <v>84730743</v>
          </cell>
          <cell r="V543">
            <v>2293418</v>
          </cell>
          <cell r="W543">
            <v>6.9</v>
          </cell>
        </row>
        <row r="544">
          <cell r="A544" t="str">
            <v>2012MA</v>
          </cell>
          <cell r="B544">
            <v>2012</v>
          </cell>
          <cell r="C544" t="str">
            <v>MA</v>
          </cell>
          <cell r="D544">
            <v>3029292</v>
          </cell>
          <cell r="E544">
            <v>20313469</v>
          </cell>
          <cell r="F544">
            <v>2699141</v>
          </cell>
          <cell r="G544">
            <v>14.91</v>
          </cell>
          <cell r="H544">
            <v>2453106</v>
          </cell>
          <cell r="I544">
            <v>17722811</v>
          </cell>
          <cell r="J544">
            <v>389272</v>
          </cell>
          <cell r="K544">
            <v>13.84</v>
          </cell>
          <cell r="L544">
            <v>2127180</v>
          </cell>
          <cell r="M544">
            <v>16927205</v>
          </cell>
          <cell r="N544">
            <v>21145</v>
          </cell>
          <cell r="O544">
            <v>12.57</v>
          </cell>
          <cell r="P544">
            <v>17162</v>
          </cell>
          <cell r="Q544">
            <v>349839</v>
          </cell>
          <cell r="R544">
            <v>2</v>
          </cell>
          <cell r="S544">
            <v>4.91</v>
          </cell>
          <cell r="T544">
            <v>7626740</v>
          </cell>
          <cell r="U544">
            <v>55313324</v>
          </cell>
          <cell r="V544">
            <v>3109560</v>
          </cell>
          <cell r="W544">
            <v>13.79</v>
          </cell>
        </row>
        <row r="545">
          <cell r="A545" t="str">
            <v>2012MD</v>
          </cell>
          <cell r="B545">
            <v>2012</v>
          </cell>
          <cell r="C545" t="str">
            <v>MD</v>
          </cell>
          <cell r="D545">
            <v>3424556</v>
          </cell>
          <cell r="E545">
            <v>26678158</v>
          </cell>
          <cell r="F545">
            <v>2212287</v>
          </cell>
          <cell r="G545">
            <v>12.84</v>
          </cell>
          <cell r="H545">
            <v>3141296</v>
          </cell>
          <cell r="I545">
            <v>30107526</v>
          </cell>
          <cell r="J545">
            <v>246868</v>
          </cell>
          <cell r="K545">
            <v>10.43</v>
          </cell>
          <cell r="L545">
            <v>364075</v>
          </cell>
          <cell r="M545">
            <v>4499827</v>
          </cell>
          <cell r="N545">
            <v>8941</v>
          </cell>
          <cell r="O545">
            <v>8.09</v>
          </cell>
          <cell r="P545">
            <v>43786</v>
          </cell>
          <cell r="Q545">
            <v>528041</v>
          </cell>
          <cell r="R545">
            <v>5</v>
          </cell>
          <cell r="S545">
            <v>8.2899999999999991</v>
          </cell>
          <cell r="T545">
            <v>6973713</v>
          </cell>
          <cell r="U545">
            <v>61813552</v>
          </cell>
          <cell r="V545">
            <v>2468101</v>
          </cell>
          <cell r="W545">
            <v>11.28</v>
          </cell>
        </row>
        <row r="546">
          <cell r="A546" t="str">
            <v>2012ME</v>
          </cell>
          <cell r="B546">
            <v>2012</v>
          </cell>
          <cell r="C546" t="str">
            <v>ME</v>
          </cell>
          <cell r="D546">
            <v>656822</v>
          </cell>
          <cell r="E546">
            <v>4480736</v>
          </cell>
          <cell r="F546">
            <v>703770</v>
          </cell>
          <cell r="G546">
            <v>14.66</v>
          </cell>
          <cell r="H546">
            <v>467228</v>
          </cell>
          <cell r="I546">
            <v>4053188</v>
          </cell>
          <cell r="J546">
            <v>89048</v>
          </cell>
          <cell r="K546">
            <v>11.53</v>
          </cell>
          <cell r="L546">
            <v>241624</v>
          </cell>
          <cell r="M546">
            <v>3027135</v>
          </cell>
          <cell r="N546">
            <v>2780</v>
          </cell>
          <cell r="O546">
            <v>7.98</v>
          </cell>
          <cell r="P546">
            <v>0</v>
          </cell>
          <cell r="Q546">
            <v>0</v>
          </cell>
          <cell r="R546">
            <v>0</v>
          </cell>
          <cell r="S546">
            <v>0</v>
          </cell>
          <cell r="T546">
            <v>1365674</v>
          </cell>
          <cell r="U546">
            <v>11561059</v>
          </cell>
          <cell r="V546">
            <v>795598</v>
          </cell>
          <cell r="W546">
            <v>11.81</v>
          </cell>
        </row>
        <row r="547">
          <cell r="A547" t="str">
            <v>2012MI</v>
          </cell>
          <cell r="B547">
            <v>2012</v>
          </cell>
          <cell r="C547" t="str">
            <v>MI</v>
          </cell>
          <cell r="D547">
            <v>4871034</v>
          </cell>
          <cell r="E547">
            <v>34461140</v>
          </cell>
          <cell r="F547">
            <v>4250620</v>
          </cell>
          <cell r="G547">
            <v>14.13</v>
          </cell>
          <cell r="H547">
            <v>4211356</v>
          </cell>
          <cell r="I547">
            <v>38514266</v>
          </cell>
          <cell r="J547">
            <v>521091</v>
          </cell>
          <cell r="K547">
            <v>10.93</v>
          </cell>
          <cell r="L547">
            <v>2427143</v>
          </cell>
          <cell r="M547">
            <v>31835905</v>
          </cell>
          <cell r="N547">
            <v>13074</v>
          </cell>
          <cell r="O547">
            <v>7.62</v>
          </cell>
          <cell r="P547">
            <v>556</v>
          </cell>
          <cell r="Q547">
            <v>6880</v>
          </cell>
          <cell r="R547">
            <v>1</v>
          </cell>
          <cell r="S547">
            <v>8.08</v>
          </cell>
          <cell r="T547">
            <v>11510089</v>
          </cell>
          <cell r="U547">
            <v>104818191</v>
          </cell>
          <cell r="V547">
            <v>4784786</v>
          </cell>
          <cell r="W547">
            <v>10.98</v>
          </cell>
        </row>
        <row r="548">
          <cell r="A548" t="str">
            <v>2012MN</v>
          </cell>
          <cell r="B548">
            <v>2012</v>
          </cell>
          <cell r="C548" t="str">
            <v>MN</v>
          </cell>
          <cell r="D548">
            <v>2504491</v>
          </cell>
          <cell r="E548">
            <v>22059631</v>
          </cell>
          <cell r="F548">
            <v>2317336</v>
          </cell>
          <cell r="G548">
            <v>11.35</v>
          </cell>
          <cell r="H548">
            <v>1988679</v>
          </cell>
          <cell r="I548">
            <v>22495804</v>
          </cell>
          <cell r="J548">
            <v>278466</v>
          </cell>
          <cell r="K548">
            <v>8.84</v>
          </cell>
          <cell r="L548">
            <v>1530592</v>
          </cell>
          <cell r="M548">
            <v>23415791</v>
          </cell>
          <cell r="N548">
            <v>11010</v>
          </cell>
          <cell r="O548">
            <v>6.54</v>
          </cell>
          <cell r="P548">
            <v>1500</v>
          </cell>
          <cell r="Q548">
            <v>17309</v>
          </cell>
          <cell r="R548">
            <v>1</v>
          </cell>
          <cell r="S548">
            <v>8.67</v>
          </cell>
          <cell r="T548">
            <v>6025263</v>
          </cell>
          <cell r="U548">
            <v>67988535</v>
          </cell>
          <cell r="V548">
            <v>2606813</v>
          </cell>
          <cell r="W548">
            <v>8.86</v>
          </cell>
        </row>
        <row r="549">
          <cell r="A549" t="str">
            <v>2012MO</v>
          </cell>
          <cell r="B549">
            <v>2012</v>
          </cell>
          <cell r="C549" t="str">
            <v>MO</v>
          </cell>
          <cell r="D549">
            <v>3491827</v>
          </cell>
          <cell r="E549">
            <v>34336615</v>
          </cell>
          <cell r="F549">
            <v>2699287</v>
          </cell>
          <cell r="G549">
            <v>10.17</v>
          </cell>
          <cell r="H549">
            <v>2499371</v>
          </cell>
          <cell r="I549">
            <v>30482745</v>
          </cell>
          <cell r="J549">
            <v>373022</v>
          </cell>
          <cell r="K549">
            <v>8.1999999999999993</v>
          </cell>
          <cell r="L549">
            <v>1036772</v>
          </cell>
          <cell r="M549">
            <v>17594410</v>
          </cell>
          <cell r="N549">
            <v>8901</v>
          </cell>
          <cell r="O549">
            <v>5.89</v>
          </cell>
          <cell r="P549">
            <v>1504</v>
          </cell>
          <cell r="Q549">
            <v>21589</v>
          </cell>
          <cell r="R549">
            <v>1</v>
          </cell>
          <cell r="S549">
            <v>6.97</v>
          </cell>
          <cell r="T549">
            <v>7029475</v>
          </cell>
          <cell r="U549">
            <v>82435359</v>
          </cell>
          <cell r="V549">
            <v>3081211</v>
          </cell>
          <cell r="W549">
            <v>8.5299999999999994</v>
          </cell>
        </row>
        <row r="550">
          <cell r="A550" t="str">
            <v>2012MS</v>
          </cell>
          <cell r="B550">
            <v>2012</v>
          </cell>
          <cell r="C550" t="str">
            <v>MS</v>
          </cell>
          <cell r="D550">
            <v>1846707</v>
          </cell>
          <cell r="E550">
            <v>17992708</v>
          </cell>
          <cell r="F550">
            <v>1256392</v>
          </cell>
          <cell r="G550">
            <v>10.26</v>
          </cell>
          <cell r="H550">
            <v>1266977</v>
          </cell>
          <cell r="I550">
            <v>13584638</v>
          </cell>
          <cell r="J550">
            <v>227384</v>
          </cell>
          <cell r="K550">
            <v>9.33</v>
          </cell>
          <cell r="L550">
            <v>1048844</v>
          </cell>
          <cell r="M550">
            <v>16810329</v>
          </cell>
          <cell r="N550">
            <v>7125</v>
          </cell>
          <cell r="O550">
            <v>6.24</v>
          </cell>
          <cell r="P550">
            <v>0</v>
          </cell>
          <cell r="Q550">
            <v>0</v>
          </cell>
          <cell r="R550">
            <v>0</v>
          </cell>
          <cell r="S550">
            <v>0</v>
          </cell>
          <cell r="T550">
            <v>4162529</v>
          </cell>
          <cell r="U550">
            <v>48387675</v>
          </cell>
          <cell r="V550">
            <v>1490901</v>
          </cell>
          <cell r="W550">
            <v>8.6</v>
          </cell>
        </row>
        <row r="551">
          <cell r="A551" t="str">
            <v>2012MT</v>
          </cell>
          <cell r="B551">
            <v>2012</v>
          </cell>
          <cell r="C551" t="str">
            <v>MT</v>
          </cell>
          <cell r="D551">
            <v>481814</v>
          </cell>
          <cell r="E551">
            <v>4778365</v>
          </cell>
          <cell r="F551">
            <v>473033</v>
          </cell>
          <cell r="G551">
            <v>10.08</v>
          </cell>
          <cell r="H551">
            <v>448886</v>
          </cell>
          <cell r="I551">
            <v>4917509</v>
          </cell>
          <cell r="J551">
            <v>101530</v>
          </cell>
          <cell r="K551">
            <v>9.1300000000000008</v>
          </cell>
          <cell r="L551">
            <v>212720</v>
          </cell>
          <cell r="M551">
            <v>4167509</v>
          </cell>
          <cell r="N551">
            <v>7268</v>
          </cell>
          <cell r="O551">
            <v>5.0999999999999996</v>
          </cell>
          <cell r="P551">
            <v>0</v>
          </cell>
          <cell r="Q551">
            <v>0</v>
          </cell>
          <cell r="R551">
            <v>0</v>
          </cell>
          <cell r="S551">
            <v>0</v>
          </cell>
          <cell r="T551">
            <v>1143421</v>
          </cell>
          <cell r="U551">
            <v>13863383</v>
          </cell>
          <cell r="V551">
            <v>581831</v>
          </cell>
          <cell r="W551">
            <v>8.25</v>
          </cell>
        </row>
        <row r="552">
          <cell r="A552" t="str">
            <v>2012NC</v>
          </cell>
          <cell r="B552">
            <v>2012</v>
          </cell>
          <cell r="C552" t="str">
            <v>NC</v>
          </cell>
          <cell r="D552">
            <v>5962720</v>
          </cell>
          <cell r="E552">
            <v>54671521</v>
          </cell>
          <cell r="F552">
            <v>4230588</v>
          </cell>
          <cell r="G552">
            <v>10.91</v>
          </cell>
          <cell r="H552">
            <v>4029839</v>
          </cell>
          <cell r="I552">
            <v>46510125</v>
          </cell>
          <cell r="J552">
            <v>652401</v>
          </cell>
          <cell r="K552">
            <v>8.66</v>
          </cell>
          <cell r="L552">
            <v>1727483</v>
          </cell>
          <cell r="M552">
            <v>26896123</v>
          </cell>
          <cell r="N552">
            <v>10399</v>
          </cell>
          <cell r="O552">
            <v>6.42</v>
          </cell>
          <cell r="P552">
            <v>562</v>
          </cell>
          <cell r="Q552">
            <v>7124</v>
          </cell>
          <cell r="R552">
            <v>1</v>
          </cell>
          <cell r="S552">
            <v>7.88</v>
          </cell>
          <cell r="T552">
            <v>11720603</v>
          </cell>
          <cell r="U552">
            <v>128084893</v>
          </cell>
          <cell r="V552">
            <v>4893389</v>
          </cell>
          <cell r="W552">
            <v>9.15</v>
          </cell>
        </row>
        <row r="553">
          <cell r="A553" t="str">
            <v>2012ND</v>
          </cell>
          <cell r="B553">
            <v>2012</v>
          </cell>
          <cell r="C553" t="str">
            <v>ND</v>
          </cell>
          <cell r="D553">
            <v>406332</v>
          </cell>
          <cell r="E553">
            <v>4484758</v>
          </cell>
          <cell r="F553">
            <v>342549</v>
          </cell>
          <cell r="G553">
            <v>9.06</v>
          </cell>
          <cell r="H553">
            <v>409867</v>
          </cell>
          <cell r="I553">
            <v>5108616</v>
          </cell>
          <cell r="J553">
            <v>63160</v>
          </cell>
          <cell r="K553">
            <v>8.02</v>
          </cell>
          <cell r="L553">
            <v>335697</v>
          </cell>
          <cell r="M553">
            <v>5123582</v>
          </cell>
          <cell r="N553">
            <v>4602</v>
          </cell>
          <cell r="O553">
            <v>6.55</v>
          </cell>
          <cell r="P553">
            <v>0</v>
          </cell>
          <cell r="Q553">
            <v>0</v>
          </cell>
          <cell r="R553">
            <v>0</v>
          </cell>
          <cell r="S553">
            <v>0</v>
          </cell>
          <cell r="T553">
            <v>1151896</v>
          </cell>
          <cell r="U553">
            <v>14716956</v>
          </cell>
          <cell r="V553">
            <v>410311</v>
          </cell>
          <cell r="W553">
            <v>7.83</v>
          </cell>
        </row>
        <row r="554">
          <cell r="A554" t="str">
            <v>2012NE</v>
          </cell>
          <cell r="B554">
            <v>2012</v>
          </cell>
          <cell r="C554" t="str">
            <v>NE</v>
          </cell>
          <cell r="D554">
            <v>972315</v>
          </cell>
          <cell r="E554">
            <v>9680143</v>
          </cell>
          <cell r="F554">
            <v>806524</v>
          </cell>
          <cell r="G554">
            <v>10.039999999999999</v>
          </cell>
          <cell r="H554">
            <v>773868</v>
          </cell>
          <cell r="I554">
            <v>9232889</v>
          </cell>
          <cell r="J554">
            <v>147463</v>
          </cell>
          <cell r="K554">
            <v>8.3800000000000008</v>
          </cell>
          <cell r="L554">
            <v>834871</v>
          </cell>
          <cell r="M554">
            <v>11914907</v>
          </cell>
          <cell r="N554">
            <v>54160</v>
          </cell>
          <cell r="O554">
            <v>7.01</v>
          </cell>
          <cell r="P554">
            <v>0</v>
          </cell>
          <cell r="Q554">
            <v>0</v>
          </cell>
          <cell r="R554">
            <v>0</v>
          </cell>
          <cell r="S554">
            <v>0</v>
          </cell>
          <cell r="T554">
            <v>2581053</v>
          </cell>
          <cell r="U554">
            <v>30827939</v>
          </cell>
          <cell r="V554">
            <v>1008147</v>
          </cell>
          <cell r="W554">
            <v>8.3699999999999992</v>
          </cell>
        </row>
        <row r="555">
          <cell r="A555" t="str">
            <v>2012NH</v>
          </cell>
          <cell r="B555">
            <v>2012</v>
          </cell>
          <cell r="C555" t="str">
            <v>NH</v>
          </cell>
          <cell r="D555">
            <v>713388</v>
          </cell>
          <cell r="E555">
            <v>4439208</v>
          </cell>
          <cell r="F555">
            <v>601697</v>
          </cell>
          <cell r="G555">
            <v>16.07</v>
          </cell>
          <cell r="H555">
            <v>598371</v>
          </cell>
          <cell r="I555">
            <v>4478420</v>
          </cell>
          <cell r="J555">
            <v>104978</v>
          </cell>
          <cell r="K555">
            <v>13.36</v>
          </cell>
          <cell r="L555">
            <v>231041</v>
          </cell>
          <cell r="M555">
            <v>1952633</v>
          </cell>
          <cell r="N555">
            <v>3444</v>
          </cell>
          <cell r="O555">
            <v>11.83</v>
          </cell>
          <cell r="P555">
            <v>0</v>
          </cell>
          <cell r="Q555">
            <v>0</v>
          </cell>
          <cell r="R555">
            <v>0</v>
          </cell>
          <cell r="S555">
            <v>0</v>
          </cell>
          <cell r="T555">
            <v>1542800</v>
          </cell>
          <cell r="U555">
            <v>10870261</v>
          </cell>
          <cell r="V555">
            <v>710119</v>
          </cell>
          <cell r="W555">
            <v>14.19</v>
          </cell>
        </row>
        <row r="556">
          <cell r="A556" t="str">
            <v>2012NJ</v>
          </cell>
          <cell r="B556">
            <v>2012</v>
          </cell>
          <cell r="C556" t="str">
            <v>NJ</v>
          </cell>
          <cell r="D556">
            <v>4523770</v>
          </cell>
          <cell r="E556">
            <v>28662958</v>
          </cell>
          <cell r="F556">
            <v>3455302</v>
          </cell>
          <cell r="G556">
            <v>15.78</v>
          </cell>
          <cell r="H556">
            <v>4898822</v>
          </cell>
          <cell r="I556">
            <v>38340478</v>
          </cell>
          <cell r="J556">
            <v>489943</v>
          </cell>
          <cell r="K556">
            <v>12.78</v>
          </cell>
          <cell r="L556">
            <v>816326</v>
          </cell>
          <cell r="M556">
            <v>7762331</v>
          </cell>
          <cell r="N556">
            <v>12729</v>
          </cell>
          <cell r="O556">
            <v>10.52</v>
          </cell>
          <cell r="P556">
            <v>28067</v>
          </cell>
          <cell r="Q556">
            <v>287147</v>
          </cell>
          <cell r="R556">
            <v>6</v>
          </cell>
          <cell r="S556">
            <v>9.77</v>
          </cell>
          <cell r="T556">
            <v>10266984</v>
          </cell>
          <cell r="U556">
            <v>75052914</v>
          </cell>
          <cell r="V556">
            <v>3957980</v>
          </cell>
          <cell r="W556">
            <v>13.68</v>
          </cell>
        </row>
        <row r="557">
          <cell r="A557" t="str">
            <v>2012NM</v>
          </cell>
          <cell r="B557">
            <v>2012</v>
          </cell>
          <cell r="C557" t="str">
            <v>NM</v>
          </cell>
          <cell r="D557">
            <v>769384</v>
          </cell>
          <cell r="E557">
            <v>6763820</v>
          </cell>
          <cell r="F557">
            <v>859281</v>
          </cell>
          <cell r="G557">
            <v>11.38</v>
          </cell>
          <cell r="H557">
            <v>854645</v>
          </cell>
          <cell r="I557">
            <v>9165533</v>
          </cell>
          <cell r="J557">
            <v>137413</v>
          </cell>
          <cell r="K557">
            <v>9.32</v>
          </cell>
          <cell r="L557">
            <v>422675</v>
          </cell>
          <cell r="M557">
            <v>7249215</v>
          </cell>
          <cell r="N557">
            <v>8238</v>
          </cell>
          <cell r="O557">
            <v>5.83</v>
          </cell>
          <cell r="P557">
            <v>0</v>
          </cell>
          <cell r="Q557">
            <v>0</v>
          </cell>
          <cell r="R557">
            <v>0</v>
          </cell>
          <cell r="S557">
            <v>0</v>
          </cell>
          <cell r="T557">
            <v>2046704</v>
          </cell>
          <cell r="U557">
            <v>23178568</v>
          </cell>
          <cell r="V557">
            <v>1004932</v>
          </cell>
          <cell r="W557">
            <v>8.83</v>
          </cell>
        </row>
        <row r="558">
          <cell r="A558" t="str">
            <v>2012NV</v>
          </cell>
          <cell r="B558">
            <v>2012</v>
          </cell>
          <cell r="C558" t="str">
            <v>NV</v>
          </cell>
          <cell r="D558">
            <v>1433832</v>
          </cell>
          <cell r="E558">
            <v>12122718</v>
          </cell>
          <cell r="F558">
            <v>1080583</v>
          </cell>
          <cell r="G558">
            <v>11.83</v>
          </cell>
          <cell r="H558">
            <v>822471</v>
          </cell>
          <cell r="I558">
            <v>9314611</v>
          </cell>
          <cell r="J558">
            <v>155927</v>
          </cell>
          <cell r="K558">
            <v>8.83</v>
          </cell>
          <cell r="L558">
            <v>890523</v>
          </cell>
          <cell r="M558">
            <v>13734461</v>
          </cell>
          <cell r="N558">
            <v>3748</v>
          </cell>
          <cell r="O558">
            <v>6.48</v>
          </cell>
          <cell r="P558">
            <v>683</v>
          </cell>
          <cell r="Q558">
            <v>8128</v>
          </cell>
          <cell r="R558">
            <v>1</v>
          </cell>
          <cell r="S558">
            <v>8.4</v>
          </cell>
          <cell r="T558">
            <v>3147509</v>
          </cell>
          <cell r="U558">
            <v>35179918</v>
          </cell>
          <cell r="V558">
            <v>1240259</v>
          </cell>
          <cell r="W558">
            <v>8.9499999999999993</v>
          </cell>
        </row>
        <row r="559">
          <cell r="A559" t="str">
            <v>2012NY</v>
          </cell>
          <cell r="B559">
            <v>2012</v>
          </cell>
          <cell r="C559" t="str">
            <v>NY</v>
          </cell>
          <cell r="D559">
            <v>8929713</v>
          </cell>
          <cell r="E559">
            <v>50691506</v>
          </cell>
          <cell r="F559">
            <v>7010740</v>
          </cell>
          <cell r="G559">
            <v>17.62</v>
          </cell>
          <cell r="H559">
            <v>11445525</v>
          </cell>
          <cell r="I559">
            <v>76017962</v>
          </cell>
          <cell r="J559">
            <v>1038268</v>
          </cell>
          <cell r="K559">
            <v>15.06</v>
          </cell>
          <cell r="L559">
            <v>917700</v>
          </cell>
          <cell r="M559">
            <v>13705330</v>
          </cell>
          <cell r="N559">
            <v>8144</v>
          </cell>
          <cell r="O559">
            <v>6.7</v>
          </cell>
          <cell r="P559">
            <v>390271</v>
          </cell>
          <cell r="Q559">
            <v>2747870</v>
          </cell>
          <cell r="R559">
            <v>6</v>
          </cell>
          <cell r="S559">
            <v>14.2</v>
          </cell>
          <cell r="T559">
            <v>21683209</v>
          </cell>
          <cell r="U559">
            <v>143162668</v>
          </cell>
          <cell r="V559">
            <v>8057158</v>
          </cell>
          <cell r="W559">
            <v>15.15</v>
          </cell>
        </row>
        <row r="560">
          <cell r="A560" t="str">
            <v>2012OH</v>
          </cell>
          <cell r="B560">
            <v>2012</v>
          </cell>
          <cell r="C560" t="str">
            <v>OH</v>
          </cell>
          <cell r="D560">
            <v>6148489</v>
          </cell>
          <cell r="E560">
            <v>52287769</v>
          </cell>
          <cell r="F560">
            <v>4869305</v>
          </cell>
          <cell r="G560">
            <v>11.76</v>
          </cell>
          <cell r="H560">
            <v>4428644</v>
          </cell>
          <cell r="I560">
            <v>46755882</v>
          </cell>
          <cell r="J560">
            <v>613259</v>
          </cell>
          <cell r="K560">
            <v>9.4700000000000006</v>
          </cell>
          <cell r="L560">
            <v>3328313</v>
          </cell>
          <cell r="M560">
            <v>53379284</v>
          </cell>
          <cell r="N560">
            <v>19602</v>
          </cell>
          <cell r="O560">
            <v>6.24</v>
          </cell>
          <cell r="P560">
            <v>2368</v>
          </cell>
          <cell r="Q560">
            <v>33929</v>
          </cell>
          <cell r="R560">
            <v>2</v>
          </cell>
          <cell r="S560">
            <v>6.98</v>
          </cell>
          <cell r="T560">
            <v>13907813</v>
          </cell>
          <cell r="U560">
            <v>152456864</v>
          </cell>
          <cell r="V560">
            <v>5502168</v>
          </cell>
          <cell r="W560">
            <v>9.1199999999999992</v>
          </cell>
        </row>
        <row r="561">
          <cell r="A561" t="str">
            <v>2012OK</v>
          </cell>
          <cell r="B561">
            <v>2012</v>
          </cell>
          <cell r="C561" t="str">
            <v>OK</v>
          </cell>
          <cell r="D561">
            <v>2168292</v>
          </cell>
          <cell r="E561">
            <v>22809680</v>
          </cell>
          <cell r="F561">
            <v>1679296</v>
          </cell>
          <cell r="G561">
            <v>9.51</v>
          </cell>
          <cell r="H561">
            <v>1461115</v>
          </cell>
          <cell r="I561">
            <v>19961143</v>
          </cell>
          <cell r="J561">
            <v>268014</v>
          </cell>
          <cell r="K561">
            <v>7.32</v>
          </cell>
          <cell r="L561">
            <v>842885</v>
          </cell>
          <cell r="M561">
            <v>16569801</v>
          </cell>
          <cell r="N561">
            <v>18242</v>
          </cell>
          <cell r="O561">
            <v>5.09</v>
          </cell>
          <cell r="P561">
            <v>0</v>
          </cell>
          <cell r="Q561">
            <v>0</v>
          </cell>
          <cell r="R561">
            <v>0</v>
          </cell>
          <cell r="S561">
            <v>0</v>
          </cell>
          <cell r="T561">
            <v>4472291</v>
          </cell>
          <cell r="U561">
            <v>59340624</v>
          </cell>
          <cell r="V561">
            <v>1965552</v>
          </cell>
          <cell r="W561">
            <v>7.54</v>
          </cell>
        </row>
        <row r="562">
          <cell r="A562" t="str">
            <v>2012OR</v>
          </cell>
          <cell r="B562">
            <v>2012</v>
          </cell>
          <cell r="C562" t="str">
            <v>OR</v>
          </cell>
          <cell r="D562">
            <v>1848670</v>
          </cell>
          <cell r="E562">
            <v>18854659</v>
          </cell>
          <cell r="F562">
            <v>1642444</v>
          </cell>
          <cell r="G562">
            <v>9.8000000000000007</v>
          </cell>
          <cell r="H562">
            <v>1313512</v>
          </cell>
          <cell r="I562">
            <v>15803814</v>
          </cell>
          <cell r="J562">
            <v>237780</v>
          </cell>
          <cell r="K562">
            <v>8.31</v>
          </cell>
          <cell r="L562">
            <v>670720</v>
          </cell>
          <cell r="M562">
            <v>12005579</v>
          </cell>
          <cell r="N562">
            <v>23303</v>
          </cell>
          <cell r="O562">
            <v>5.59</v>
          </cell>
          <cell r="P562">
            <v>2044</v>
          </cell>
          <cell r="Q562">
            <v>24804</v>
          </cell>
          <cell r="R562">
            <v>4</v>
          </cell>
          <cell r="S562">
            <v>8.24</v>
          </cell>
          <cell r="T562">
            <v>3834946</v>
          </cell>
          <cell r="U562">
            <v>46688856</v>
          </cell>
          <cell r="V562">
            <v>1903531</v>
          </cell>
          <cell r="W562">
            <v>8.2100000000000009</v>
          </cell>
        </row>
        <row r="563">
          <cell r="A563" t="str">
            <v>2012PA</v>
          </cell>
          <cell r="B563">
            <v>2012</v>
          </cell>
          <cell r="C563" t="str">
            <v>PA</v>
          </cell>
          <cell r="D563">
            <v>6741627</v>
          </cell>
          <cell r="E563">
            <v>52876058</v>
          </cell>
          <cell r="F563">
            <v>5261381</v>
          </cell>
          <cell r="G563">
            <v>12.75</v>
          </cell>
          <cell r="H563">
            <v>4050398</v>
          </cell>
          <cell r="I563">
            <v>42919768</v>
          </cell>
          <cell r="J563">
            <v>687750</v>
          </cell>
          <cell r="K563">
            <v>9.44</v>
          </cell>
          <cell r="L563">
            <v>3472258</v>
          </cell>
          <cell r="M563">
            <v>48038858</v>
          </cell>
          <cell r="N563">
            <v>24963</v>
          </cell>
          <cell r="O563">
            <v>7.23</v>
          </cell>
          <cell r="P563">
            <v>70607</v>
          </cell>
          <cell r="Q563">
            <v>875043</v>
          </cell>
          <cell r="R563">
            <v>14</v>
          </cell>
          <cell r="S563">
            <v>8.07</v>
          </cell>
          <cell r="T563">
            <v>14334889</v>
          </cell>
          <cell r="U563">
            <v>144709727</v>
          </cell>
          <cell r="V563">
            <v>5974108</v>
          </cell>
          <cell r="W563">
            <v>9.91</v>
          </cell>
        </row>
        <row r="564">
          <cell r="A564" t="str">
            <v>2012RI</v>
          </cell>
          <cell r="B564">
            <v>2012</v>
          </cell>
          <cell r="C564" t="str">
            <v>RI</v>
          </cell>
          <cell r="D564">
            <v>449604</v>
          </cell>
          <cell r="E564">
            <v>3121367</v>
          </cell>
          <cell r="F564">
            <v>435448</v>
          </cell>
          <cell r="G564">
            <v>14.4</v>
          </cell>
          <cell r="H564">
            <v>431952</v>
          </cell>
          <cell r="I564">
            <v>3639866</v>
          </cell>
          <cell r="J564">
            <v>57824</v>
          </cell>
          <cell r="K564">
            <v>11.87</v>
          </cell>
          <cell r="L564">
            <v>98597</v>
          </cell>
          <cell r="M564">
            <v>923478</v>
          </cell>
          <cell r="N564">
            <v>1927</v>
          </cell>
          <cell r="O564">
            <v>10.68</v>
          </cell>
          <cell r="P564">
            <v>1956</v>
          </cell>
          <cell r="Q564">
            <v>23623</v>
          </cell>
          <cell r="R564">
            <v>1</v>
          </cell>
          <cell r="S564">
            <v>8.2799999999999994</v>
          </cell>
          <cell r="T564">
            <v>982109</v>
          </cell>
          <cell r="U564">
            <v>7708334</v>
          </cell>
          <cell r="V564">
            <v>495200</v>
          </cell>
          <cell r="W564">
            <v>12.74</v>
          </cell>
        </row>
        <row r="565">
          <cell r="A565" t="str">
            <v>2012SC</v>
          </cell>
          <cell r="B565">
            <v>2012</v>
          </cell>
          <cell r="C565" t="str">
            <v>SC</v>
          </cell>
          <cell r="D565">
            <v>3338098</v>
          </cell>
          <cell r="E565">
            <v>28366263</v>
          </cell>
          <cell r="F565">
            <v>2113144</v>
          </cell>
          <cell r="G565">
            <v>11.77</v>
          </cell>
          <cell r="H565">
            <v>2045995</v>
          </cell>
          <cell r="I565">
            <v>21250734</v>
          </cell>
          <cell r="J565">
            <v>342761</v>
          </cell>
          <cell r="K565">
            <v>9.6300000000000008</v>
          </cell>
          <cell r="L565">
            <v>1695628</v>
          </cell>
          <cell r="M565">
            <v>28163956</v>
          </cell>
          <cell r="N565">
            <v>4392</v>
          </cell>
          <cell r="O565">
            <v>6.02</v>
          </cell>
          <cell r="P565">
            <v>0</v>
          </cell>
          <cell r="Q565">
            <v>0</v>
          </cell>
          <cell r="R565">
            <v>0</v>
          </cell>
          <cell r="S565">
            <v>0</v>
          </cell>
          <cell r="T565">
            <v>7079722</v>
          </cell>
          <cell r="U565">
            <v>77780953</v>
          </cell>
          <cell r="V565">
            <v>2460297</v>
          </cell>
          <cell r="W565">
            <v>9.1</v>
          </cell>
        </row>
        <row r="566">
          <cell r="A566" t="str">
            <v>2012SD</v>
          </cell>
          <cell r="B566">
            <v>2012</v>
          </cell>
          <cell r="C566" t="str">
            <v>SD</v>
          </cell>
          <cell r="D566">
            <v>448375</v>
          </cell>
          <cell r="E566">
            <v>4453732</v>
          </cell>
          <cell r="F566">
            <v>378633</v>
          </cell>
          <cell r="G566">
            <v>10.07</v>
          </cell>
          <cell r="H566">
            <v>368926</v>
          </cell>
          <cell r="I566">
            <v>4556608</v>
          </cell>
          <cell r="J566">
            <v>68880</v>
          </cell>
          <cell r="K566">
            <v>8.1</v>
          </cell>
          <cell r="L566">
            <v>178980</v>
          </cell>
          <cell r="M566">
            <v>2723870</v>
          </cell>
          <cell r="N566">
            <v>2891</v>
          </cell>
          <cell r="O566">
            <v>6.57</v>
          </cell>
          <cell r="P566">
            <v>0</v>
          </cell>
          <cell r="Q566">
            <v>0</v>
          </cell>
          <cell r="R566">
            <v>0</v>
          </cell>
          <cell r="S566">
            <v>0</v>
          </cell>
          <cell r="T566">
            <v>996281</v>
          </cell>
          <cell r="U566">
            <v>11734210</v>
          </cell>
          <cell r="V566">
            <v>450404</v>
          </cell>
          <cell r="W566">
            <v>8.49</v>
          </cell>
        </row>
        <row r="567">
          <cell r="A567" t="str">
            <v>2012TN</v>
          </cell>
          <cell r="B567">
            <v>2012</v>
          </cell>
          <cell r="C567" t="str">
            <v>TN</v>
          </cell>
          <cell r="D567">
            <v>4015594</v>
          </cell>
          <cell r="E567">
            <v>39753631</v>
          </cell>
          <cell r="F567">
            <v>2721099</v>
          </cell>
          <cell r="G567">
            <v>10.1</v>
          </cell>
          <cell r="H567">
            <v>2901670</v>
          </cell>
          <cell r="I567">
            <v>28150141</v>
          </cell>
          <cell r="J567">
            <v>466513</v>
          </cell>
          <cell r="K567">
            <v>10.31</v>
          </cell>
          <cell r="L567">
            <v>2015274</v>
          </cell>
          <cell r="M567">
            <v>28475956</v>
          </cell>
          <cell r="N567">
            <v>1957</v>
          </cell>
          <cell r="O567">
            <v>7.08</v>
          </cell>
          <cell r="P567">
            <v>197</v>
          </cell>
          <cell r="Q567">
            <v>1744</v>
          </cell>
          <cell r="R567">
            <v>1</v>
          </cell>
          <cell r="S567">
            <v>11.28</v>
          </cell>
          <cell r="T567">
            <v>8932734</v>
          </cell>
          <cell r="U567">
            <v>96381472</v>
          </cell>
          <cell r="V567">
            <v>3189570</v>
          </cell>
          <cell r="W567">
            <v>9.27</v>
          </cell>
        </row>
        <row r="568">
          <cell r="A568" t="str">
            <v>2012TX</v>
          </cell>
          <cell r="B568">
            <v>2012</v>
          </cell>
          <cell r="C568" t="str">
            <v>TX</v>
          </cell>
          <cell r="D568">
            <v>15087710</v>
          </cell>
          <cell r="E568">
            <v>137411633</v>
          </cell>
          <cell r="F568">
            <v>9802110</v>
          </cell>
          <cell r="G568">
            <v>10.98</v>
          </cell>
          <cell r="H568">
            <v>10856843</v>
          </cell>
          <cell r="I568">
            <v>133104994</v>
          </cell>
          <cell r="J568">
            <v>1355155</v>
          </cell>
          <cell r="K568">
            <v>8.16</v>
          </cell>
          <cell r="L568">
            <v>5265840</v>
          </cell>
          <cell r="M568">
            <v>94517323</v>
          </cell>
          <cell r="N568">
            <v>92377</v>
          </cell>
          <cell r="O568">
            <v>5.57</v>
          </cell>
          <cell r="P568">
            <v>7395</v>
          </cell>
          <cell r="Q568">
            <v>70181</v>
          </cell>
          <cell r="R568">
            <v>2</v>
          </cell>
          <cell r="S568">
            <v>10.54</v>
          </cell>
          <cell r="T568">
            <v>31217788</v>
          </cell>
          <cell r="U568">
            <v>365104131</v>
          </cell>
          <cell r="V568">
            <v>11249644</v>
          </cell>
          <cell r="W568">
            <v>8.5500000000000007</v>
          </cell>
        </row>
        <row r="569">
          <cell r="A569" t="str">
            <v>2012UT</v>
          </cell>
          <cell r="B569">
            <v>2012</v>
          </cell>
          <cell r="C569" t="str">
            <v>UT</v>
          </cell>
          <cell r="D569">
            <v>912330</v>
          </cell>
          <cell r="E569">
            <v>9188204</v>
          </cell>
          <cell r="F569">
            <v>966063</v>
          </cell>
          <cell r="G569">
            <v>9.93</v>
          </cell>
          <cell r="H569">
            <v>870218</v>
          </cell>
          <cell r="I569">
            <v>10802800</v>
          </cell>
          <cell r="J569">
            <v>115880</v>
          </cell>
          <cell r="K569">
            <v>8.06</v>
          </cell>
          <cell r="L569">
            <v>544855</v>
          </cell>
          <cell r="M569">
            <v>9694190</v>
          </cell>
          <cell r="N569">
            <v>9417</v>
          </cell>
          <cell r="O569">
            <v>5.62</v>
          </cell>
          <cell r="P569">
            <v>3738</v>
          </cell>
          <cell r="Q569">
            <v>38174</v>
          </cell>
          <cell r="R569">
            <v>1</v>
          </cell>
          <cell r="S569">
            <v>9.7899999999999991</v>
          </cell>
          <cell r="T569">
            <v>2331140</v>
          </cell>
          <cell r="U569">
            <v>29723368</v>
          </cell>
          <cell r="V569">
            <v>1091361</v>
          </cell>
          <cell r="W569">
            <v>7.84</v>
          </cell>
        </row>
        <row r="570">
          <cell r="A570" t="str">
            <v>2012VA</v>
          </cell>
          <cell r="B570">
            <v>2012</v>
          </cell>
          <cell r="C570" t="str">
            <v>VA</v>
          </cell>
          <cell r="D570">
            <v>4822893</v>
          </cell>
          <cell r="E570">
            <v>43534675</v>
          </cell>
          <cell r="F570">
            <v>3248518</v>
          </cell>
          <cell r="G570">
            <v>11.08</v>
          </cell>
          <cell r="H570">
            <v>3777882</v>
          </cell>
          <cell r="I570">
            <v>46756658</v>
          </cell>
          <cell r="J570">
            <v>419052</v>
          </cell>
          <cell r="K570">
            <v>8.08</v>
          </cell>
          <cell r="L570">
            <v>1162772</v>
          </cell>
          <cell r="M570">
            <v>17315739</v>
          </cell>
          <cell r="N570">
            <v>3973</v>
          </cell>
          <cell r="O570">
            <v>6.72</v>
          </cell>
          <cell r="P570">
            <v>15993</v>
          </cell>
          <cell r="Q570">
            <v>187913</v>
          </cell>
          <cell r="R570">
            <v>1</v>
          </cell>
          <cell r="S570">
            <v>8.51</v>
          </cell>
          <cell r="T570">
            <v>9779539</v>
          </cell>
          <cell r="U570">
            <v>107794985</v>
          </cell>
          <cell r="V570">
            <v>3671544</v>
          </cell>
          <cell r="W570">
            <v>9.07</v>
          </cell>
        </row>
        <row r="571">
          <cell r="A571" t="str">
            <v>2012VT</v>
          </cell>
          <cell r="B571">
            <v>2012</v>
          </cell>
          <cell r="C571" t="str">
            <v>VT</v>
          </cell>
          <cell r="D571">
            <v>356325</v>
          </cell>
          <cell r="E571">
            <v>2095283</v>
          </cell>
          <cell r="F571">
            <v>309019</v>
          </cell>
          <cell r="G571">
            <v>17.010000000000002</v>
          </cell>
          <cell r="H571">
            <v>285449</v>
          </cell>
          <cell r="I571">
            <v>1993892</v>
          </cell>
          <cell r="J571">
            <v>51216</v>
          </cell>
          <cell r="K571">
            <v>14.32</v>
          </cell>
          <cell r="L571">
            <v>141870</v>
          </cell>
          <cell r="M571">
            <v>1421589</v>
          </cell>
          <cell r="N571">
            <v>221</v>
          </cell>
          <cell r="O571">
            <v>9.98</v>
          </cell>
          <cell r="P571">
            <v>0</v>
          </cell>
          <cell r="Q571">
            <v>0</v>
          </cell>
          <cell r="R571">
            <v>0</v>
          </cell>
          <cell r="S571">
            <v>0</v>
          </cell>
          <cell r="T571">
            <v>783644</v>
          </cell>
          <cell r="U571">
            <v>5510764</v>
          </cell>
          <cell r="V571">
            <v>360456</v>
          </cell>
          <cell r="W571">
            <v>14.22</v>
          </cell>
        </row>
        <row r="572">
          <cell r="A572" t="str">
            <v>2012WA</v>
          </cell>
          <cell r="B572">
            <v>2012</v>
          </cell>
          <cell r="C572" t="str">
            <v>WA</v>
          </cell>
          <cell r="D572">
            <v>3028281</v>
          </cell>
          <cell r="E572">
            <v>35510961</v>
          </cell>
          <cell r="F572">
            <v>2852760</v>
          </cell>
          <cell r="G572">
            <v>8.5299999999999994</v>
          </cell>
          <cell r="H572">
            <v>2244298</v>
          </cell>
          <cell r="I572">
            <v>29239604</v>
          </cell>
          <cell r="J572">
            <v>356028</v>
          </cell>
          <cell r="K572">
            <v>7.68</v>
          </cell>
          <cell r="L572">
            <v>1138881</v>
          </cell>
          <cell r="M572">
            <v>27578904</v>
          </cell>
          <cell r="N572">
            <v>27690</v>
          </cell>
          <cell r="O572">
            <v>4.13</v>
          </cell>
          <cell r="P572">
            <v>562</v>
          </cell>
          <cell r="Q572">
            <v>6972</v>
          </cell>
          <cell r="R572">
            <v>6</v>
          </cell>
          <cell r="S572">
            <v>8.06</v>
          </cell>
          <cell r="T572">
            <v>6412022</v>
          </cell>
          <cell r="U572">
            <v>92336441</v>
          </cell>
          <cell r="V572">
            <v>3236484</v>
          </cell>
          <cell r="W572">
            <v>6.94</v>
          </cell>
        </row>
        <row r="573">
          <cell r="A573" t="str">
            <v>2012WI</v>
          </cell>
          <cell r="B573">
            <v>2012</v>
          </cell>
          <cell r="C573" t="str">
            <v>WI</v>
          </cell>
          <cell r="D573">
            <v>2905404</v>
          </cell>
          <cell r="E573">
            <v>22026353</v>
          </cell>
          <cell r="F573">
            <v>2609168</v>
          </cell>
          <cell r="G573">
            <v>13.19</v>
          </cell>
          <cell r="H573">
            <v>2441891</v>
          </cell>
          <cell r="I573">
            <v>23232827</v>
          </cell>
          <cell r="J573">
            <v>341896</v>
          </cell>
          <cell r="K573">
            <v>10.51</v>
          </cell>
          <cell r="L573">
            <v>1730531</v>
          </cell>
          <cell r="M573">
            <v>23560910</v>
          </cell>
          <cell r="N573">
            <v>4572</v>
          </cell>
          <cell r="O573">
            <v>7.34</v>
          </cell>
          <cell r="P573">
            <v>0</v>
          </cell>
          <cell r="Q573">
            <v>0</v>
          </cell>
          <cell r="R573">
            <v>0</v>
          </cell>
          <cell r="S573">
            <v>0</v>
          </cell>
          <cell r="T573">
            <v>7077825</v>
          </cell>
          <cell r="U573">
            <v>68820090</v>
          </cell>
          <cell r="V573">
            <v>2955636</v>
          </cell>
          <cell r="W573">
            <v>10.28</v>
          </cell>
        </row>
        <row r="574">
          <cell r="A574" t="str">
            <v>2012WV</v>
          </cell>
          <cell r="B574">
            <v>2012</v>
          </cell>
          <cell r="C574" t="str">
            <v>WV</v>
          </cell>
          <cell r="D574">
            <v>1102691</v>
          </cell>
          <cell r="E574">
            <v>11194679</v>
          </cell>
          <cell r="F574">
            <v>865673</v>
          </cell>
          <cell r="G574">
            <v>9.85</v>
          </cell>
          <cell r="H574">
            <v>653726</v>
          </cell>
          <cell r="I574">
            <v>7762823</v>
          </cell>
          <cell r="J574">
            <v>138687</v>
          </cell>
          <cell r="K574">
            <v>8.42</v>
          </cell>
          <cell r="L574">
            <v>750338</v>
          </cell>
          <cell r="M574">
            <v>11855567</v>
          </cell>
          <cell r="N574">
            <v>12472</v>
          </cell>
          <cell r="O574">
            <v>6.33</v>
          </cell>
          <cell r="P574">
            <v>361</v>
          </cell>
          <cell r="Q574">
            <v>4172</v>
          </cell>
          <cell r="R574">
            <v>1</v>
          </cell>
          <cell r="S574">
            <v>8.66</v>
          </cell>
          <cell r="T574">
            <v>2507116</v>
          </cell>
          <cell r="U574">
            <v>30817241</v>
          </cell>
          <cell r="V574">
            <v>1016833</v>
          </cell>
          <cell r="W574">
            <v>8.14</v>
          </cell>
        </row>
        <row r="575">
          <cell r="A575" t="str">
            <v>2012WY</v>
          </cell>
          <cell r="B575">
            <v>2012</v>
          </cell>
          <cell r="C575" t="str">
            <v>WY</v>
          </cell>
          <cell r="D575">
            <v>267506</v>
          </cell>
          <cell r="E575">
            <v>2716528</v>
          </cell>
          <cell r="F575">
            <v>261191</v>
          </cell>
          <cell r="G575">
            <v>9.85</v>
          </cell>
          <cell r="H575">
            <v>349824</v>
          </cell>
          <cell r="I575">
            <v>4245450</v>
          </cell>
          <cell r="J575">
            <v>59268</v>
          </cell>
          <cell r="K575">
            <v>8.24</v>
          </cell>
          <cell r="L575">
            <v>603310</v>
          </cell>
          <cell r="M575">
            <v>10009376</v>
          </cell>
          <cell r="N575">
            <v>9163</v>
          </cell>
          <cell r="O575">
            <v>6.03</v>
          </cell>
          <cell r="P575">
            <v>0</v>
          </cell>
          <cell r="Q575">
            <v>0</v>
          </cell>
          <cell r="R575">
            <v>0</v>
          </cell>
          <cell r="S575">
            <v>0</v>
          </cell>
          <cell r="T575">
            <v>1220640</v>
          </cell>
          <cell r="U575">
            <v>16971354</v>
          </cell>
          <cell r="V575">
            <v>329622</v>
          </cell>
          <cell r="W575">
            <v>7.19</v>
          </cell>
        </row>
        <row r="576">
          <cell r="A576" t="str">
            <v>2012US</v>
          </cell>
          <cell r="B576">
            <v>2012</v>
          </cell>
          <cell r="C576" t="str">
            <v>US</v>
          </cell>
          <cell r="D576">
            <v>163280360</v>
          </cell>
          <cell r="E576">
            <v>1374514708</v>
          </cell>
          <cell r="F576">
            <v>126832343</v>
          </cell>
          <cell r="G576">
            <v>11.88</v>
          </cell>
          <cell r="H576">
            <v>133898441</v>
          </cell>
          <cell r="I576">
            <v>1327101196</v>
          </cell>
          <cell r="J576">
            <v>17729029</v>
          </cell>
          <cell r="K576">
            <v>10.09</v>
          </cell>
          <cell r="L576">
            <v>65761258</v>
          </cell>
          <cell r="M576">
            <v>985713854</v>
          </cell>
          <cell r="N576">
            <v>732385</v>
          </cell>
          <cell r="O576">
            <v>6.67</v>
          </cell>
          <cell r="P576">
            <v>747421</v>
          </cell>
          <cell r="Q576">
            <v>7320028</v>
          </cell>
          <cell r="R576">
            <v>83</v>
          </cell>
          <cell r="S576">
            <v>10.210000000000001</v>
          </cell>
          <cell r="T576">
            <v>363687480</v>
          </cell>
          <cell r="U576">
            <v>3694649786</v>
          </cell>
          <cell r="V576">
            <v>145293840</v>
          </cell>
          <cell r="W576">
            <v>9.84</v>
          </cell>
        </row>
        <row r="577">
          <cell r="A577" t="str">
            <v>2011AK</v>
          </cell>
          <cell r="B577">
            <v>2011</v>
          </cell>
          <cell r="C577" t="str">
            <v>AK</v>
          </cell>
          <cell r="D577">
            <v>376005</v>
          </cell>
          <cell r="E577">
            <v>2134422</v>
          </cell>
          <cell r="F577">
            <v>273855</v>
          </cell>
          <cell r="G577">
            <v>17.62</v>
          </cell>
          <cell r="H577">
            <v>430938</v>
          </cell>
          <cell r="I577">
            <v>2854410</v>
          </cell>
          <cell r="J577">
            <v>48503</v>
          </cell>
          <cell r="K577">
            <v>15.1</v>
          </cell>
          <cell r="L577">
            <v>209034</v>
          </cell>
          <cell r="M577">
            <v>1330708</v>
          </cell>
          <cell r="N577">
            <v>1250</v>
          </cell>
          <cell r="O577">
            <v>15.71</v>
          </cell>
          <cell r="P577">
            <v>0</v>
          </cell>
          <cell r="Q577">
            <v>0</v>
          </cell>
          <cell r="R577">
            <v>0</v>
          </cell>
          <cell r="S577">
            <v>0</v>
          </cell>
          <cell r="T577">
            <v>1015977</v>
          </cell>
          <cell r="U577">
            <v>6319540</v>
          </cell>
          <cell r="V577">
            <v>323608</v>
          </cell>
          <cell r="W577">
            <v>16.079999999999998</v>
          </cell>
        </row>
        <row r="578">
          <cell r="A578" t="str">
            <v>2011AL</v>
          </cell>
          <cell r="B578">
            <v>2011</v>
          </cell>
          <cell r="C578" t="str">
            <v>AL</v>
          </cell>
          <cell r="D578">
            <v>3661470</v>
          </cell>
          <cell r="E578">
            <v>33002815</v>
          </cell>
          <cell r="F578">
            <v>2142625</v>
          </cell>
          <cell r="G578">
            <v>11.09</v>
          </cell>
          <cell r="H578">
            <v>2331377</v>
          </cell>
          <cell r="I578">
            <v>22257127</v>
          </cell>
          <cell r="J578">
            <v>356074</v>
          </cell>
          <cell r="K578">
            <v>10.47</v>
          </cell>
          <cell r="L578">
            <v>2107205</v>
          </cell>
          <cell r="M578">
            <v>33735427</v>
          </cell>
          <cell r="N578">
            <v>6491</v>
          </cell>
          <cell r="O578">
            <v>6.25</v>
          </cell>
          <cell r="P578">
            <v>0</v>
          </cell>
          <cell r="Q578">
            <v>0</v>
          </cell>
          <cell r="R578">
            <v>0</v>
          </cell>
          <cell r="S578">
            <v>0</v>
          </cell>
          <cell r="T578">
            <v>8100051</v>
          </cell>
          <cell r="U578">
            <v>88995369</v>
          </cell>
          <cell r="V578">
            <v>2505190</v>
          </cell>
          <cell r="W578">
            <v>9.1</v>
          </cell>
        </row>
        <row r="579">
          <cell r="A579" t="str">
            <v>2011AR</v>
          </cell>
          <cell r="B579">
            <v>2011</v>
          </cell>
          <cell r="C579" t="str">
            <v>AR</v>
          </cell>
          <cell r="D579">
            <v>1693836</v>
          </cell>
          <cell r="E579">
            <v>18787349</v>
          </cell>
          <cell r="F579">
            <v>1328286</v>
          </cell>
          <cell r="G579">
            <v>9.02</v>
          </cell>
          <cell r="H579">
            <v>911067</v>
          </cell>
          <cell r="I579">
            <v>12146130</v>
          </cell>
          <cell r="J579">
            <v>180291</v>
          </cell>
          <cell r="K579">
            <v>7.5</v>
          </cell>
          <cell r="L579">
            <v>957043</v>
          </cell>
          <cell r="M579">
            <v>16993922</v>
          </cell>
          <cell r="N579">
            <v>32761</v>
          </cell>
          <cell r="O579">
            <v>5.63</v>
          </cell>
          <cell r="P579">
            <v>48</v>
          </cell>
          <cell r="Q579">
            <v>428</v>
          </cell>
          <cell r="R579">
            <v>2</v>
          </cell>
          <cell r="S579">
            <v>11.1</v>
          </cell>
          <cell r="T579">
            <v>3561993</v>
          </cell>
          <cell r="U579">
            <v>47927829</v>
          </cell>
          <cell r="V579">
            <v>1541340</v>
          </cell>
          <cell r="W579">
            <v>7.43</v>
          </cell>
        </row>
        <row r="580">
          <cell r="A580" t="str">
            <v>2011AZ</v>
          </cell>
          <cell r="B580">
            <v>2011</v>
          </cell>
          <cell r="C580" t="str">
            <v>AZ</v>
          </cell>
          <cell r="D580">
            <v>3666153</v>
          </cell>
          <cell r="E580">
            <v>33079074</v>
          </cell>
          <cell r="F580">
            <v>2575586</v>
          </cell>
          <cell r="G580">
            <v>11.08</v>
          </cell>
          <cell r="H580">
            <v>2802810</v>
          </cell>
          <cell r="I580">
            <v>29512330</v>
          </cell>
          <cell r="J580">
            <v>305340</v>
          </cell>
          <cell r="K580">
            <v>9.5</v>
          </cell>
          <cell r="L580">
            <v>809655</v>
          </cell>
          <cell r="M580">
            <v>12352241</v>
          </cell>
          <cell r="N580">
            <v>7212</v>
          </cell>
          <cell r="O580">
            <v>6.55</v>
          </cell>
          <cell r="P580">
            <v>0</v>
          </cell>
          <cell r="Q580">
            <v>0</v>
          </cell>
          <cell r="R580">
            <v>0</v>
          </cell>
          <cell r="S580">
            <v>0</v>
          </cell>
          <cell r="T580">
            <v>7278618</v>
          </cell>
          <cell r="U580">
            <v>74943645</v>
          </cell>
          <cell r="V580">
            <v>2888138</v>
          </cell>
          <cell r="W580">
            <v>9.7100000000000009</v>
          </cell>
        </row>
        <row r="581">
          <cell r="A581" t="str">
            <v>2011CA</v>
          </cell>
          <cell r="B581">
            <v>2011</v>
          </cell>
          <cell r="C581" t="str">
            <v>CA</v>
          </cell>
          <cell r="D581">
            <v>13060946</v>
          </cell>
          <cell r="E581">
            <v>88398416</v>
          </cell>
          <cell r="F581">
            <v>13002980</v>
          </cell>
          <cell r="G581">
            <v>14.78</v>
          </cell>
          <cell r="H581">
            <v>16018054</v>
          </cell>
          <cell r="I581">
            <v>122780917</v>
          </cell>
          <cell r="J581">
            <v>1818049</v>
          </cell>
          <cell r="K581">
            <v>13.05</v>
          </cell>
          <cell r="L581">
            <v>5046467</v>
          </cell>
          <cell r="M581">
            <v>49935776</v>
          </cell>
          <cell r="N581">
            <v>73297</v>
          </cell>
          <cell r="O581">
            <v>10.11</v>
          </cell>
          <cell r="P581">
            <v>67248</v>
          </cell>
          <cell r="Q581">
            <v>826591</v>
          </cell>
          <cell r="R581">
            <v>13</v>
          </cell>
          <cell r="S581">
            <v>8.14</v>
          </cell>
          <cell r="T581">
            <v>34192715</v>
          </cell>
          <cell r="U581">
            <v>261941700</v>
          </cell>
          <cell r="V581">
            <v>14894339</v>
          </cell>
          <cell r="W581">
            <v>13.05</v>
          </cell>
        </row>
        <row r="582">
          <cell r="A582" t="str">
            <v>2011CO</v>
          </cell>
          <cell r="B582">
            <v>2011</v>
          </cell>
          <cell r="C582" t="str">
            <v>CO</v>
          </cell>
          <cell r="D582">
            <v>2059155</v>
          </cell>
          <cell r="E582">
            <v>18276799</v>
          </cell>
          <cell r="F582">
            <v>2141780</v>
          </cell>
          <cell r="G582">
            <v>11.27</v>
          </cell>
          <cell r="H582">
            <v>1877996</v>
          </cell>
          <cell r="I582">
            <v>19889231</v>
          </cell>
          <cell r="J582">
            <v>347903</v>
          </cell>
          <cell r="K582">
            <v>9.44</v>
          </cell>
          <cell r="L582">
            <v>1075882</v>
          </cell>
          <cell r="M582">
            <v>15241814</v>
          </cell>
          <cell r="N582">
            <v>16425</v>
          </cell>
          <cell r="O582">
            <v>7.06</v>
          </cell>
          <cell r="P582">
            <v>4939</v>
          </cell>
          <cell r="Q582">
            <v>50441</v>
          </cell>
          <cell r="R582">
            <v>1</v>
          </cell>
          <cell r="S582">
            <v>9.7899999999999991</v>
          </cell>
          <cell r="T582">
            <v>5017971</v>
          </cell>
          <cell r="U582">
            <v>53458285</v>
          </cell>
          <cell r="V582">
            <v>2506109</v>
          </cell>
          <cell r="W582">
            <v>9.39</v>
          </cell>
        </row>
        <row r="583">
          <cell r="A583" t="str">
            <v>2011CT</v>
          </cell>
          <cell r="B583">
            <v>2011</v>
          </cell>
          <cell r="C583" t="str">
            <v>CT</v>
          </cell>
          <cell r="D583">
            <v>2338980</v>
          </cell>
          <cell r="E583">
            <v>12918796</v>
          </cell>
          <cell r="F583">
            <v>1453864</v>
          </cell>
          <cell r="G583">
            <v>18.11</v>
          </cell>
          <cell r="H583">
            <v>2037918</v>
          </cell>
          <cell r="I583">
            <v>13087010</v>
          </cell>
          <cell r="J583">
            <v>150087</v>
          </cell>
          <cell r="K583">
            <v>15.57</v>
          </cell>
          <cell r="L583">
            <v>485663</v>
          </cell>
          <cell r="M583">
            <v>3668217</v>
          </cell>
          <cell r="N583">
            <v>4757</v>
          </cell>
          <cell r="O583">
            <v>13.24</v>
          </cell>
          <cell r="P583">
            <v>18955</v>
          </cell>
          <cell r="Q583">
            <v>184970</v>
          </cell>
          <cell r="R583">
            <v>4</v>
          </cell>
          <cell r="S583">
            <v>10.25</v>
          </cell>
          <cell r="T583">
            <v>4881516</v>
          </cell>
          <cell r="U583">
            <v>29858993</v>
          </cell>
          <cell r="V583">
            <v>1608712</v>
          </cell>
          <cell r="W583">
            <v>16.350000000000001</v>
          </cell>
        </row>
        <row r="584">
          <cell r="A584" t="str">
            <v>2011DC</v>
          </cell>
          <cell r="B584">
            <v>2011</v>
          </cell>
          <cell r="C584" t="str">
            <v>DC</v>
          </cell>
          <cell r="D584">
            <v>276154</v>
          </cell>
          <cell r="E584">
            <v>2061392</v>
          </cell>
          <cell r="F584">
            <v>229450</v>
          </cell>
          <cell r="G584">
            <v>13.4</v>
          </cell>
          <cell r="H584">
            <v>1157023</v>
          </cell>
          <cell r="I584">
            <v>8965834</v>
          </cell>
          <cell r="J584">
            <v>26496</v>
          </cell>
          <cell r="K584">
            <v>12.9</v>
          </cell>
          <cell r="L584">
            <v>14896</v>
          </cell>
          <cell r="M584">
            <v>216244</v>
          </cell>
          <cell r="N584">
            <v>1</v>
          </cell>
          <cell r="O584">
            <v>6.89</v>
          </cell>
          <cell r="P584">
            <v>32464</v>
          </cell>
          <cell r="Q584">
            <v>318585</v>
          </cell>
          <cell r="R584">
            <v>1</v>
          </cell>
          <cell r="S584">
            <v>10.19</v>
          </cell>
          <cell r="T584">
            <v>1480537</v>
          </cell>
          <cell r="U584">
            <v>11562055</v>
          </cell>
          <cell r="V584">
            <v>255948</v>
          </cell>
          <cell r="W584">
            <v>12.81</v>
          </cell>
        </row>
        <row r="585">
          <cell r="A585" t="str">
            <v>2011DE</v>
          </cell>
          <cell r="B585">
            <v>2011</v>
          </cell>
          <cell r="C585" t="str">
            <v>DE</v>
          </cell>
          <cell r="D585">
            <v>634568</v>
          </cell>
          <cell r="E585">
            <v>4632094</v>
          </cell>
          <cell r="F585">
            <v>398109</v>
          </cell>
          <cell r="G585">
            <v>13.7</v>
          </cell>
          <cell r="H585">
            <v>453159</v>
          </cell>
          <cell r="I585">
            <v>4259842</v>
          </cell>
          <cell r="J585">
            <v>50369</v>
          </cell>
          <cell r="K585">
            <v>10.64</v>
          </cell>
          <cell r="L585">
            <v>230941</v>
          </cell>
          <cell r="M585">
            <v>2591360</v>
          </cell>
          <cell r="N585">
            <v>1238</v>
          </cell>
          <cell r="O585">
            <v>8.91</v>
          </cell>
          <cell r="P585">
            <v>0</v>
          </cell>
          <cell r="Q585">
            <v>0</v>
          </cell>
          <cell r="R585">
            <v>0</v>
          </cell>
          <cell r="S585">
            <v>0</v>
          </cell>
          <cell r="T585">
            <v>1318669</v>
          </cell>
          <cell r="U585">
            <v>11483296</v>
          </cell>
          <cell r="V585">
            <v>449716</v>
          </cell>
          <cell r="W585">
            <v>11.48</v>
          </cell>
        </row>
        <row r="586">
          <cell r="A586" t="str">
            <v>2011FL</v>
          </cell>
          <cell r="B586">
            <v>2011</v>
          </cell>
          <cell r="C586" t="str">
            <v>FL</v>
          </cell>
          <cell r="D586">
            <v>13388983</v>
          </cell>
          <cell r="E586">
            <v>116341105</v>
          </cell>
          <cell r="F586">
            <v>8575892</v>
          </cell>
          <cell r="G586">
            <v>11.51</v>
          </cell>
          <cell r="H586">
            <v>9039755</v>
          </cell>
          <cell r="I586">
            <v>91778108</v>
          </cell>
          <cell r="J586">
            <v>1139656</v>
          </cell>
          <cell r="K586">
            <v>9.85</v>
          </cell>
          <cell r="L586">
            <v>1443926</v>
          </cell>
          <cell r="M586">
            <v>16885585</v>
          </cell>
          <cell r="N586">
            <v>17335</v>
          </cell>
          <cell r="O586">
            <v>8.5500000000000007</v>
          </cell>
          <cell r="P586">
            <v>7545</v>
          </cell>
          <cell r="Q586">
            <v>85624</v>
          </cell>
          <cell r="R586">
            <v>3</v>
          </cell>
          <cell r="S586">
            <v>8.81</v>
          </cell>
          <cell r="T586">
            <v>23880209</v>
          </cell>
          <cell r="U586">
            <v>225090422</v>
          </cell>
          <cell r="V586">
            <v>9732886</v>
          </cell>
          <cell r="W586">
            <v>10.61</v>
          </cell>
        </row>
        <row r="587">
          <cell r="A587" t="str">
            <v>2011GA</v>
          </cell>
          <cell r="B587">
            <v>2011</v>
          </cell>
          <cell r="C587" t="str">
            <v>GA</v>
          </cell>
          <cell r="D587">
            <v>6383601</v>
          </cell>
          <cell r="E587">
            <v>57749519</v>
          </cell>
          <cell r="F587">
            <v>4056147</v>
          </cell>
          <cell r="G587">
            <v>11.05</v>
          </cell>
          <cell r="H587">
            <v>4631317</v>
          </cell>
          <cell r="I587">
            <v>46930109</v>
          </cell>
          <cell r="J587">
            <v>548674</v>
          </cell>
          <cell r="K587">
            <v>9.8699999999999992</v>
          </cell>
          <cell r="L587">
            <v>2080074</v>
          </cell>
          <cell r="M587">
            <v>31521020</v>
          </cell>
          <cell r="N587">
            <v>16241</v>
          </cell>
          <cell r="O587">
            <v>6.6</v>
          </cell>
          <cell r="P587">
            <v>13541</v>
          </cell>
          <cell r="Q587">
            <v>170501</v>
          </cell>
          <cell r="R587">
            <v>1</v>
          </cell>
          <cell r="S587">
            <v>7.94</v>
          </cell>
          <cell r="T587">
            <v>13108534</v>
          </cell>
          <cell r="U587">
            <v>136371149</v>
          </cell>
          <cell r="V587">
            <v>4621063</v>
          </cell>
          <cell r="W587">
            <v>9.61</v>
          </cell>
        </row>
        <row r="588">
          <cell r="A588" t="str">
            <v>2011HI</v>
          </cell>
          <cell r="B588">
            <v>2011</v>
          </cell>
          <cell r="C588" t="str">
            <v>HI</v>
          </cell>
          <cell r="D588">
            <v>1015685</v>
          </cell>
          <cell r="E588">
            <v>2928743</v>
          </cell>
          <cell r="F588">
            <v>417531</v>
          </cell>
          <cell r="G588">
            <v>34.68</v>
          </cell>
          <cell r="H588">
            <v>1090424</v>
          </cell>
          <cell r="I588">
            <v>3368131</v>
          </cell>
          <cell r="J588">
            <v>60043</v>
          </cell>
          <cell r="K588">
            <v>32.369999999999997</v>
          </cell>
          <cell r="L588">
            <v>1040801</v>
          </cell>
          <cell r="M588">
            <v>3664779</v>
          </cell>
          <cell r="N588">
            <v>698</v>
          </cell>
          <cell r="O588">
            <v>28.4</v>
          </cell>
          <cell r="P588">
            <v>0</v>
          </cell>
          <cell r="Q588">
            <v>0</v>
          </cell>
          <cell r="R588">
            <v>0</v>
          </cell>
          <cell r="S588">
            <v>0</v>
          </cell>
          <cell r="T588">
            <v>3146910</v>
          </cell>
          <cell r="U588">
            <v>9961653</v>
          </cell>
          <cell r="V588">
            <v>478272</v>
          </cell>
          <cell r="W588">
            <v>31.59</v>
          </cell>
        </row>
        <row r="589">
          <cell r="A589" t="str">
            <v>2011IA</v>
          </cell>
          <cell r="B589">
            <v>2011</v>
          </cell>
          <cell r="C589" t="str">
            <v>IA</v>
          </cell>
          <cell r="D589">
            <v>1499148</v>
          </cell>
          <cell r="E589">
            <v>14326771</v>
          </cell>
          <cell r="F589">
            <v>1329905</v>
          </cell>
          <cell r="G589">
            <v>10.46</v>
          </cell>
          <cell r="H589">
            <v>949311</v>
          </cell>
          <cell r="I589">
            <v>12087902</v>
          </cell>
          <cell r="J589">
            <v>219229</v>
          </cell>
          <cell r="K589">
            <v>7.85</v>
          </cell>
          <cell r="L589">
            <v>1002835</v>
          </cell>
          <cell r="M589">
            <v>19240204</v>
          </cell>
          <cell r="N589">
            <v>7378</v>
          </cell>
          <cell r="O589">
            <v>5.21</v>
          </cell>
          <cell r="P589">
            <v>0</v>
          </cell>
          <cell r="Q589">
            <v>0</v>
          </cell>
          <cell r="R589">
            <v>0</v>
          </cell>
          <cell r="S589">
            <v>0</v>
          </cell>
          <cell r="T589">
            <v>3451294</v>
          </cell>
          <cell r="U589">
            <v>45654877</v>
          </cell>
          <cell r="V589">
            <v>1556512</v>
          </cell>
          <cell r="W589">
            <v>7.56</v>
          </cell>
        </row>
        <row r="590">
          <cell r="A590" t="str">
            <v>2011ID</v>
          </cell>
          <cell r="B590">
            <v>2011</v>
          </cell>
          <cell r="C590" t="str">
            <v>ID</v>
          </cell>
          <cell r="D590">
            <v>660576</v>
          </cell>
          <cell r="E590">
            <v>8389866</v>
          </cell>
          <cell r="F590">
            <v>667243</v>
          </cell>
          <cell r="G590">
            <v>7.87</v>
          </cell>
          <cell r="H590">
            <v>382926</v>
          </cell>
          <cell r="I590">
            <v>5969462</v>
          </cell>
          <cell r="J590">
            <v>101424</v>
          </cell>
          <cell r="K590">
            <v>6.41</v>
          </cell>
          <cell r="L590">
            <v>454720</v>
          </cell>
          <cell r="M590">
            <v>8912396</v>
          </cell>
          <cell r="N590">
            <v>26258</v>
          </cell>
          <cell r="O590">
            <v>5.0999999999999996</v>
          </cell>
          <cell r="P590">
            <v>0</v>
          </cell>
          <cell r="Q590">
            <v>0</v>
          </cell>
          <cell r="R590">
            <v>0</v>
          </cell>
          <cell r="S590">
            <v>0</v>
          </cell>
          <cell r="T590">
            <v>1498222</v>
          </cell>
          <cell r="U590">
            <v>23271724</v>
          </cell>
          <cell r="V590">
            <v>794925</v>
          </cell>
          <cell r="W590">
            <v>6.44</v>
          </cell>
        </row>
        <row r="591">
          <cell r="A591" t="str">
            <v>2011IL</v>
          </cell>
          <cell r="B591">
            <v>2011</v>
          </cell>
          <cell r="C591" t="str">
            <v>IL</v>
          </cell>
          <cell r="D591">
            <v>5545106</v>
          </cell>
          <cell r="E591">
            <v>47057002</v>
          </cell>
          <cell r="F591">
            <v>5089449</v>
          </cell>
          <cell r="G591">
            <v>11.78</v>
          </cell>
          <cell r="H591">
            <v>4361216</v>
          </cell>
          <cell r="I591">
            <v>50468038</v>
          </cell>
          <cell r="J591">
            <v>587337</v>
          </cell>
          <cell r="K591">
            <v>8.64</v>
          </cell>
          <cell r="L591">
            <v>2878997</v>
          </cell>
          <cell r="M591">
            <v>44844111</v>
          </cell>
          <cell r="N591">
            <v>5843</v>
          </cell>
          <cell r="O591">
            <v>6.42</v>
          </cell>
          <cell r="P591">
            <v>35185</v>
          </cell>
          <cell r="Q591">
            <v>516416</v>
          </cell>
          <cell r="R591">
            <v>3</v>
          </cell>
          <cell r="S591">
            <v>6.81</v>
          </cell>
          <cell r="T591">
            <v>12820504</v>
          </cell>
          <cell r="U591">
            <v>142885567</v>
          </cell>
          <cell r="V591">
            <v>5682632</v>
          </cell>
          <cell r="W591">
            <v>8.9700000000000006</v>
          </cell>
        </row>
        <row r="592">
          <cell r="A592" t="str">
            <v>2011IN</v>
          </cell>
          <cell r="B592">
            <v>2011</v>
          </cell>
          <cell r="C592" t="str">
            <v>IN</v>
          </cell>
          <cell r="D592">
            <v>3410413</v>
          </cell>
          <cell r="E592">
            <v>33912098</v>
          </cell>
          <cell r="F592">
            <v>2744879</v>
          </cell>
          <cell r="G592">
            <v>10.06</v>
          </cell>
          <cell r="H592">
            <v>2115538</v>
          </cell>
          <cell r="I592">
            <v>24111250</v>
          </cell>
          <cell r="J592">
            <v>343626</v>
          </cell>
          <cell r="K592">
            <v>8.77</v>
          </cell>
          <cell r="L592">
            <v>2945751</v>
          </cell>
          <cell r="M592">
            <v>47774083</v>
          </cell>
          <cell r="N592">
            <v>17891</v>
          </cell>
          <cell r="O592">
            <v>6.17</v>
          </cell>
          <cell r="P592">
            <v>2017</v>
          </cell>
          <cell r="Q592">
            <v>20708</v>
          </cell>
          <cell r="R592">
            <v>1</v>
          </cell>
          <cell r="S592">
            <v>9.74</v>
          </cell>
          <cell r="T592">
            <v>8473719</v>
          </cell>
          <cell r="U592">
            <v>105818139</v>
          </cell>
          <cell r="V592">
            <v>3106397</v>
          </cell>
          <cell r="W592">
            <v>8.01</v>
          </cell>
        </row>
        <row r="593">
          <cell r="A593" t="str">
            <v>2011KS</v>
          </cell>
          <cell r="B593">
            <v>2011</v>
          </cell>
          <cell r="C593" t="str">
            <v>KS</v>
          </cell>
          <cell r="D593">
            <v>1527025</v>
          </cell>
          <cell r="E593">
            <v>14343748</v>
          </cell>
          <cell r="F593">
            <v>1215411</v>
          </cell>
          <cell r="G593">
            <v>10.65</v>
          </cell>
          <cell r="H593">
            <v>1370351</v>
          </cell>
          <cell r="I593">
            <v>15609278</v>
          </cell>
          <cell r="J593">
            <v>221844</v>
          </cell>
          <cell r="K593">
            <v>8.7799999999999994</v>
          </cell>
          <cell r="L593">
            <v>725304</v>
          </cell>
          <cell r="M593">
            <v>10807373</v>
          </cell>
          <cell r="N593">
            <v>23986</v>
          </cell>
          <cell r="O593">
            <v>6.71</v>
          </cell>
          <cell r="P593">
            <v>0</v>
          </cell>
          <cell r="Q593">
            <v>0</v>
          </cell>
          <cell r="R593">
            <v>0</v>
          </cell>
          <cell r="S593">
            <v>0</v>
          </cell>
          <cell r="T593">
            <v>3622679</v>
          </cell>
          <cell r="U593">
            <v>40760399</v>
          </cell>
          <cell r="V593">
            <v>1461241</v>
          </cell>
          <cell r="W593">
            <v>8.89</v>
          </cell>
        </row>
        <row r="594">
          <cell r="A594" t="str">
            <v>2011KY</v>
          </cell>
          <cell r="B594">
            <v>2011</v>
          </cell>
          <cell r="C594" t="str">
            <v>KY</v>
          </cell>
          <cell r="D594">
            <v>2502968</v>
          </cell>
          <cell r="E594">
            <v>27197836</v>
          </cell>
          <cell r="F594">
            <v>1928523</v>
          </cell>
          <cell r="G594">
            <v>9.1999999999999993</v>
          </cell>
          <cell r="H594">
            <v>1589301</v>
          </cell>
          <cell r="I594">
            <v>18721081</v>
          </cell>
          <cell r="J594">
            <v>294450</v>
          </cell>
          <cell r="K594">
            <v>8.49</v>
          </cell>
          <cell r="L594">
            <v>2326178</v>
          </cell>
          <cell r="M594">
            <v>43619424</v>
          </cell>
          <cell r="N594">
            <v>7426</v>
          </cell>
          <cell r="O594">
            <v>5.33</v>
          </cell>
          <cell r="P594">
            <v>0</v>
          </cell>
          <cell r="Q594">
            <v>0</v>
          </cell>
          <cell r="R594">
            <v>0</v>
          </cell>
          <cell r="S594">
            <v>0</v>
          </cell>
          <cell r="T594">
            <v>6418447</v>
          </cell>
          <cell r="U594">
            <v>89538341</v>
          </cell>
          <cell r="V594">
            <v>2230399</v>
          </cell>
          <cell r="W594">
            <v>7.17</v>
          </cell>
        </row>
        <row r="595">
          <cell r="A595" t="str">
            <v>2011LA</v>
          </cell>
          <cell r="B595">
            <v>2011</v>
          </cell>
          <cell r="C595" t="str">
            <v>LA</v>
          </cell>
          <cell r="D595">
            <v>2869880</v>
          </cell>
          <cell r="E595">
            <v>32019040</v>
          </cell>
          <cell r="F595">
            <v>1979175</v>
          </cell>
          <cell r="G595">
            <v>8.9600000000000009</v>
          </cell>
          <cell r="H595">
            <v>2050406</v>
          </cell>
          <cell r="I595">
            <v>24280780</v>
          </cell>
          <cell r="J595">
            <v>277004</v>
          </cell>
          <cell r="K595">
            <v>8.44</v>
          </cell>
          <cell r="L595">
            <v>1710595</v>
          </cell>
          <cell r="M595">
            <v>30058415</v>
          </cell>
          <cell r="N595">
            <v>18090</v>
          </cell>
          <cell r="O595">
            <v>5.69</v>
          </cell>
          <cell r="P595">
            <v>904</v>
          </cell>
          <cell r="Q595">
            <v>10846</v>
          </cell>
          <cell r="R595">
            <v>1</v>
          </cell>
          <cell r="S595">
            <v>8.33</v>
          </cell>
          <cell r="T595">
            <v>6631785</v>
          </cell>
          <cell r="U595">
            <v>86369081</v>
          </cell>
          <cell r="V595">
            <v>2274270</v>
          </cell>
          <cell r="W595">
            <v>7.68</v>
          </cell>
        </row>
        <row r="596">
          <cell r="A596" t="str">
            <v>2011MA</v>
          </cell>
          <cell r="B596">
            <v>2011</v>
          </cell>
          <cell r="C596" t="str">
            <v>MA</v>
          </cell>
          <cell r="D596">
            <v>3003305</v>
          </cell>
          <cell r="E596">
            <v>20472512</v>
          </cell>
          <cell r="F596">
            <v>2693548</v>
          </cell>
          <cell r="G596">
            <v>14.67</v>
          </cell>
          <cell r="H596">
            <v>2546764</v>
          </cell>
          <cell r="I596">
            <v>17766602</v>
          </cell>
          <cell r="J596">
            <v>389864</v>
          </cell>
          <cell r="K596">
            <v>14.33</v>
          </cell>
          <cell r="L596">
            <v>2270382</v>
          </cell>
          <cell r="M596">
            <v>16973507</v>
          </cell>
          <cell r="N596">
            <v>21021</v>
          </cell>
          <cell r="O596">
            <v>13.38</v>
          </cell>
          <cell r="P596">
            <v>21944</v>
          </cell>
          <cell r="Q596">
            <v>357291</v>
          </cell>
          <cell r="R596">
            <v>2</v>
          </cell>
          <cell r="S596">
            <v>6.14</v>
          </cell>
          <cell r="T596">
            <v>7842396</v>
          </cell>
          <cell r="U596">
            <v>55569912</v>
          </cell>
          <cell r="V596">
            <v>3104435</v>
          </cell>
          <cell r="W596">
            <v>14.11</v>
          </cell>
        </row>
        <row r="597">
          <cell r="A597" t="str">
            <v>2011MD</v>
          </cell>
          <cell r="B597">
            <v>2011</v>
          </cell>
          <cell r="C597" t="str">
            <v>MD</v>
          </cell>
          <cell r="D597">
            <v>3634386</v>
          </cell>
          <cell r="E597">
            <v>27295675</v>
          </cell>
          <cell r="F597">
            <v>2208015</v>
          </cell>
          <cell r="G597">
            <v>13.31</v>
          </cell>
          <cell r="H597">
            <v>3467869</v>
          </cell>
          <cell r="I597">
            <v>30749605</v>
          </cell>
          <cell r="J597">
            <v>245003</v>
          </cell>
          <cell r="K597">
            <v>11.28</v>
          </cell>
          <cell r="L597">
            <v>438877</v>
          </cell>
          <cell r="M597">
            <v>5007386</v>
          </cell>
          <cell r="N597">
            <v>8900</v>
          </cell>
          <cell r="O597">
            <v>8.76</v>
          </cell>
          <cell r="P597">
            <v>49382</v>
          </cell>
          <cell r="Q597">
            <v>547045</v>
          </cell>
          <cell r="R597">
            <v>5</v>
          </cell>
          <cell r="S597">
            <v>9.0299999999999994</v>
          </cell>
          <cell r="T597">
            <v>7590514</v>
          </cell>
          <cell r="U597">
            <v>63599711</v>
          </cell>
          <cell r="V597">
            <v>2461923</v>
          </cell>
          <cell r="W597">
            <v>11.93</v>
          </cell>
        </row>
        <row r="598">
          <cell r="A598" t="str">
            <v>2011ME</v>
          </cell>
          <cell r="B598">
            <v>2011</v>
          </cell>
          <cell r="C598" t="str">
            <v>ME</v>
          </cell>
          <cell r="D598">
            <v>674079</v>
          </cell>
          <cell r="E598">
            <v>4381536</v>
          </cell>
          <cell r="F598">
            <v>701335</v>
          </cell>
          <cell r="G598">
            <v>15.38</v>
          </cell>
          <cell r="H598">
            <v>493871</v>
          </cell>
          <cell r="I598">
            <v>4018070</v>
          </cell>
          <cell r="J598">
            <v>88791</v>
          </cell>
          <cell r="K598">
            <v>12.29</v>
          </cell>
          <cell r="L598">
            <v>267894</v>
          </cell>
          <cell r="M598">
            <v>3015739</v>
          </cell>
          <cell r="N598">
            <v>2823</v>
          </cell>
          <cell r="O598">
            <v>8.8800000000000008</v>
          </cell>
          <cell r="P598">
            <v>0</v>
          </cell>
          <cell r="Q598">
            <v>0</v>
          </cell>
          <cell r="R598">
            <v>0</v>
          </cell>
          <cell r="S598">
            <v>0</v>
          </cell>
          <cell r="T598">
            <v>1435843</v>
          </cell>
          <cell r="U598">
            <v>11415345</v>
          </cell>
          <cell r="V598">
            <v>792949</v>
          </cell>
          <cell r="W598">
            <v>12.58</v>
          </cell>
        </row>
        <row r="599">
          <cell r="A599" t="str">
            <v>2011MI</v>
          </cell>
          <cell r="B599">
            <v>2011</v>
          </cell>
          <cell r="C599" t="str">
            <v>MI</v>
          </cell>
          <cell r="D599">
            <v>4621167</v>
          </cell>
          <cell r="E599">
            <v>34811337</v>
          </cell>
          <cell r="F599">
            <v>4249136</v>
          </cell>
          <cell r="G599">
            <v>13.27</v>
          </cell>
          <cell r="H599">
            <v>3988981</v>
          </cell>
          <cell r="I599">
            <v>38612718</v>
          </cell>
          <cell r="J599">
            <v>521322</v>
          </cell>
          <cell r="K599">
            <v>10.33</v>
          </cell>
          <cell r="L599">
            <v>2315040</v>
          </cell>
          <cell r="M599">
            <v>31624220</v>
          </cell>
          <cell r="N599">
            <v>12961</v>
          </cell>
          <cell r="O599">
            <v>7.32</v>
          </cell>
          <cell r="P599">
            <v>451</v>
          </cell>
          <cell r="Q599">
            <v>5283</v>
          </cell>
          <cell r="R599">
            <v>1</v>
          </cell>
          <cell r="S599">
            <v>8.5299999999999994</v>
          </cell>
          <cell r="T599">
            <v>10925638</v>
          </cell>
          <cell r="U599">
            <v>105053558</v>
          </cell>
          <cell r="V599">
            <v>4783420</v>
          </cell>
          <cell r="W599">
            <v>10.4</v>
          </cell>
        </row>
        <row r="600">
          <cell r="A600" t="str">
            <v>2011MN</v>
          </cell>
          <cell r="B600">
            <v>2011</v>
          </cell>
          <cell r="C600" t="str">
            <v>MN</v>
          </cell>
          <cell r="D600">
            <v>2469487</v>
          </cell>
          <cell r="E600">
            <v>22523727</v>
          </cell>
          <cell r="F600">
            <v>2308736</v>
          </cell>
          <cell r="G600">
            <v>10.96</v>
          </cell>
          <cell r="H600">
            <v>1929925</v>
          </cell>
          <cell r="I600">
            <v>22371109</v>
          </cell>
          <cell r="J600">
            <v>276286</v>
          </cell>
          <cell r="K600">
            <v>8.6300000000000008</v>
          </cell>
          <cell r="L600">
            <v>1527529</v>
          </cell>
          <cell r="M600">
            <v>23618724</v>
          </cell>
          <cell r="N600">
            <v>10673</v>
          </cell>
          <cell r="O600">
            <v>6.47</v>
          </cell>
          <cell r="P600">
            <v>1575</v>
          </cell>
          <cell r="Q600">
            <v>19148</v>
          </cell>
          <cell r="R600">
            <v>1</v>
          </cell>
          <cell r="S600">
            <v>8.23</v>
          </cell>
          <cell r="T600">
            <v>5928515</v>
          </cell>
          <cell r="U600">
            <v>68532708</v>
          </cell>
          <cell r="V600">
            <v>2595696</v>
          </cell>
          <cell r="W600">
            <v>8.65</v>
          </cell>
        </row>
        <row r="601">
          <cell r="A601" t="str">
            <v>2011MO</v>
          </cell>
          <cell r="B601">
            <v>2011</v>
          </cell>
          <cell r="C601" t="str">
            <v>MO</v>
          </cell>
          <cell r="D601">
            <v>3502911</v>
          </cell>
          <cell r="E601">
            <v>35941243</v>
          </cell>
          <cell r="F601">
            <v>2693261</v>
          </cell>
          <cell r="G601">
            <v>9.75</v>
          </cell>
          <cell r="H601">
            <v>2490868</v>
          </cell>
          <cell r="I601">
            <v>30962081</v>
          </cell>
          <cell r="J601">
            <v>370920</v>
          </cell>
          <cell r="K601">
            <v>8.0399999999999991</v>
          </cell>
          <cell r="L601">
            <v>1013187</v>
          </cell>
          <cell r="M601">
            <v>17329648</v>
          </cell>
          <cell r="N601">
            <v>8759</v>
          </cell>
          <cell r="O601">
            <v>5.85</v>
          </cell>
          <cell r="P601">
            <v>1510</v>
          </cell>
          <cell r="Q601">
            <v>21869</v>
          </cell>
          <cell r="R601">
            <v>1</v>
          </cell>
          <cell r="S601">
            <v>6.9</v>
          </cell>
          <cell r="T601">
            <v>7008476</v>
          </cell>
          <cell r="U601">
            <v>84254841</v>
          </cell>
          <cell r="V601">
            <v>3072941</v>
          </cell>
          <cell r="W601">
            <v>8.32</v>
          </cell>
        </row>
        <row r="602">
          <cell r="A602" t="str">
            <v>2011MS</v>
          </cell>
          <cell r="B602">
            <v>2011</v>
          </cell>
          <cell r="C602" t="str">
            <v>MS</v>
          </cell>
          <cell r="D602">
            <v>1966085</v>
          </cell>
          <cell r="E602">
            <v>19336430</v>
          </cell>
          <cell r="F602">
            <v>1251640</v>
          </cell>
          <cell r="G602">
            <v>10.17</v>
          </cell>
          <cell r="H602">
            <v>1302168</v>
          </cell>
          <cell r="I602">
            <v>13737924</v>
          </cell>
          <cell r="J602">
            <v>226136</v>
          </cell>
          <cell r="K602">
            <v>9.48</v>
          </cell>
          <cell r="L602">
            <v>1062287</v>
          </cell>
          <cell r="M602">
            <v>16263203</v>
          </cell>
          <cell r="N602">
            <v>6931</v>
          </cell>
          <cell r="O602">
            <v>6.53</v>
          </cell>
          <cell r="P602">
            <v>0</v>
          </cell>
          <cell r="Q602">
            <v>0</v>
          </cell>
          <cell r="R602">
            <v>0</v>
          </cell>
          <cell r="S602">
            <v>0</v>
          </cell>
          <cell r="T602">
            <v>4330540</v>
          </cell>
          <cell r="U602">
            <v>49337557</v>
          </cell>
          <cell r="V602">
            <v>1484707</v>
          </cell>
          <cell r="W602">
            <v>8.7799999999999994</v>
          </cell>
        </row>
        <row r="603">
          <cell r="A603" t="str">
            <v>2011MT</v>
          </cell>
          <cell r="B603">
            <v>2011</v>
          </cell>
          <cell r="C603" t="str">
            <v>MT</v>
          </cell>
          <cell r="D603">
            <v>479166</v>
          </cell>
          <cell r="E603">
            <v>4913110</v>
          </cell>
          <cell r="F603">
            <v>469963</v>
          </cell>
          <cell r="G603">
            <v>9.75</v>
          </cell>
          <cell r="H603">
            <v>445957</v>
          </cell>
          <cell r="I603">
            <v>4892271</v>
          </cell>
          <cell r="J603">
            <v>101512</v>
          </cell>
          <cell r="K603">
            <v>9.1199999999999992</v>
          </cell>
          <cell r="L603">
            <v>210061</v>
          </cell>
          <cell r="M603">
            <v>3982700</v>
          </cell>
          <cell r="N603">
            <v>5877</v>
          </cell>
          <cell r="O603">
            <v>5.27</v>
          </cell>
          <cell r="P603">
            <v>0</v>
          </cell>
          <cell r="Q603">
            <v>0</v>
          </cell>
          <cell r="R603">
            <v>0</v>
          </cell>
          <cell r="S603">
            <v>0</v>
          </cell>
          <cell r="T603">
            <v>1135184</v>
          </cell>
          <cell r="U603">
            <v>13788081</v>
          </cell>
          <cell r="V603">
            <v>577352</v>
          </cell>
          <cell r="W603">
            <v>8.23</v>
          </cell>
        </row>
        <row r="604">
          <cell r="A604" t="str">
            <v>2011NC</v>
          </cell>
          <cell r="B604">
            <v>2011</v>
          </cell>
          <cell r="C604" t="str">
            <v>NC</v>
          </cell>
          <cell r="D604">
            <v>5954615</v>
          </cell>
          <cell r="E604">
            <v>58055878</v>
          </cell>
          <cell r="F604">
            <v>4201898</v>
          </cell>
          <cell r="G604">
            <v>10.26</v>
          </cell>
          <cell r="H604">
            <v>3779923</v>
          </cell>
          <cell r="I604">
            <v>46467228</v>
          </cell>
          <cell r="J604">
            <v>644926</v>
          </cell>
          <cell r="K604">
            <v>8.1300000000000008</v>
          </cell>
          <cell r="L604">
            <v>1597233</v>
          </cell>
          <cell r="M604">
            <v>26554615</v>
          </cell>
          <cell r="N604">
            <v>10609</v>
          </cell>
          <cell r="O604">
            <v>6.01</v>
          </cell>
          <cell r="P604">
            <v>508</v>
          </cell>
          <cell r="Q604">
            <v>7212</v>
          </cell>
          <cell r="R604">
            <v>1</v>
          </cell>
          <cell r="S604">
            <v>7.04</v>
          </cell>
          <cell r="T604">
            <v>11332279</v>
          </cell>
          <cell r="U604">
            <v>131084933</v>
          </cell>
          <cell r="V604">
            <v>4857434</v>
          </cell>
          <cell r="W604">
            <v>8.65</v>
          </cell>
        </row>
        <row r="605">
          <cell r="A605" t="str">
            <v>2011ND</v>
          </cell>
          <cell r="B605">
            <v>2011</v>
          </cell>
          <cell r="C605" t="str">
            <v>ND</v>
          </cell>
          <cell r="D605">
            <v>390772</v>
          </cell>
          <cell r="E605">
            <v>4552228</v>
          </cell>
          <cell r="F605">
            <v>330738</v>
          </cell>
          <cell r="G605">
            <v>8.58</v>
          </cell>
          <cell r="H605">
            <v>370084</v>
          </cell>
          <cell r="I605">
            <v>4866230</v>
          </cell>
          <cell r="J605">
            <v>60017</v>
          </cell>
          <cell r="K605">
            <v>7.61</v>
          </cell>
          <cell r="L605">
            <v>269476</v>
          </cell>
          <cell r="M605">
            <v>4318558</v>
          </cell>
          <cell r="N605">
            <v>3639</v>
          </cell>
          <cell r="O605">
            <v>6.24</v>
          </cell>
          <cell r="P605">
            <v>0</v>
          </cell>
          <cell r="Q605">
            <v>0</v>
          </cell>
          <cell r="R605">
            <v>0</v>
          </cell>
          <cell r="S605">
            <v>0</v>
          </cell>
          <cell r="T605">
            <v>1030332</v>
          </cell>
          <cell r="U605">
            <v>13737016</v>
          </cell>
          <cell r="V605">
            <v>394394</v>
          </cell>
          <cell r="W605">
            <v>7.5</v>
          </cell>
        </row>
        <row r="606">
          <cell r="A606" t="str">
            <v>2011NE</v>
          </cell>
          <cell r="B606">
            <v>2011</v>
          </cell>
          <cell r="C606" t="str">
            <v>NE</v>
          </cell>
          <cell r="D606">
            <v>927342</v>
          </cell>
          <cell r="E606">
            <v>9946973</v>
          </cell>
          <cell r="F606">
            <v>805671</v>
          </cell>
          <cell r="G606">
            <v>9.32</v>
          </cell>
          <cell r="H606">
            <v>729849</v>
          </cell>
          <cell r="I606">
            <v>9139410</v>
          </cell>
          <cell r="J606">
            <v>148927</v>
          </cell>
          <cell r="K606">
            <v>7.99</v>
          </cell>
          <cell r="L606">
            <v>681020</v>
          </cell>
          <cell r="M606">
            <v>10589701</v>
          </cell>
          <cell r="N606">
            <v>51373</v>
          </cell>
          <cell r="O606">
            <v>6.43</v>
          </cell>
          <cell r="P606">
            <v>0</v>
          </cell>
          <cell r="Q606">
            <v>0</v>
          </cell>
          <cell r="R606">
            <v>0</v>
          </cell>
          <cell r="S606">
            <v>0</v>
          </cell>
          <cell r="T606">
            <v>2338211</v>
          </cell>
          <cell r="U606">
            <v>29676084</v>
          </cell>
          <cell r="V606">
            <v>1005971</v>
          </cell>
          <cell r="W606">
            <v>7.88</v>
          </cell>
        </row>
        <row r="607">
          <cell r="A607" t="str">
            <v>2011NH</v>
          </cell>
          <cell r="B607">
            <v>2011</v>
          </cell>
          <cell r="C607" t="str">
            <v>NH</v>
          </cell>
          <cell r="D607">
            <v>735832</v>
          </cell>
          <cell r="E607">
            <v>4454088</v>
          </cell>
          <cell r="F607">
            <v>599532</v>
          </cell>
          <cell r="G607">
            <v>16.52</v>
          </cell>
          <cell r="H607">
            <v>628829</v>
          </cell>
          <cell r="I607">
            <v>4478106</v>
          </cell>
          <cell r="J607">
            <v>104610</v>
          </cell>
          <cell r="K607">
            <v>14.04</v>
          </cell>
          <cell r="L607">
            <v>237521</v>
          </cell>
          <cell r="M607">
            <v>1936413</v>
          </cell>
          <cell r="N607">
            <v>3491</v>
          </cell>
          <cell r="O607">
            <v>12.27</v>
          </cell>
          <cell r="P607">
            <v>0</v>
          </cell>
          <cell r="Q607">
            <v>0</v>
          </cell>
          <cell r="R607">
            <v>0</v>
          </cell>
          <cell r="S607">
            <v>0</v>
          </cell>
          <cell r="T607">
            <v>1602182</v>
          </cell>
          <cell r="U607">
            <v>10868607</v>
          </cell>
          <cell r="V607">
            <v>707633</v>
          </cell>
          <cell r="W607">
            <v>14.74</v>
          </cell>
        </row>
        <row r="608">
          <cell r="A608" t="str">
            <v>2011NJ</v>
          </cell>
          <cell r="B608">
            <v>2011</v>
          </cell>
          <cell r="C608" t="str">
            <v>NJ</v>
          </cell>
          <cell r="D608">
            <v>4772503</v>
          </cell>
          <cell r="E608">
            <v>29398870</v>
          </cell>
          <cell r="F608">
            <v>3457325</v>
          </cell>
          <cell r="G608">
            <v>16.23</v>
          </cell>
          <cell r="H608">
            <v>5267798</v>
          </cell>
          <cell r="I608">
            <v>39117745</v>
          </cell>
          <cell r="J608">
            <v>481663</v>
          </cell>
          <cell r="K608">
            <v>13.47</v>
          </cell>
          <cell r="L608">
            <v>918011</v>
          </cell>
          <cell r="M608">
            <v>8033254</v>
          </cell>
          <cell r="N608">
            <v>12715</v>
          </cell>
          <cell r="O608">
            <v>11.43</v>
          </cell>
          <cell r="P608">
            <v>33143</v>
          </cell>
          <cell r="Q608">
            <v>309893</v>
          </cell>
          <cell r="R608">
            <v>6</v>
          </cell>
          <cell r="S608">
            <v>10.69</v>
          </cell>
          <cell r="T608">
            <v>10991455</v>
          </cell>
          <cell r="U608">
            <v>76859762</v>
          </cell>
          <cell r="V608">
            <v>3951709</v>
          </cell>
          <cell r="W608">
            <v>14.3</v>
          </cell>
        </row>
        <row r="609">
          <cell r="A609" t="str">
            <v>2011NM</v>
          </cell>
          <cell r="B609">
            <v>2011</v>
          </cell>
          <cell r="C609" t="str">
            <v>NM</v>
          </cell>
          <cell r="D609">
            <v>755858</v>
          </cell>
          <cell r="E609">
            <v>6873748</v>
          </cell>
          <cell r="F609">
            <v>856128</v>
          </cell>
          <cell r="G609">
            <v>11</v>
          </cell>
          <cell r="H609">
            <v>840053</v>
          </cell>
          <cell r="I609">
            <v>9257633</v>
          </cell>
          <cell r="J609">
            <v>136678</v>
          </cell>
          <cell r="K609">
            <v>9.07</v>
          </cell>
          <cell r="L609">
            <v>418868</v>
          </cell>
          <cell r="M609">
            <v>6910284</v>
          </cell>
          <cell r="N609">
            <v>7603</v>
          </cell>
          <cell r="O609">
            <v>6.06</v>
          </cell>
          <cell r="P609">
            <v>0</v>
          </cell>
          <cell r="Q609">
            <v>0</v>
          </cell>
          <cell r="R609">
            <v>0</v>
          </cell>
          <cell r="S609">
            <v>0</v>
          </cell>
          <cell r="T609">
            <v>2014778</v>
          </cell>
          <cell r="U609">
            <v>23041665</v>
          </cell>
          <cell r="V609">
            <v>1000409</v>
          </cell>
          <cell r="W609">
            <v>8.74</v>
          </cell>
        </row>
        <row r="610">
          <cell r="A610" t="str">
            <v>2011NV</v>
          </cell>
          <cell r="B610">
            <v>2011</v>
          </cell>
          <cell r="C610" t="str">
            <v>NV</v>
          </cell>
          <cell r="D610">
            <v>1334069</v>
          </cell>
          <cell r="E610">
            <v>11493279</v>
          </cell>
          <cell r="F610">
            <v>1067944</v>
          </cell>
          <cell r="G610">
            <v>11.61</v>
          </cell>
          <cell r="H610">
            <v>814444</v>
          </cell>
          <cell r="I610">
            <v>8995162</v>
          </cell>
          <cell r="J610">
            <v>155395</v>
          </cell>
          <cell r="K610">
            <v>9.0500000000000007</v>
          </cell>
          <cell r="L610">
            <v>891991</v>
          </cell>
          <cell r="M610">
            <v>13419961</v>
          </cell>
          <cell r="N610">
            <v>3506</v>
          </cell>
          <cell r="O610">
            <v>6.65</v>
          </cell>
          <cell r="P610">
            <v>693</v>
          </cell>
          <cell r="Q610">
            <v>8077</v>
          </cell>
          <cell r="R610">
            <v>1</v>
          </cell>
          <cell r="S610">
            <v>8.58</v>
          </cell>
          <cell r="T610">
            <v>3041198</v>
          </cell>
          <cell r="U610">
            <v>33916479</v>
          </cell>
          <cell r="V610">
            <v>1226846</v>
          </cell>
          <cell r="W610">
            <v>8.9700000000000006</v>
          </cell>
        </row>
        <row r="611">
          <cell r="A611" t="str">
            <v>2011NY</v>
          </cell>
          <cell r="B611">
            <v>2011</v>
          </cell>
          <cell r="C611" t="str">
            <v>NY</v>
          </cell>
          <cell r="D611">
            <v>9356966</v>
          </cell>
          <cell r="E611">
            <v>51239599</v>
          </cell>
          <cell r="F611">
            <v>6987631</v>
          </cell>
          <cell r="G611">
            <v>18.260000000000002</v>
          </cell>
          <cell r="H611">
            <v>12079373</v>
          </cell>
          <cell r="I611">
            <v>76405800</v>
          </cell>
          <cell r="J611">
            <v>1035992</v>
          </cell>
          <cell r="K611">
            <v>15.81</v>
          </cell>
          <cell r="L611">
            <v>1051444</v>
          </cell>
          <cell r="M611">
            <v>13420153</v>
          </cell>
          <cell r="N611">
            <v>8222</v>
          </cell>
          <cell r="O611">
            <v>7.83</v>
          </cell>
          <cell r="P611">
            <v>400875</v>
          </cell>
          <cell r="Q611">
            <v>2981057</v>
          </cell>
          <cell r="R611">
            <v>9</v>
          </cell>
          <cell r="S611">
            <v>13.45</v>
          </cell>
          <cell r="T611">
            <v>22888659</v>
          </cell>
          <cell r="U611">
            <v>144046609</v>
          </cell>
          <cell r="V611">
            <v>8031854</v>
          </cell>
          <cell r="W611">
            <v>15.89</v>
          </cell>
        </row>
        <row r="612">
          <cell r="A612" t="str">
            <v>2011OH</v>
          </cell>
          <cell r="B612">
            <v>2011</v>
          </cell>
          <cell r="C612" t="str">
            <v>OH</v>
          </cell>
          <cell r="D612">
            <v>6133425</v>
          </cell>
          <cell r="E612">
            <v>53687111</v>
          </cell>
          <cell r="F612">
            <v>4874482</v>
          </cell>
          <cell r="G612">
            <v>11.42</v>
          </cell>
          <cell r="H612">
            <v>4534851</v>
          </cell>
          <cell r="I612">
            <v>47111763</v>
          </cell>
          <cell r="J612">
            <v>611235</v>
          </cell>
          <cell r="K612">
            <v>9.6300000000000008</v>
          </cell>
          <cell r="L612">
            <v>3298277</v>
          </cell>
          <cell r="M612">
            <v>53913437</v>
          </cell>
          <cell r="N612">
            <v>19712</v>
          </cell>
          <cell r="O612">
            <v>6.12</v>
          </cell>
          <cell r="P612">
            <v>2258</v>
          </cell>
          <cell r="Q612">
            <v>33999</v>
          </cell>
          <cell r="R612">
            <v>3</v>
          </cell>
          <cell r="S612">
            <v>6.64</v>
          </cell>
          <cell r="T612">
            <v>13968811</v>
          </cell>
          <cell r="U612">
            <v>154746310</v>
          </cell>
          <cell r="V612">
            <v>5505432</v>
          </cell>
          <cell r="W612">
            <v>9.0299999999999994</v>
          </cell>
        </row>
        <row r="613">
          <cell r="A613" t="str">
            <v>2011OK</v>
          </cell>
          <cell r="B613">
            <v>2011</v>
          </cell>
          <cell r="C613" t="str">
            <v>OK</v>
          </cell>
          <cell r="D613">
            <v>2313030</v>
          </cell>
          <cell r="E613">
            <v>24425027</v>
          </cell>
          <cell r="F613">
            <v>1667223</v>
          </cell>
          <cell r="G613">
            <v>9.4700000000000006</v>
          </cell>
          <cell r="H613">
            <v>1489888</v>
          </cell>
          <cell r="I613">
            <v>19612922</v>
          </cell>
          <cell r="J613">
            <v>264782</v>
          </cell>
          <cell r="K613">
            <v>7.6</v>
          </cell>
          <cell r="L613">
            <v>863213</v>
          </cell>
          <cell r="M613">
            <v>15808845</v>
          </cell>
          <cell r="N613">
            <v>18242</v>
          </cell>
          <cell r="O613">
            <v>5.46</v>
          </cell>
          <cell r="P613">
            <v>0</v>
          </cell>
          <cell r="Q613">
            <v>0</v>
          </cell>
          <cell r="R613">
            <v>0</v>
          </cell>
          <cell r="S613">
            <v>0</v>
          </cell>
          <cell r="T613">
            <v>4666131</v>
          </cell>
          <cell r="U613">
            <v>59846794</v>
          </cell>
          <cell r="V613">
            <v>1950247</v>
          </cell>
          <cell r="W613">
            <v>7.8</v>
          </cell>
        </row>
        <row r="614">
          <cell r="A614" t="str">
            <v>2011OR</v>
          </cell>
          <cell r="B614">
            <v>2011</v>
          </cell>
          <cell r="C614" t="str">
            <v>OR</v>
          </cell>
          <cell r="D614">
            <v>1852603</v>
          </cell>
          <cell r="E614">
            <v>19429175</v>
          </cell>
          <cell r="F614">
            <v>1633551</v>
          </cell>
          <cell r="G614">
            <v>9.5399999999999991</v>
          </cell>
          <cell r="H614">
            <v>1284342</v>
          </cell>
          <cell r="I614">
            <v>15754249</v>
          </cell>
          <cell r="J614">
            <v>238908</v>
          </cell>
          <cell r="K614">
            <v>8.15</v>
          </cell>
          <cell r="L614">
            <v>653955</v>
          </cell>
          <cell r="M614">
            <v>11963131</v>
          </cell>
          <cell r="N614">
            <v>23300</v>
          </cell>
          <cell r="O614">
            <v>5.47</v>
          </cell>
          <cell r="P614">
            <v>1964</v>
          </cell>
          <cell r="Q614">
            <v>24891</v>
          </cell>
          <cell r="R614">
            <v>4</v>
          </cell>
          <cell r="S614">
            <v>7.89</v>
          </cell>
          <cell r="T614">
            <v>3792864</v>
          </cell>
          <cell r="U614">
            <v>47171446</v>
          </cell>
          <cell r="V614">
            <v>1895763</v>
          </cell>
          <cell r="W614">
            <v>8.0399999999999991</v>
          </cell>
        </row>
        <row r="615">
          <cell r="A615" t="str">
            <v>2011PA</v>
          </cell>
          <cell r="B615">
            <v>2011</v>
          </cell>
          <cell r="C615" t="str">
            <v>PA</v>
          </cell>
          <cell r="D615">
            <v>7265435</v>
          </cell>
          <cell r="E615">
            <v>54795633</v>
          </cell>
          <cell r="F615">
            <v>5249827</v>
          </cell>
          <cell r="G615">
            <v>13.26</v>
          </cell>
          <cell r="H615">
            <v>4365429</v>
          </cell>
          <cell r="I615">
            <v>43535836</v>
          </cell>
          <cell r="J615">
            <v>684757</v>
          </cell>
          <cell r="K615">
            <v>10.029999999999999</v>
          </cell>
          <cell r="L615">
            <v>3833723</v>
          </cell>
          <cell r="M615">
            <v>49585444</v>
          </cell>
          <cell r="N615">
            <v>25047</v>
          </cell>
          <cell r="O615">
            <v>7.73</v>
          </cell>
          <cell r="P615">
            <v>75031</v>
          </cell>
          <cell r="Q615">
            <v>840325</v>
          </cell>
          <cell r="R615">
            <v>15</v>
          </cell>
          <cell r="S615">
            <v>8.93</v>
          </cell>
          <cell r="T615">
            <v>15539619</v>
          </cell>
          <cell r="U615">
            <v>148757238</v>
          </cell>
          <cell r="V615">
            <v>5959646</v>
          </cell>
          <cell r="W615">
            <v>10.45</v>
          </cell>
        </row>
        <row r="616">
          <cell r="A616" t="str">
            <v>2011RI</v>
          </cell>
          <cell r="B616">
            <v>2011</v>
          </cell>
          <cell r="C616" t="str">
            <v>RI</v>
          </cell>
          <cell r="D616">
            <v>448530</v>
          </cell>
          <cell r="E616">
            <v>3129446</v>
          </cell>
          <cell r="F616">
            <v>432430</v>
          </cell>
          <cell r="G616">
            <v>14.33</v>
          </cell>
          <cell r="H616">
            <v>452707</v>
          </cell>
          <cell r="I616">
            <v>3660143</v>
          </cell>
          <cell r="J616">
            <v>57409</v>
          </cell>
          <cell r="K616">
            <v>12.37</v>
          </cell>
          <cell r="L616">
            <v>103254</v>
          </cell>
          <cell r="M616">
            <v>915857</v>
          </cell>
          <cell r="N616">
            <v>1958</v>
          </cell>
          <cell r="O616">
            <v>11.27</v>
          </cell>
          <cell r="P616">
            <v>3806</v>
          </cell>
          <cell r="Q616">
            <v>26974</v>
          </cell>
          <cell r="R616">
            <v>1</v>
          </cell>
          <cell r="S616">
            <v>14.11</v>
          </cell>
          <cell r="T616">
            <v>1008297</v>
          </cell>
          <cell r="U616">
            <v>7732420</v>
          </cell>
          <cell r="V616">
            <v>491798</v>
          </cell>
          <cell r="W616">
            <v>13.04</v>
          </cell>
        </row>
        <row r="617">
          <cell r="A617" t="str">
            <v>2011SC</v>
          </cell>
          <cell r="B617">
            <v>2011</v>
          </cell>
          <cell r="C617" t="str">
            <v>SC</v>
          </cell>
          <cell r="D617">
            <v>3404928</v>
          </cell>
          <cell r="E617">
            <v>30801731</v>
          </cell>
          <cell r="F617">
            <v>2101585</v>
          </cell>
          <cell r="G617">
            <v>11.05</v>
          </cell>
          <cell r="H617">
            <v>2007503</v>
          </cell>
          <cell r="I617">
            <v>21592794</v>
          </cell>
          <cell r="J617">
            <v>340193</v>
          </cell>
          <cell r="K617">
            <v>9.3000000000000007</v>
          </cell>
          <cell r="L617">
            <v>1668821</v>
          </cell>
          <cell r="M617">
            <v>28094021</v>
          </cell>
          <cell r="N617">
            <v>4459</v>
          </cell>
          <cell r="O617">
            <v>5.94</v>
          </cell>
          <cell r="P617">
            <v>0</v>
          </cell>
          <cell r="Q617">
            <v>0</v>
          </cell>
          <cell r="R617">
            <v>0</v>
          </cell>
          <cell r="S617">
            <v>0</v>
          </cell>
          <cell r="T617">
            <v>7081252</v>
          </cell>
          <cell r="U617">
            <v>80488546</v>
          </cell>
          <cell r="V617">
            <v>2446237</v>
          </cell>
          <cell r="W617">
            <v>8.8000000000000007</v>
          </cell>
        </row>
        <row r="618">
          <cell r="A618" t="str">
            <v>2011SD</v>
          </cell>
          <cell r="B618">
            <v>2011</v>
          </cell>
          <cell r="C618" t="str">
            <v>SD</v>
          </cell>
          <cell r="D618">
            <v>434655</v>
          </cell>
          <cell r="E618">
            <v>4646384</v>
          </cell>
          <cell r="F618">
            <v>374260</v>
          </cell>
          <cell r="G618">
            <v>9.35</v>
          </cell>
          <cell r="H618">
            <v>344870</v>
          </cell>
          <cell r="I618">
            <v>4446864</v>
          </cell>
          <cell r="J618">
            <v>68775</v>
          </cell>
          <cell r="K618">
            <v>7.76</v>
          </cell>
          <cell r="L618">
            <v>160315</v>
          </cell>
          <cell r="M618">
            <v>2586352</v>
          </cell>
          <cell r="N618">
            <v>2905</v>
          </cell>
          <cell r="O618">
            <v>6.2</v>
          </cell>
          <cell r="P618">
            <v>0</v>
          </cell>
          <cell r="Q618">
            <v>0</v>
          </cell>
          <cell r="R618">
            <v>0</v>
          </cell>
          <cell r="S618">
            <v>0</v>
          </cell>
          <cell r="T618">
            <v>939840</v>
          </cell>
          <cell r="U618">
            <v>11679600</v>
          </cell>
          <cell r="V618">
            <v>445940</v>
          </cell>
          <cell r="W618">
            <v>8.0500000000000007</v>
          </cell>
        </row>
        <row r="619">
          <cell r="A619" t="str">
            <v>2011TN</v>
          </cell>
          <cell r="B619">
            <v>2011</v>
          </cell>
          <cell r="C619" t="str">
            <v>TN</v>
          </cell>
          <cell r="D619">
            <v>4298018</v>
          </cell>
          <cell r="E619">
            <v>43067861</v>
          </cell>
          <cell r="F619">
            <v>2708113</v>
          </cell>
          <cell r="G619">
            <v>9.98</v>
          </cell>
          <cell r="H619">
            <v>2980031</v>
          </cell>
          <cell r="I619">
            <v>29025334</v>
          </cell>
          <cell r="J619">
            <v>463992</v>
          </cell>
          <cell r="K619">
            <v>10.27</v>
          </cell>
          <cell r="L619">
            <v>2070122</v>
          </cell>
          <cell r="M619">
            <v>28638453</v>
          </cell>
          <cell r="N619">
            <v>2017</v>
          </cell>
          <cell r="O619">
            <v>7.23</v>
          </cell>
          <cell r="P619">
            <v>203</v>
          </cell>
          <cell r="Q619">
            <v>1681</v>
          </cell>
          <cell r="R619">
            <v>1</v>
          </cell>
          <cell r="S619">
            <v>12.07</v>
          </cell>
          <cell r="T619">
            <v>9348374</v>
          </cell>
          <cell r="U619">
            <v>100733329</v>
          </cell>
          <cell r="V619">
            <v>3174123</v>
          </cell>
          <cell r="W619">
            <v>9.2799999999999994</v>
          </cell>
        </row>
        <row r="620">
          <cell r="A620" t="str">
            <v>2011TX</v>
          </cell>
          <cell r="B620">
            <v>2011</v>
          </cell>
          <cell r="C620" t="str">
            <v>TX</v>
          </cell>
          <cell r="D620">
            <v>16141983</v>
          </cell>
          <cell r="E620">
            <v>145654228</v>
          </cell>
          <cell r="F620">
            <v>9621481</v>
          </cell>
          <cell r="G620">
            <v>11.08</v>
          </cell>
          <cell r="H620">
            <v>11315395</v>
          </cell>
          <cell r="I620">
            <v>128213690</v>
          </cell>
          <cell r="J620">
            <v>1363629</v>
          </cell>
          <cell r="K620">
            <v>8.83</v>
          </cell>
          <cell r="L620">
            <v>6368043</v>
          </cell>
          <cell r="M620">
            <v>102128869</v>
          </cell>
          <cell r="N620">
            <v>99033</v>
          </cell>
          <cell r="O620">
            <v>6.24</v>
          </cell>
          <cell r="P620">
            <v>6889</v>
          </cell>
          <cell r="Q620">
            <v>68329</v>
          </cell>
          <cell r="R620">
            <v>2</v>
          </cell>
          <cell r="S620">
            <v>10.08</v>
          </cell>
          <cell r="T620">
            <v>33832309</v>
          </cell>
          <cell r="U620">
            <v>376065116</v>
          </cell>
          <cell r="V620">
            <v>11084145</v>
          </cell>
          <cell r="W620">
            <v>9</v>
          </cell>
        </row>
        <row r="621">
          <cell r="A621" t="str">
            <v>2011UT</v>
          </cell>
          <cell r="B621">
            <v>2011</v>
          </cell>
          <cell r="C621" t="str">
            <v>UT</v>
          </cell>
          <cell r="D621">
            <v>801966</v>
          </cell>
          <cell r="E621">
            <v>8946741</v>
          </cell>
          <cell r="F621">
            <v>946468</v>
          </cell>
          <cell r="G621">
            <v>8.9600000000000009</v>
          </cell>
          <cell r="H621">
            <v>775447</v>
          </cell>
          <cell r="I621">
            <v>10544326</v>
          </cell>
          <cell r="J621">
            <v>122363</v>
          </cell>
          <cell r="K621">
            <v>7.35</v>
          </cell>
          <cell r="L621">
            <v>475870</v>
          </cell>
          <cell r="M621">
            <v>9332992</v>
          </cell>
          <cell r="N621">
            <v>9378</v>
          </cell>
          <cell r="O621">
            <v>5.0999999999999996</v>
          </cell>
          <cell r="P621">
            <v>3225</v>
          </cell>
          <cell r="Q621">
            <v>34887</v>
          </cell>
          <cell r="R621">
            <v>1</v>
          </cell>
          <cell r="S621">
            <v>9.24</v>
          </cell>
          <cell r="T621">
            <v>2056507</v>
          </cell>
          <cell r="U621">
            <v>28858946</v>
          </cell>
          <cell r="V621">
            <v>1078210</v>
          </cell>
          <cell r="W621">
            <v>7.13</v>
          </cell>
        </row>
        <row r="622">
          <cell r="A622" t="str">
            <v>2011VA</v>
          </cell>
          <cell r="B622">
            <v>2011</v>
          </cell>
          <cell r="C622" t="str">
            <v>VA</v>
          </cell>
          <cell r="D622">
            <v>4871349</v>
          </cell>
          <cell r="E622">
            <v>45771144</v>
          </cell>
          <cell r="F622">
            <v>3225395</v>
          </cell>
          <cell r="G622">
            <v>10.64</v>
          </cell>
          <cell r="H622">
            <v>3742884</v>
          </cell>
          <cell r="I622">
            <v>47051425</v>
          </cell>
          <cell r="J622">
            <v>414137</v>
          </cell>
          <cell r="K622">
            <v>7.95</v>
          </cell>
          <cell r="L622">
            <v>1118027</v>
          </cell>
          <cell r="M622">
            <v>17218005</v>
          </cell>
          <cell r="N622">
            <v>4082</v>
          </cell>
          <cell r="O622">
            <v>6.49</v>
          </cell>
          <cell r="P622">
            <v>15473</v>
          </cell>
          <cell r="Q622">
            <v>187691</v>
          </cell>
          <cell r="R622">
            <v>1</v>
          </cell>
          <cell r="S622">
            <v>8.24</v>
          </cell>
          <cell r="T622">
            <v>9747732</v>
          </cell>
          <cell r="U622">
            <v>110228265</v>
          </cell>
          <cell r="V622">
            <v>3643615</v>
          </cell>
          <cell r="W622">
            <v>8.84</v>
          </cell>
        </row>
        <row r="623">
          <cell r="A623" t="str">
            <v>2011VT</v>
          </cell>
          <cell r="B623">
            <v>2011</v>
          </cell>
          <cell r="C623" t="str">
            <v>VT</v>
          </cell>
          <cell r="D623">
            <v>345525</v>
          </cell>
          <cell r="E623">
            <v>2124533</v>
          </cell>
          <cell r="F623">
            <v>308992</v>
          </cell>
          <cell r="G623">
            <v>16.260000000000002</v>
          </cell>
          <cell r="H623">
            <v>281101</v>
          </cell>
          <cell r="I623">
            <v>2008547</v>
          </cell>
          <cell r="J623">
            <v>50796</v>
          </cell>
          <cell r="K623">
            <v>14</v>
          </cell>
          <cell r="L623">
            <v>139239</v>
          </cell>
          <cell r="M623">
            <v>1417104</v>
          </cell>
          <cell r="N623">
            <v>221</v>
          </cell>
          <cell r="O623">
            <v>9.83</v>
          </cell>
          <cell r="P623">
            <v>0</v>
          </cell>
          <cell r="Q623">
            <v>0</v>
          </cell>
          <cell r="R623">
            <v>0</v>
          </cell>
          <cell r="S623">
            <v>0</v>
          </cell>
          <cell r="T623">
            <v>765864</v>
          </cell>
          <cell r="U623">
            <v>5550184</v>
          </cell>
          <cell r="V623">
            <v>360009</v>
          </cell>
          <cell r="W623">
            <v>13.8</v>
          </cell>
        </row>
        <row r="624">
          <cell r="A624" t="str">
            <v>2011WA</v>
          </cell>
          <cell r="B624">
            <v>2011</v>
          </cell>
          <cell r="C624" t="str">
            <v>WA</v>
          </cell>
          <cell r="D624">
            <v>3010493</v>
          </cell>
          <cell r="E624">
            <v>36376143</v>
          </cell>
          <cell r="F624">
            <v>2837631</v>
          </cell>
          <cell r="G624">
            <v>8.2799999999999994</v>
          </cell>
          <cell r="H624">
            <v>2203291</v>
          </cell>
          <cell r="I624">
            <v>29408904</v>
          </cell>
          <cell r="J624">
            <v>354185</v>
          </cell>
          <cell r="K624">
            <v>7.49</v>
          </cell>
          <cell r="L624">
            <v>1141672</v>
          </cell>
          <cell r="M624">
            <v>27932787</v>
          </cell>
          <cell r="N624">
            <v>27845</v>
          </cell>
          <cell r="O624">
            <v>4.09</v>
          </cell>
          <cell r="P624">
            <v>605</v>
          </cell>
          <cell r="Q624">
            <v>7083</v>
          </cell>
          <cell r="R624">
            <v>6</v>
          </cell>
          <cell r="S624">
            <v>8.5399999999999991</v>
          </cell>
          <cell r="T624">
            <v>6356062</v>
          </cell>
          <cell r="U624">
            <v>93724917</v>
          </cell>
          <cell r="V624">
            <v>3219667</v>
          </cell>
          <cell r="W624">
            <v>6.78</v>
          </cell>
        </row>
        <row r="625">
          <cell r="A625" t="str">
            <v>2011WI</v>
          </cell>
          <cell r="B625">
            <v>2011</v>
          </cell>
          <cell r="C625" t="str">
            <v>WI</v>
          </cell>
          <cell r="D625">
            <v>2884512</v>
          </cell>
          <cell r="E625">
            <v>22149941</v>
          </cell>
          <cell r="F625">
            <v>2601879</v>
          </cell>
          <cell r="G625">
            <v>13.02</v>
          </cell>
          <cell r="H625">
            <v>2403002</v>
          </cell>
          <cell r="I625">
            <v>23054970</v>
          </cell>
          <cell r="J625">
            <v>340623</v>
          </cell>
          <cell r="K625">
            <v>10.42</v>
          </cell>
          <cell r="L625">
            <v>1715020</v>
          </cell>
          <cell r="M625">
            <v>23406711</v>
          </cell>
          <cell r="N625">
            <v>4527</v>
          </cell>
          <cell r="O625">
            <v>7.33</v>
          </cell>
          <cell r="P625">
            <v>0</v>
          </cell>
          <cell r="Q625">
            <v>0</v>
          </cell>
          <cell r="R625">
            <v>0</v>
          </cell>
          <cell r="S625">
            <v>0</v>
          </cell>
          <cell r="T625">
            <v>7002535</v>
          </cell>
          <cell r="U625">
            <v>68611622</v>
          </cell>
          <cell r="V625">
            <v>2947029</v>
          </cell>
          <cell r="W625">
            <v>10.210000000000001</v>
          </cell>
        </row>
        <row r="626">
          <cell r="A626" t="str">
            <v>2011WV</v>
          </cell>
          <cell r="B626">
            <v>2011</v>
          </cell>
          <cell r="C626" t="str">
            <v>WV</v>
          </cell>
          <cell r="D626">
            <v>1103040</v>
          </cell>
          <cell r="E626">
            <v>11746151</v>
          </cell>
          <cell r="F626">
            <v>868036</v>
          </cell>
          <cell r="G626">
            <v>9.39</v>
          </cell>
          <cell r="H626">
            <v>632491</v>
          </cell>
          <cell r="I626">
            <v>7767926</v>
          </cell>
          <cell r="J626">
            <v>137965</v>
          </cell>
          <cell r="K626">
            <v>8.14</v>
          </cell>
          <cell r="L626">
            <v>724244</v>
          </cell>
          <cell r="M626">
            <v>11720437</v>
          </cell>
          <cell r="N626">
            <v>12446</v>
          </cell>
          <cell r="O626">
            <v>6.18</v>
          </cell>
          <cell r="P626">
            <v>365</v>
          </cell>
          <cell r="Q626">
            <v>4239</v>
          </cell>
          <cell r="R626">
            <v>1</v>
          </cell>
          <cell r="S626">
            <v>8.6</v>
          </cell>
          <cell r="T626">
            <v>2460139</v>
          </cell>
          <cell r="U626">
            <v>31238753</v>
          </cell>
          <cell r="V626">
            <v>1018448</v>
          </cell>
          <cell r="W626">
            <v>7.88</v>
          </cell>
        </row>
        <row r="627">
          <cell r="A627" t="str">
            <v>2011WY</v>
          </cell>
          <cell r="B627">
            <v>2011</v>
          </cell>
          <cell r="C627" t="str">
            <v>WY</v>
          </cell>
          <cell r="D627">
            <v>255263</v>
          </cell>
          <cell r="E627">
            <v>2802726</v>
          </cell>
          <cell r="F627">
            <v>258528</v>
          </cell>
          <cell r="G627">
            <v>9.11</v>
          </cell>
          <cell r="H627">
            <v>335841</v>
          </cell>
          <cell r="I627">
            <v>4353082</v>
          </cell>
          <cell r="J627">
            <v>59872</v>
          </cell>
          <cell r="K627">
            <v>7.72</v>
          </cell>
          <cell r="L627">
            <v>555109</v>
          </cell>
          <cell r="M627">
            <v>10261954</v>
          </cell>
          <cell r="N627">
            <v>9067</v>
          </cell>
          <cell r="O627">
            <v>5.41</v>
          </cell>
          <cell r="P627">
            <v>0</v>
          </cell>
          <cell r="Q627">
            <v>0</v>
          </cell>
          <cell r="R627">
            <v>0</v>
          </cell>
          <cell r="S627">
            <v>0</v>
          </cell>
          <cell r="T627">
            <v>1146213</v>
          </cell>
          <cell r="U627">
            <v>17417762</v>
          </cell>
          <cell r="V627">
            <v>327467</v>
          </cell>
          <cell r="W627">
            <v>6.58</v>
          </cell>
        </row>
        <row r="628">
          <cell r="A628" t="str">
            <v>2011US</v>
          </cell>
          <cell r="B628">
            <v>2011</v>
          </cell>
          <cell r="C628" t="str">
            <v>US</v>
          </cell>
          <cell r="D628">
            <v>166713948</v>
          </cell>
          <cell r="E628">
            <v>1422801093</v>
          </cell>
          <cell r="F628">
            <v>126143072</v>
          </cell>
          <cell r="G628">
            <v>11.72</v>
          </cell>
          <cell r="H628">
            <v>135926713</v>
          </cell>
          <cell r="I628">
            <v>1328057439</v>
          </cell>
          <cell r="J628">
            <v>17638062</v>
          </cell>
          <cell r="K628">
            <v>10.24</v>
          </cell>
          <cell r="L628">
            <v>67605690</v>
          </cell>
          <cell r="M628">
            <v>991315564</v>
          </cell>
          <cell r="N628">
            <v>727920</v>
          </cell>
          <cell r="O628">
            <v>6.82</v>
          </cell>
          <cell r="P628">
            <v>802743</v>
          </cell>
          <cell r="Q628">
            <v>7672084</v>
          </cell>
          <cell r="R628">
            <v>92</v>
          </cell>
          <cell r="S628">
            <v>10.46</v>
          </cell>
          <cell r="T628">
            <v>371049095</v>
          </cell>
          <cell r="U628">
            <v>3749846180</v>
          </cell>
          <cell r="V628">
            <v>144509146</v>
          </cell>
          <cell r="W628">
            <v>9.9</v>
          </cell>
        </row>
        <row r="629">
          <cell r="A629" t="str">
            <v>2010AK</v>
          </cell>
          <cell r="B629">
            <v>2010</v>
          </cell>
          <cell r="C629" t="str">
            <v>AK</v>
          </cell>
          <cell r="D629">
            <v>340340</v>
          </cell>
          <cell r="E629">
            <v>2093217</v>
          </cell>
          <cell r="F629">
            <v>271956</v>
          </cell>
          <cell r="G629">
            <v>16.260000000000002</v>
          </cell>
          <cell r="H629">
            <v>394632</v>
          </cell>
          <cell r="I629">
            <v>2829738</v>
          </cell>
          <cell r="J629">
            <v>47844</v>
          </cell>
          <cell r="K629">
            <v>13.95</v>
          </cell>
          <cell r="L629">
            <v>187290</v>
          </cell>
          <cell r="M629">
            <v>1324083</v>
          </cell>
          <cell r="N629">
            <v>1350</v>
          </cell>
          <cell r="O629">
            <v>14.14</v>
          </cell>
          <cell r="P629">
            <v>0</v>
          </cell>
          <cell r="Q629">
            <v>0</v>
          </cell>
          <cell r="R629">
            <v>0</v>
          </cell>
          <cell r="S629">
            <v>0</v>
          </cell>
          <cell r="T629">
            <v>922262</v>
          </cell>
          <cell r="U629">
            <v>6247038</v>
          </cell>
          <cell r="V629">
            <v>321150</v>
          </cell>
          <cell r="W629">
            <v>14.76</v>
          </cell>
        </row>
        <row r="630">
          <cell r="A630" t="str">
            <v>2010AL</v>
          </cell>
          <cell r="B630">
            <v>2010</v>
          </cell>
          <cell r="C630" t="str">
            <v>AL</v>
          </cell>
          <cell r="D630">
            <v>3790734</v>
          </cell>
          <cell r="E630">
            <v>35529292</v>
          </cell>
          <cell r="F630">
            <v>2138911</v>
          </cell>
          <cell r="G630">
            <v>10.67</v>
          </cell>
          <cell r="H630">
            <v>2339092</v>
          </cell>
          <cell r="I630">
            <v>22983768</v>
          </cell>
          <cell r="J630">
            <v>356296</v>
          </cell>
          <cell r="K630">
            <v>10.18</v>
          </cell>
          <cell r="L630">
            <v>1945053</v>
          </cell>
          <cell r="M630">
            <v>32349585</v>
          </cell>
          <cell r="N630">
            <v>6915</v>
          </cell>
          <cell r="O630">
            <v>6.01</v>
          </cell>
          <cell r="P630">
            <v>0</v>
          </cell>
          <cell r="Q630">
            <v>0</v>
          </cell>
          <cell r="R630">
            <v>0</v>
          </cell>
          <cell r="S630">
            <v>0</v>
          </cell>
          <cell r="T630">
            <v>8074879</v>
          </cell>
          <cell r="U630">
            <v>90862645</v>
          </cell>
          <cell r="V630">
            <v>2502122</v>
          </cell>
          <cell r="W630">
            <v>8.89</v>
          </cell>
        </row>
        <row r="631">
          <cell r="A631" t="str">
            <v>2010AR</v>
          </cell>
          <cell r="B631">
            <v>2010</v>
          </cell>
          <cell r="C631" t="str">
            <v>AR</v>
          </cell>
          <cell r="D631">
            <v>1702938</v>
          </cell>
          <cell r="E631">
            <v>19230961</v>
          </cell>
          <cell r="F631">
            <v>1322833</v>
          </cell>
          <cell r="G631">
            <v>8.86</v>
          </cell>
          <cell r="H631">
            <v>890628</v>
          </cell>
          <cell r="I631">
            <v>12188205</v>
          </cell>
          <cell r="J631">
            <v>178962</v>
          </cell>
          <cell r="K631">
            <v>7.31</v>
          </cell>
          <cell r="L631">
            <v>913220</v>
          </cell>
          <cell r="M631">
            <v>16774699</v>
          </cell>
          <cell r="N631">
            <v>32408</v>
          </cell>
          <cell r="O631">
            <v>5.44</v>
          </cell>
          <cell r="P631">
            <v>48</v>
          </cell>
          <cell r="Q631">
            <v>420</v>
          </cell>
          <cell r="R631">
            <v>2</v>
          </cell>
          <cell r="S631">
            <v>11.33</v>
          </cell>
          <cell r="T631">
            <v>3506833</v>
          </cell>
          <cell r="U631">
            <v>48194285</v>
          </cell>
          <cell r="V631">
            <v>1534205</v>
          </cell>
          <cell r="W631">
            <v>7.28</v>
          </cell>
        </row>
        <row r="632">
          <cell r="A632" t="str">
            <v>2010AZ</v>
          </cell>
          <cell r="B632">
            <v>2010</v>
          </cell>
          <cell r="C632" t="str">
            <v>AZ</v>
          </cell>
          <cell r="D632">
            <v>3558161</v>
          </cell>
          <cell r="E632">
            <v>32448138</v>
          </cell>
          <cell r="F632">
            <v>2554213</v>
          </cell>
          <cell r="G632">
            <v>10.97</v>
          </cell>
          <cell r="H632">
            <v>2741684</v>
          </cell>
          <cell r="I632">
            <v>28942918</v>
          </cell>
          <cell r="J632">
            <v>300507</v>
          </cell>
          <cell r="K632">
            <v>9.4700000000000006</v>
          </cell>
          <cell r="L632">
            <v>758910</v>
          </cell>
          <cell r="M632">
            <v>11441974</v>
          </cell>
          <cell r="N632">
            <v>7143</v>
          </cell>
          <cell r="O632">
            <v>6.63</v>
          </cell>
          <cell r="P632">
            <v>0</v>
          </cell>
          <cell r="Q632">
            <v>0</v>
          </cell>
          <cell r="R632">
            <v>0</v>
          </cell>
          <cell r="S632">
            <v>0</v>
          </cell>
          <cell r="T632">
            <v>7058754</v>
          </cell>
          <cell r="U632">
            <v>72833030</v>
          </cell>
          <cell r="V632">
            <v>2861863</v>
          </cell>
          <cell r="W632">
            <v>9.69</v>
          </cell>
        </row>
        <row r="633">
          <cell r="A633" t="str">
            <v>2010CA</v>
          </cell>
          <cell r="B633">
            <v>2010</v>
          </cell>
          <cell r="C633" t="str">
            <v>CA</v>
          </cell>
          <cell r="D633">
            <v>12873565</v>
          </cell>
          <cell r="E633">
            <v>87256946</v>
          </cell>
          <cell r="F633">
            <v>12947917</v>
          </cell>
          <cell r="G633">
            <v>14.75</v>
          </cell>
          <cell r="H633">
            <v>15863515</v>
          </cell>
          <cell r="I633">
            <v>121151697</v>
          </cell>
          <cell r="J633">
            <v>1814634</v>
          </cell>
          <cell r="K633">
            <v>13.09</v>
          </cell>
          <cell r="L633">
            <v>4831623</v>
          </cell>
          <cell r="M633">
            <v>49301025</v>
          </cell>
          <cell r="N633">
            <v>75160</v>
          </cell>
          <cell r="O633">
            <v>9.8000000000000007</v>
          </cell>
          <cell r="P633">
            <v>67926</v>
          </cell>
          <cell r="Q633">
            <v>821224</v>
          </cell>
          <cell r="R633">
            <v>13</v>
          </cell>
          <cell r="S633">
            <v>8.27</v>
          </cell>
          <cell r="T633">
            <v>33636629</v>
          </cell>
          <cell r="U633">
            <v>258530892</v>
          </cell>
          <cell r="V633">
            <v>14837724</v>
          </cell>
          <cell r="W633">
            <v>13.01</v>
          </cell>
        </row>
        <row r="634">
          <cell r="A634" t="str">
            <v>2010CO</v>
          </cell>
          <cell r="B634">
            <v>2010</v>
          </cell>
          <cell r="C634" t="str">
            <v>CO</v>
          </cell>
          <cell r="D634">
            <v>1997858</v>
          </cell>
          <cell r="E634">
            <v>18102386</v>
          </cell>
          <cell r="F634">
            <v>2128507</v>
          </cell>
          <cell r="G634">
            <v>11.04</v>
          </cell>
          <cell r="H634">
            <v>1790037</v>
          </cell>
          <cell r="I634">
            <v>19597222</v>
          </cell>
          <cell r="J634">
            <v>350073</v>
          </cell>
          <cell r="K634">
            <v>9.1300000000000008</v>
          </cell>
          <cell r="L634">
            <v>1047503</v>
          </cell>
          <cell r="M634">
            <v>15171843</v>
          </cell>
          <cell r="N634">
            <v>15060</v>
          </cell>
          <cell r="O634">
            <v>6.9</v>
          </cell>
          <cell r="P634">
            <v>4329</v>
          </cell>
          <cell r="Q634">
            <v>46335</v>
          </cell>
          <cell r="R634">
            <v>1</v>
          </cell>
          <cell r="S634">
            <v>9.34</v>
          </cell>
          <cell r="T634">
            <v>4839726</v>
          </cell>
          <cell r="U634">
            <v>52917786</v>
          </cell>
          <cell r="V634">
            <v>2493641</v>
          </cell>
          <cell r="W634">
            <v>9.15</v>
          </cell>
        </row>
        <row r="635">
          <cell r="A635" t="str">
            <v>2010CT</v>
          </cell>
          <cell r="B635">
            <v>2010</v>
          </cell>
          <cell r="C635" t="str">
            <v>CT</v>
          </cell>
          <cell r="D635">
            <v>2514466</v>
          </cell>
          <cell r="E635">
            <v>13065275</v>
          </cell>
          <cell r="F635">
            <v>1451808</v>
          </cell>
          <cell r="G635">
            <v>19.25</v>
          </cell>
          <cell r="H635">
            <v>2208560</v>
          </cell>
          <cell r="I635">
            <v>13427698</v>
          </cell>
          <cell r="J635">
            <v>153847</v>
          </cell>
          <cell r="K635">
            <v>16.45</v>
          </cell>
          <cell r="L635">
            <v>538690</v>
          </cell>
          <cell r="M635">
            <v>3712952</v>
          </cell>
          <cell r="N635">
            <v>4973</v>
          </cell>
          <cell r="O635">
            <v>14.51</v>
          </cell>
          <cell r="P635">
            <v>21423</v>
          </cell>
          <cell r="Q635">
            <v>185841</v>
          </cell>
          <cell r="R635">
            <v>2</v>
          </cell>
          <cell r="S635">
            <v>11.53</v>
          </cell>
          <cell r="T635">
            <v>5283139</v>
          </cell>
          <cell r="U635">
            <v>30391766</v>
          </cell>
          <cell r="V635">
            <v>1610630</v>
          </cell>
          <cell r="W635">
            <v>17.38</v>
          </cell>
        </row>
        <row r="636">
          <cell r="A636" t="str">
            <v>2010DC</v>
          </cell>
          <cell r="B636">
            <v>2010</v>
          </cell>
          <cell r="C636" t="str">
            <v>DC</v>
          </cell>
          <cell r="D636">
            <v>297450</v>
          </cell>
          <cell r="E636">
            <v>2123312</v>
          </cell>
          <cell r="F636">
            <v>227550</v>
          </cell>
          <cell r="G636">
            <v>14.01</v>
          </cell>
          <cell r="H636">
            <v>1236304</v>
          </cell>
          <cell r="I636">
            <v>9209486</v>
          </cell>
          <cell r="J636">
            <v>26449</v>
          </cell>
          <cell r="K636">
            <v>13.42</v>
          </cell>
          <cell r="L636">
            <v>17777</v>
          </cell>
          <cell r="M636">
            <v>229597</v>
          </cell>
          <cell r="N636">
            <v>1</v>
          </cell>
          <cell r="O636">
            <v>7.74</v>
          </cell>
          <cell r="P636">
            <v>34461</v>
          </cell>
          <cell r="Q636">
            <v>314600</v>
          </cell>
          <cell r="R636">
            <v>1</v>
          </cell>
          <cell r="S636">
            <v>10.95</v>
          </cell>
          <cell r="T636">
            <v>1585992</v>
          </cell>
          <cell r="U636">
            <v>11876995</v>
          </cell>
          <cell r="V636">
            <v>254001</v>
          </cell>
          <cell r="W636">
            <v>13.35</v>
          </cell>
        </row>
        <row r="637">
          <cell r="A637" t="str">
            <v>2010DE</v>
          </cell>
          <cell r="B637">
            <v>2010</v>
          </cell>
          <cell r="C637" t="str">
            <v>DE</v>
          </cell>
          <cell r="D637">
            <v>657103</v>
          </cell>
          <cell r="E637">
            <v>4759973</v>
          </cell>
          <cell r="F637">
            <v>396114</v>
          </cell>
          <cell r="G637">
            <v>13.8</v>
          </cell>
          <cell r="H637">
            <v>490773</v>
          </cell>
          <cell r="I637">
            <v>4320020</v>
          </cell>
          <cell r="J637">
            <v>49986</v>
          </cell>
          <cell r="K637">
            <v>11.36</v>
          </cell>
          <cell r="L637">
            <v>241673</v>
          </cell>
          <cell r="M637">
            <v>2525939</v>
          </cell>
          <cell r="N637">
            <v>1241</v>
          </cell>
          <cell r="O637">
            <v>9.57</v>
          </cell>
          <cell r="P637">
            <v>0</v>
          </cell>
          <cell r="Q637">
            <v>0</v>
          </cell>
          <cell r="R637">
            <v>0</v>
          </cell>
          <cell r="S637">
            <v>0</v>
          </cell>
          <cell r="T637">
            <v>1389549</v>
          </cell>
          <cell r="U637">
            <v>11605932</v>
          </cell>
          <cell r="V637">
            <v>447341</v>
          </cell>
          <cell r="W637">
            <v>11.97</v>
          </cell>
        </row>
        <row r="638">
          <cell r="A638" t="str">
            <v>2010FL</v>
          </cell>
          <cell r="B638">
            <v>2010</v>
          </cell>
          <cell r="C638" t="str">
            <v>FL</v>
          </cell>
          <cell r="D638">
            <v>13982240</v>
          </cell>
          <cell r="E638">
            <v>122244650</v>
          </cell>
          <cell r="F638">
            <v>8529204</v>
          </cell>
          <cell r="G638">
            <v>11.44</v>
          </cell>
          <cell r="H638">
            <v>8941651</v>
          </cell>
          <cell r="I638">
            <v>91614093</v>
          </cell>
          <cell r="J638">
            <v>1127138</v>
          </cell>
          <cell r="K638">
            <v>9.76</v>
          </cell>
          <cell r="L638">
            <v>1528594</v>
          </cell>
          <cell r="M638">
            <v>17265268</v>
          </cell>
          <cell r="N638">
            <v>18048</v>
          </cell>
          <cell r="O638">
            <v>8.85</v>
          </cell>
          <cell r="P638">
            <v>7344</v>
          </cell>
          <cell r="Q638">
            <v>85603</v>
          </cell>
          <cell r="R638">
            <v>25</v>
          </cell>
          <cell r="S638">
            <v>8.58</v>
          </cell>
          <cell r="T638">
            <v>24459829</v>
          </cell>
          <cell r="U638">
            <v>231209614</v>
          </cell>
          <cell r="V638">
            <v>9674415</v>
          </cell>
          <cell r="W638">
            <v>10.58</v>
          </cell>
        </row>
        <row r="639">
          <cell r="A639" t="str">
            <v>2010GA</v>
          </cell>
          <cell r="B639">
            <v>2010</v>
          </cell>
          <cell r="C639" t="str">
            <v>GA</v>
          </cell>
          <cell r="D639">
            <v>6198370</v>
          </cell>
          <cell r="E639">
            <v>61554498</v>
          </cell>
          <cell r="F639">
            <v>4054145</v>
          </cell>
          <cell r="G639">
            <v>10.07</v>
          </cell>
          <cell r="H639">
            <v>4338100</v>
          </cell>
          <cell r="I639">
            <v>47897477</v>
          </cell>
          <cell r="J639">
            <v>546011</v>
          </cell>
          <cell r="K639">
            <v>9.06</v>
          </cell>
          <cell r="L639">
            <v>1932099</v>
          </cell>
          <cell r="M639">
            <v>31046909</v>
          </cell>
          <cell r="N639">
            <v>15648</v>
          </cell>
          <cell r="O639">
            <v>6.22</v>
          </cell>
          <cell r="P639">
            <v>12891</v>
          </cell>
          <cell r="Q639">
            <v>172696</v>
          </cell>
          <cell r="R639">
            <v>1</v>
          </cell>
          <cell r="S639">
            <v>7.46</v>
          </cell>
          <cell r="T639">
            <v>12481460</v>
          </cell>
          <cell r="U639">
            <v>140671580</v>
          </cell>
          <cell r="V639">
            <v>4615805</v>
          </cell>
          <cell r="W639">
            <v>8.8699999999999992</v>
          </cell>
        </row>
        <row r="640">
          <cell r="A640" t="str">
            <v>2010HI</v>
          </cell>
          <cell r="B640">
            <v>2010</v>
          </cell>
          <cell r="C640" t="str">
            <v>HI</v>
          </cell>
          <cell r="D640">
            <v>840072</v>
          </cell>
          <cell r="E640">
            <v>2989499</v>
          </cell>
          <cell r="F640">
            <v>414568</v>
          </cell>
          <cell r="G640">
            <v>28.1</v>
          </cell>
          <cell r="H640">
            <v>869792</v>
          </cell>
          <cell r="I640">
            <v>3354523</v>
          </cell>
          <cell r="J640">
            <v>60479</v>
          </cell>
          <cell r="K640">
            <v>25.93</v>
          </cell>
          <cell r="L640">
            <v>805925</v>
          </cell>
          <cell r="M640">
            <v>3672487</v>
          </cell>
          <cell r="N640">
            <v>686</v>
          </cell>
          <cell r="O640">
            <v>21.94</v>
          </cell>
          <cell r="P640">
            <v>0</v>
          </cell>
          <cell r="Q640">
            <v>0</v>
          </cell>
          <cell r="R640">
            <v>0</v>
          </cell>
          <cell r="S640">
            <v>0</v>
          </cell>
          <cell r="T640">
            <v>2515789</v>
          </cell>
          <cell r="U640">
            <v>10016509</v>
          </cell>
          <cell r="V640">
            <v>475733</v>
          </cell>
          <cell r="W640">
            <v>25.12</v>
          </cell>
        </row>
        <row r="641">
          <cell r="A641" t="str">
            <v>2010IA</v>
          </cell>
          <cell r="B641">
            <v>2010</v>
          </cell>
          <cell r="C641" t="str">
            <v>IA</v>
          </cell>
          <cell r="D641">
            <v>1516862</v>
          </cell>
          <cell r="E641">
            <v>14554888</v>
          </cell>
          <cell r="F641">
            <v>1327896</v>
          </cell>
          <cell r="G641">
            <v>10.42</v>
          </cell>
          <cell r="H641">
            <v>951526</v>
          </cell>
          <cell r="I641">
            <v>12025276</v>
          </cell>
          <cell r="J641">
            <v>217704</v>
          </cell>
          <cell r="K641">
            <v>7.91</v>
          </cell>
          <cell r="L641">
            <v>1011344</v>
          </cell>
          <cell r="M641">
            <v>18865105</v>
          </cell>
          <cell r="N641">
            <v>6555</v>
          </cell>
          <cell r="O641">
            <v>5.36</v>
          </cell>
          <cell r="P641">
            <v>0</v>
          </cell>
          <cell r="Q641">
            <v>0</v>
          </cell>
          <cell r="R641">
            <v>0</v>
          </cell>
          <cell r="S641">
            <v>0</v>
          </cell>
          <cell r="T641">
            <v>3479732</v>
          </cell>
          <cell r="U641">
            <v>45445269</v>
          </cell>
          <cell r="V641">
            <v>1552155</v>
          </cell>
          <cell r="W641">
            <v>7.66</v>
          </cell>
        </row>
        <row r="642">
          <cell r="A642" t="str">
            <v>2010ID</v>
          </cell>
          <cell r="B642">
            <v>2010</v>
          </cell>
          <cell r="C642" t="str">
            <v>ID</v>
          </cell>
          <cell r="D642">
            <v>649759</v>
          </cell>
          <cell r="E642">
            <v>8136736</v>
          </cell>
          <cell r="F642">
            <v>664717</v>
          </cell>
          <cell r="G642">
            <v>7.99</v>
          </cell>
          <cell r="H642">
            <v>389390</v>
          </cell>
          <cell r="I642">
            <v>5864885</v>
          </cell>
          <cell r="J642">
            <v>101268</v>
          </cell>
          <cell r="K642">
            <v>6.64</v>
          </cell>
          <cell r="L642">
            <v>452704</v>
          </cell>
          <cell r="M642">
            <v>8796047</v>
          </cell>
          <cell r="N642">
            <v>26047</v>
          </cell>
          <cell r="O642">
            <v>5.15</v>
          </cell>
          <cell r="P642">
            <v>0</v>
          </cell>
          <cell r="Q642">
            <v>0</v>
          </cell>
          <cell r="R642">
            <v>0</v>
          </cell>
          <cell r="S642">
            <v>0</v>
          </cell>
          <cell r="T642">
            <v>1491853</v>
          </cell>
          <cell r="U642">
            <v>22797668</v>
          </cell>
          <cell r="V642">
            <v>792032</v>
          </cell>
          <cell r="W642">
            <v>6.54</v>
          </cell>
        </row>
        <row r="643">
          <cell r="A643" t="str">
            <v>2010IL</v>
          </cell>
          <cell r="B643">
            <v>2010</v>
          </cell>
          <cell r="C643" t="str">
            <v>IL</v>
          </cell>
          <cell r="D643">
            <v>5599019</v>
          </cell>
          <cell r="E643">
            <v>48582984</v>
          </cell>
          <cell r="F643">
            <v>5070056</v>
          </cell>
          <cell r="G643">
            <v>11.52</v>
          </cell>
          <cell r="H643">
            <v>4565265</v>
          </cell>
          <cell r="I643">
            <v>51437414</v>
          </cell>
          <cell r="J643">
            <v>578768</v>
          </cell>
          <cell r="K643">
            <v>8.8800000000000008</v>
          </cell>
          <cell r="L643">
            <v>3011060</v>
          </cell>
          <cell r="M643">
            <v>44180125</v>
          </cell>
          <cell r="N643">
            <v>5991</v>
          </cell>
          <cell r="O643">
            <v>6.82</v>
          </cell>
          <cell r="P643">
            <v>37630</v>
          </cell>
          <cell r="Q643">
            <v>560151</v>
          </cell>
          <cell r="R643">
            <v>4</v>
          </cell>
          <cell r="S643">
            <v>6.72</v>
          </cell>
          <cell r="T643">
            <v>13212973</v>
          </cell>
          <cell r="U643">
            <v>144760674</v>
          </cell>
          <cell r="V643">
            <v>5654819</v>
          </cell>
          <cell r="W643">
            <v>9.1300000000000008</v>
          </cell>
        </row>
        <row r="644">
          <cell r="A644" t="str">
            <v>2010IN</v>
          </cell>
          <cell r="B644">
            <v>2010</v>
          </cell>
          <cell r="C644" t="str">
            <v>IN</v>
          </cell>
          <cell r="D644">
            <v>3350355</v>
          </cell>
          <cell r="E644">
            <v>35058372</v>
          </cell>
          <cell r="F644">
            <v>2742789</v>
          </cell>
          <cell r="G644">
            <v>9.56</v>
          </cell>
          <cell r="H644">
            <v>2040756</v>
          </cell>
          <cell r="I644">
            <v>24364616</v>
          </cell>
          <cell r="J644">
            <v>341727</v>
          </cell>
          <cell r="K644">
            <v>8.3800000000000008</v>
          </cell>
          <cell r="L644">
            <v>2734471</v>
          </cell>
          <cell r="M644">
            <v>46551671</v>
          </cell>
          <cell r="N644">
            <v>18796</v>
          </cell>
          <cell r="O644">
            <v>5.87</v>
          </cell>
          <cell r="P644">
            <v>1816</v>
          </cell>
          <cell r="Q644">
            <v>19717</v>
          </cell>
          <cell r="R644">
            <v>1</v>
          </cell>
          <cell r="S644">
            <v>9.2100000000000009</v>
          </cell>
          <cell r="T644">
            <v>8127398</v>
          </cell>
          <cell r="U644">
            <v>105994376</v>
          </cell>
          <cell r="V644">
            <v>3103313</v>
          </cell>
          <cell r="W644">
            <v>7.67</v>
          </cell>
        </row>
        <row r="645">
          <cell r="A645" t="str">
            <v>2010KS</v>
          </cell>
          <cell r="B645">
            <v>2010</v>
          </cell>
          <cell r="C645" t="str">
            <v>KS</v>
          </cell>
          <cell r="D645">
            <v>1437102</v>
          </cell>
          <cell r="E645">
            <v>14334086</v>
          </cell>
          <cell r="F645">
            <v>1213036</v>
          </cell>
          <cell r="G645">
            <v>10.029999999999999</v>
          </cell>
          <cell r="H645">
            <v>1272739</v>
          </cell>
          <cell r="I645">
            <v>15435825</v>
          </cell>
          <cell r="J645">
            <v>220091</v>
          </cell>
          <cell r="K645">
            <v>8.25</v>
          </cell>
          <cell r="L645">
            <v>664062</v>
          </cell>
          <cell r="M645">
            <v>10650764</v>
          </cell>
          <cell r="N645">
            <v>23304</v>
          </cell>
          <cell r="O645">
            <v>6.23</v>
          </cell>
          <cell r="P645">
            <v>0</v>
          </cell>
          <cell r="Q645">
            <v>0</v>
          </cell>
          <cell r="R645">
            <v>0</v>
          </cell>
          <cell r="S645">
            <v>0</v>
          </cell>
          <cell r="T645">
            <v>3373903</v>
          </cell>
          <cell r="U645">
            <v>40420675</v>
          </cell>
          <cell r="V645">
            <v>1456431</v>
          </cell>
          <cell r="W645">
            <v>8.35</v>
          </cell>
        </row>
        <row r="646">
          <cell r="A646" t="str">
            <v>2010KY</v>
          </cell>
          <cell r="B646">
            <v>2010</v>
          </cell>
          <cell r="C646" t="str">
            <v>KY</v>
          </cell>
          <cell r="D646">
            <v>2496770</v>
          </cell>
          <cell r="E646">
            <v>29136518</v>
          </cell>
          <cell r="F646">
            <v>1930666</v>
          </cell>
          <cell r="G646">
            <v>8.57</v>
          </cell>
          <cell r="H646">
            <v>1529639</v>
          </cell>
          <cell r="I646">
            <v>19410547</v>
          </cell>
          <cell r="J646">
            <v>297050</v>
          </cell>
          <cell r="K646">
            <v>7.88</v>
          </cell>
          <cell r="L646">
            <v>2273807</v>
          </cell>
          <cell r="M646">
            <v>45022361</v>
          </cell>
          <cell r="N646">
            <v>7268</v>
          </cell>
          <cell r="O646">
            <v>5.05</v>
          </cell>
          <cell r="P646">
            <v>0</v>
          </cell>
          <cell r="Q646">
            <v>0</v>
          </cell>
          <cell r="R646">
            <v>0</v>
          </cell>
          <cell r="S646">
            <v>0</v>
          </cell>
          <cell r="T646">
            <v>6300216</v>
          </cell>
          <cell r="U646">
            <v>93569426</v>
          </cell>
          <cell r="V646">
            <v>2234984</v>
          </cell>
          <cell r="W646">
            <v>6.73</v>
          </cell>
        </row>
        <row r="647">
          <cell r="A647" t="str">
            <v>2010LA</v>
          </cell>
          <cell r="B647">
            <v>2010</v>
          </cell>
          <cell r="C647" t="str">
            <v>LA</v>
          </cell>
          <cell r="D647">
            <v>2935169</v>
          </cell>
          <cell r="E647">
            <v>32678931</v>
          </cell>
          <cell r="F647">
            <v>1973174</v>
          </cell>
          <cell r="G647">
            <v>8.98</v>
          </cell>
          <cell r="H647">
            <v>2057616</v>
          </cell>
          <cell r="I647">
            <v>24203161</v>
          </cell>
          <cell r="J647">
            <v>274177</v>
          </cell>
          <cell r="K647">
            <v>8.5</v>
          </cell>
          <cell r="L647">
            <v>1646496</v>
          </cell>
          <cell r="M647">
            <v>28186816</v>
          </cell>
          <cell r="N647">
            <v>18128</v>
          </cell>
          <cell r="O647">
            <v>5.84</v>
          </cell>
          <cell r="P647">
            <v>1020</v>
          </cell>
          <cell r="Q647">
            <v>10784</v>
          </cell>
          <cell r="R647">
            <v>23</v>
          </cell>
          <cell r="S647">
            <v>9.4600000000000009</v>
          </cell>
          <cell r="T647">
            <v>6640301</v>
          </cell>
          <cell r="U647">
            <v>85079692</v>
          </cell>
          <cell r="V647">
            <v>2265502</v>
          </cell>
          <cell r="W647">
            <v>7.8</v>
          </cell>
        </row>
        <row r="648">
          <cell r="A648" t="str">
            <v>2010MA</v>
          </cell>
          <cell r="B648">
            <v>2010</v>
          </cell>
          <cell r="C648" t="str">
            <v>MA</v>
          </cell>
          <cell r="D648">
            <v>3124528</v>
          </cell>
          <cell r="E648">
            <v>21409005</v>
          </cell>
          <cell r="F648">
            <v>2674717</v>
          </cell>
          <cell r="G648">
            <v>14.59</v>
          </cell>
          <cell r="H648">
            <v>2651047</v>
          </cell>
          <cell r="I648">
            <v>18243198</v>
          </cell>
          <cell r="J648">
            <v>379709</v>
          </cell>
          <cell r="K648">
            <v>14.53</v>
          </cell>
          <cell r="L648">
            <v>2346600</v>
          </cell>
          <cell r="M648">
            <v>17116157</v>
          </cell>
          <cell r="N648">
            <v>16162</v>
          </cell>
          <cell r="O648">
            <v>13.71</v>
          </cell>
          <cell r="P648">
            <v>22719</v>
          </cell>
          <cell r="Q648">
            <v>355062</v>
          </cell>
          <cell r="R648">
            <v>2</v>
          </cell>
          <cell r="S648">
            <v>6.4</v>
          </cell>
          <cell r="T648">
            <v>8144895</v>
          </cell>
          <cell r="U648">
            <v>57123422</v>
          </cell>
          <cell r="V648">
            <v>3070590</v>
          </cell>
          <cell r="W648">
            <v>14.26</v>
          </cell>
        </row>
        <row r="649">
          <cell r="A649" t="str">
            <v>2010MD</v>
          </cell>
          <cell r="B649">
            <v>2010</v>
          </cell>
          <cell r="C649" t="str">
            <v>MD</v>
          </cell>
          <cell r="D649">
            <v>4142935</v>
          </cell>
          <cell r="E649">
            <v>28934074</v>
          </cell>
          <cell r="F649">
            <v>2200368</v>
          </cell>
          <cell r="G649">
            <v>14.32</v>
          </cell>
          <cell r="H649">
            <v>3617033</v>
          </cell>
          <cell r="I649">
            <v>30771317</v>
          </cell>
          <cell r="J649">
            <v>244264</v>
          </cell>
          <cell r="K649">
            <v>11.75</v>
          </cell>
          <cell r="L649">
            <v>486917</v>
          </cell>
          <cell r="M649">
            <v>5083115</v>
          </cell>
          <cell r="N649">
            <v>8766</v>
          </cell>
          <cell r="O649">
            <v>9.58</v>
          </cell>
          <cell r="P649">
            <v>54099</v>
          </cell>
          <cell r="Q649">
            <v>546992</v>
          </cell>
          <cell r="R649">
            <v>5</v>
          </cell>
          <cell r="S649">
            <v>9.89</v>
          </cell>
          <cell r="T649">
            <v>8300984</v>
          </cell>
          <cell r="U649">
            <v>65335498</v>
          </cell>
          <cell r="V649">
            <v>2453403</v>
          </cell>
          <cell r="W649">
            <v>12.71</v>
          </cell>
        </row>
        <row r="650">
          <cell r="A650" t="str">
            <v>2010ME</v>
          </cell>
          <cell r="B650">
            <v>2010</v>
          </cell>
          <cell r="C650" t="str">
            <v>ME</v>
          </cell>
          <cell r="D650">
            <v>687037</v>
          </cell>
          <cell r="E650">
            <v>4371835</v>
          </cell>
          <cell r="F650">
            <v>699625</v>
          </cell>
          <cell r="G650">
            <v>15.72</v>
          </cell>
          <cell r="H650">
            <v>513227</v>
          </cell>
          <cell r="I650">
            <v>4100906</v>
          </cell>
          <cell r="J650">
            <v>88266</v>
          </cell>
          <cell r="K650">
            <v>12.52</v>
          </cell>
          <cell r="L650">
            <v>280544</v>
          </cell>
          <cell r="M650">
            <v>3058827</v>
          </cell>
          <cell r="N650">
            <v>2821</v>
          </cell>
          <cell r="O650">
            <v>9.17</v>
          </cell>
          <cell r="P650">
            <v>0</v>
          </cell>
          <cell r="Q650">
            <v>0</v>
          </cell>
          <cell r="R650">
            <v>0</v>
          </cell>
          <cell r="S650">
            <v>0</v>
          </cell>
          <cell r="T650">
            <v>1480808</v>
          </cell>
          <cell r="U650">
            <v>11531568</v>
          </cell>
          <cell r="V650">
            <v>790712</v>
          </cell>
          <cell r="W650">
            <v>12.84</v>
          </cell>
        </row>
        <row r="651">
          <cell r="A651" t="str">
            <v>2010MI</v>
          </cell>
          <cell r="B651">
            <v>2010</v>
          </cell>
          <cell r="C651" t="str">
            <v>MI</v>
          </cell>
          <cell r="D651">
            <v>4320775</v>
          </cell>
          <cell r="E651">
            <v>34680715</v>
          </cell>
          <cell r="F651">
            <v>4245158</v>
          </cell>
          <cell r="G651">
            <v>12.46</v>
          </cell>
          <cell r="H651">
            <v>3740718</v>
          </cell>
          <cell r="I651">
            <v>38123171</v>
          </cell>
          <cell r="J651">
            <v>520233</v>
          </cell>
          <cell r="K651">
            <v>9.81</v>
          </cell>
          <cell r="L651">
            <v>2183317</v>
          </cell>
          <cell r="M651">
            <v>30840513</v>
          </cell>
          <cell r="N651">
            <v>12827</v>
          </cell>
          <cell r="O651">
            <v>7.08</v>
          </cell>
          <cell r="P651">
            <v>513</v>
          </cell>
          <cell r="Q651">
            <v>4820</v>
          </cell>
          <cell r="R651">
            <v>1</v>
          </cell>
          <cell r="S651">
            <v>10.65</v>
          </cell>
          <cell r="T651">
            <v>10245323</v>
          </cell>
          <cell r="U651">
            <v>103649219</v>
          </cell>
          <cell r="V651">
            <v>4778219</v>
          </cell>
          <cell r="W651">
            <v>9.8800000000000008</v>
          </cell>
        </row>
        <row r="652">
          <cell r="A652" t="str">
            <v>2010MN</v>
          </cell>
          <cell r="B652">
            <v>2010</v>
          </cell>
          <cell r="C652" t="str">
            <v>MN</v>
          </cell>
          <cell r="D652">
            <v>2379113</v>
          </cell>
          <cell r="E652">
            <v>22464797</v>
          </cell>
          <cell r="F652">
            <v>2300291</v>
          </cell>
          <cell r="G652">
            <v>10.59</v>
          </cell>
          <cell r="H652">
            <v>1887110</v>
          </cell>
          <cell r="I652">
            <v>22515351</v>
          </cell>
          <cell r="J652">
            <v>276463</v>
          </cell>
          <cell r="K652">
            <v>8.3800000000000008</v>
          </cell>
          <cell r="L652">
            <v>1433278</v>
          </cell>
          <cell r="M652">
            <v>22797763</v>
          </cell>
          <cell r="N652">
            <v>10150</v>
          </cell>
          <cell r="O652">
            <v>6.29</v>
          </cell>
          <cell r="P652">
            <v>1693</v>
          </cell>
          <cell r="Q652">
            <v>21795</v>
          </cell>
          <cell r="R652">
            <v>1</v>
          </cell>
          <cell r="S652">
            <v>7.77</v>
          </cell>
          <cell r="T652">
            <v>5701194</v>
          </cell>
          <cell r="U652">
            <v>67799706</v>
          </cell>
          <cell r="V652">
            <v>2586905</v>
          </cell>
          <cell r="W652">
            <v>8.41</v>
          </cell>
        </row>
        <row r="653">
          <cell r="A653" t="str">
            <v>2010MO</v>
          </cell>
          <cell r="B653">
            <v>2010</v>
          </cell>
          <cell r="C653" t="str">
            <v>MO</v>
          </cell>
          <cell r="D653">
            <v>3385582</v>
          </cell>
          <cell r="E653">
            <v>37302279</v>
          </cell>
          <cell r="F653">
            <v>2695809</v>
          </cell>
          <cell r="G653">
            <v>9.08</v>
          </cell>
          <cell r="H653">
            <v>2358019</v>
          </cell>
          <cell r="I653">
            <v>31430653</v>
          </cell>
          <cell r="J653">
            <v>370955</v>
          </cell>
          <cell r="K653">
            <v>7.5</v>
          </cell>
          <cell r="L653">
            <v>953656</v>
          </cell>
          <cell r="M653">
            <v>17330169</v>
          </cell>
          <cell r="N653">
            <v>8899</v>
          </cell>
          <cell r="O653">
            <v>5.5</v>
          </cell>
          <cell r="P653">
            <v>1351</v>
          </cell>
          <cell r="Q653">
            <v>22016</v>
          </cell>
          <cell r="R653">
            <v>1</v>
          </cell>
          <cell r="S653">
            <v>6.14</v>
          </cell>
          <cell r="T653">
            <v>6698608</v>
          </cell>
          <cell r="U653">
            <v>86085117</v>
          </cell>
          <cell r="V653">
            <v>3075664</v>
          </cell>
          <cell r="W653">
            <v>7.78</v>
          </cell>
        </row>
        <row r="654">
          <cell r="A654" t="str">
            <v>2010MS</v>
          </cell>
          <cell r="B654">
            <v>2010</v>
          </cell>
          <cell r="C654" t="str">
            <v>MS</v>
          </cell>
          <cell r="D654">
            <v>1991612</v>
          </cell>
          <cell r="E654">
            <v>20174826</v>
          </cell>
          <cell r="F654">
            <v>1250149</v>
          </cell>
          <cell r="G654">
            <v>9.8699999999999992</v>
          </cell>
          <cell r="H654">
            <v>1285951</v>
          </cell>
          <cell r="I654">
            <v>13804962</v>
          </cell>
          <cell r="J654">
            <v>224517</v>
          </cell>
          <cell r="K654">
            <v>9.32</v>
          </cell>
          <cell r="L654">
            <v>992969</v>
          </cell>
          <cell r="M654">
            <v>15707378</v>
          </cell>
          <cell r="N654">
            <v>6797</v>
          </cell>
          <cell r="O654">
            <v>6.32</v>
          </cell>
          <cell r="P654">
            <v>0</v>
          </cell>
          <cell r="Q654">
            <v>0</v>
          </cell>
          <cell r="R654">
            <v>0</v>
          </cell>
          <cell r="S654">
            <v>0</v>
          </cell>
          <cell r="T654">
            <v>4270532</v>
          </cell>
          <cell r="U654">
            <v>49687166</v>
          </cell>
          <cell r="V654">
            <v>1481463</v>
          </cell>
          <cell r="W654">
            <v>8.59</v>
          </cell>
        </row>
        <row r="655">
          <cell r="A655" t="str">
            <v>2010MT</v>
          </cell>
          <cell r="B655">
            <v>2010</v>
          </cell>
          <cell r="C655" t="str">
            <v>MT</v>
          </cell>
          <cell r="D655">
            <v>434420</v>
          </cell>
          <cell r="E655">
            <v>4742794</v>
          </cell>
          <cell r="F655">
            <v>467878</v>
          </cell>
          <cell r="G655">
            <v>9.16</v>
          </cell>
          <cell r="H655">
            <v>409363</v>
          </cell>
          <cell r="I655">
            <v>4789182</v>
          </cell>
          <cell r="J655">
            <v>101129</v>
          </cell>
          <cell r="K655">
            <v>8.5500000000000007</v>
          </cell>
          <cell r="L655">
            <v>235469</v>
          </cell>
          <cell r="M655">
            <v>4239477</v>
          </cell>
          <cell r="N655">
            <v>5218</v>
          </cell>
          <cell r="O655">
            <v>5.55</v>
          </cell>
          <cell r="P655">
            <v>0</v>
          </cell>
          <cell r="Q655">
            <v>0</v>
          </cell>
          <cell r="R655">
            <v>0</v>
          </cell>
          <cell r="S655">
            <v>0</v>
          </cell>
          <cell r="T655">
            <v>1079252</v>
          </cell>
          <cell r="U655">
            <v>13771453</v>
          </cell>
          <cell r="V655">
            <v>574225</v>
          </cell>
          <cell r="W655">
            <v>7.84</v>
          </cell>
        </row>
        <row r="656">
          <cell r="A656" t="str">
            <v>2010NC</v>
          </cell>
          <cell r="B656">
            <v>2010</v>
          </cell>
          <cell r="C656" t="str">
            <v>NC</v>
          </cell>
          <cell r="D656">
            <v>6288493</v>
          </cell>
          <cell r="E656">
            <v>62160107</v>
          </cell>
          <cell r="F656">
            <v>4185540</v>
          </cell>
          <cell r="G656">
            <v>10.119999999999999</v>
          </cell>
          <cell r="H656">
            <v>3910578</v>
          </cell>
          <cell r="I656">
            <v>47931940</v>
          </cell>
          <cell r="J656">
            <v>644609</v>
          </cell>
          <cell r="K656">
            <v>8.16</v>
          </cell>
          <cell r="L656">
            <v>1623228</v>
          </cell>
          <cell r="M656">
            <v>26315850</v>
          </cell>
          <cell r="N656">
            <v>11016</v>
          </cell>
          <cell r="O656">
            <v>6.17</v>
          </cell>
          <cell r="P656">
            <v>500</v>
          </cell>
          <cell r="Q656">
            <v>7050</v>
          </cell>
          <cell r="R656">
            <v>8</v>
          </cell>
          <cell r="S656">
            <v>7.09</v>
          </cell>
          <cell r="T656">
            <v>11822798</v>
          </cell>
          <cell r="U656">
            <v>136414947</v>
          </cell>
          <cell r="V656">
            <v>4841173</v>
          </cell>
          <cell r="W656">
            <v>8.67</v>
          </cell>
        </row>
        <row r="657">
          <cell r="A657" t="str">
            <v>2010ND</v>
          </cell>
          <cell r="B657">
            <v>2010</v>
          </cell>
          <cell r="C657" t="str">
            <v>ND</v>
          </cell>
          <cell r="D657">
            <v>357052</v>
          </cell>
          <cell r="E657">
            <v>4392596</v>
          </cell>
          <cell r="F657">
            <v>326409</v>
          </cell>
          <cell r="G657">
            <v>8.1300000000000008</v>
          </cell>
          <cell r="H657">
            <v>340008</v>
          </cell>
          <cell r="I657">
            <v>4714115</v>
          </cell>
          <cell r="J657">
            <v>58568</v>
          </cell>
          <cell r="K657">
            <v>7.21</v>
          </cell>
          <cell r="L657">
            <v>223760</v>
          </cell>
          <cell r="M657">
            <v>3849552</v>
          </cell>
          <cell r="N657">
            <v>2641</v>
          </cell>
          <cell r="O657">
            <v>5.81</v>
          </cell>
          <cell r="P657">
            <v>0</v>
          </cell>
          <cell r="Q657">
            <v>0</v>
          </cell>
          <cell r="R657">
            <v>0</v>
          </cell>
          <cell r="S657">
            <v>0</v>
          </cell>
          <cell r="T657">
            <v>920820</v>
          </cell>
          <cell r="U657">
            <v>12956263</v>
          </cell>
          <cell r="V657">
            <v>387618</v>
          </cell>
          <cell r="W657">
            <v>7.11</v>
          </cell>
        </row>
        <row r="658">
          <cell r="A658" t="str">
            <v>2010NE</v>
          </cell>
          <cell r="B658">
            <v>2010</v>
          </cell>
          <cell r="C658" t="str">
            <v>NE</v>
          </cell>
          <cell r="D658">
            <v>903393</v>
          </cell>
          <cell r="E658">
            <v>10106673</v>
          </cell>
          <cell r="F658">
            <v>801101</v>
          </cell>
          <cell r="G658">
            <v>8.94</v>
          </cell>
          <cell r="H658">
            <v>727801</v>
          </cell>
          <cell r="I658">
            <v>9532438</v>
          </cell>
          <cell r="J658">
            <v>154015</v>
          </cell>
          <cell r="K658">
            <v>7.64</v>
          </cell>
          <cell r="L658">
            <v>612988</v>
          </cell>
          <cell r="M658">
            <v>10210349</v>
          </cell>
          <cell r="N658">
            <v>45032</v>
          </cell>
          <cell r="O658">
            <v>6</v>
          </cell>
          <cell r="P658">
            <v>0</v>
          </cell>
          <cell r="Q658">
            <v>0</v>
          </cell>
          <cell r="R658">
            <v>0</v>
          </cell>
          <cell r="S658">
            <v>0</v>
          </cell>
          <cell r="T658">
            <v>2244182</v>
          </cell>
          <cell r="U658">
            <v>29849460</v>
          </cell>
          <cell r="V658">
            <v>1000148</v>
          </cell>
          <cell r="W658">
            <v>7.52</v>
          </cell>
        </row>
        <row r="659">
          <cell r="A659" t="str">
            <v>2010NH</v>
          </cell>
          <cell r="B659">
            <v>2010</v>
          </cell>
          <cell r="C659" t="str">
            <v>NH</v>
          </cell>
          <cell r="D659">
            <v>732038</v>
          </cell>
          <cell r="E659">
            <v>4485469</v>
          </cell>
          <cell r="F659">
            <v>597411</v>
          </cell>
          <cell r="G659">
            <v>16.32</v>
          </cell>
          <cell r="H659">
            <v>635979</v>
          </cell>
          <cell r="I659">
            <v>4462438</v>
          </cell>
          <cell r="J659">
            <v>104612</v>
          </cell>
          <cell r="K659">
            <v>14.25</v>
          </cell>
          <cell r="L659">
            <v>247747</v>
          </cell>
          <cell r="M659">
            <v>1942167</v>
          </cell>
          <cell r="N659">
            <v>3495</v>
          </cell>
          <cell r="O659">
            <v>12.76</v>
          </cell>
          <cell r="P659">
            <v>0</v>
          </cell>
          <cell r="Q659">
            <v>0</v>
          </cell>
          <cell r="R659">
            <v>0</v>
          </cell>
          <cell r="S659">
            <v>0</v>
          </cell>
          <cell r="T659">
            <v>1615764</v>
          </cell>
          <cell r="U659">
            <v>10890074</v>
          </cell>
          <cell r="V659">
            <v>705518</v>
          </cell>
          <cell r="W659">
            <v>14.84</v>
          </cell>
        </row>
        <row r="660">
          <cell r="A660" t="str">
            <v>2010NJ</v>
          </cell>
          <cell r="B660">
            <v>2010</v>
          </cell>
          <cell r="C660" t="str">
            <v>NJ</v>
          </cell>
          <cell r="D660">
            <v>5021997</v>
          </cell>
          <cell r="E660">
            <v>30307268</v>
          </cell>
          <cell r="F660">
            <v>3454840</v>
          </cell>
          <cell r="G660">
            <v>16.57</v>
          </cell>
          <cell r="H660">
            <v>5571154</v>
          </cell>
          <cell r="I660">
            <v>40122547</v>
          </cell>
          <cell r="J660">
            <v>478687</v>
          </cell>
          <cell r="K660">
            <v>13.89</v>
          </cell>
          <cell r="L660">
            <v>995278</v>
          </cell>
          <cell r="M660">
            <v>8428639</v>
          </cell>
          <cell r="N660">
            <v>12960</v>
          </cell>
          <cell r="O660">
            <v>11.81</v>
          </cell>
          <cell r="P660">
            <v>37651</v>
          </cell>
          <cell r="Q660">
            <v>320973</v>
          </cell>
          <cell r="R660">
            <v>6</v>
          </cell>
          <cell r="S660">
            <v>11.73</v>
          </cell>
          <cell r="T660">
            <v>11626079</v>
          </cell>
          <cell r="U660">
            <v>79179427</v>
          </cell>
          <cell r="V660">
            <v>3946493</v>
          </cell>
          <cell r="W660">
            <v>14.68</v>
          </cell>
        </row>
        <row r="661">
          <cell r="A661" t="str">
            <v>2010NM</v>
          </cell>
          <cell r="B661">
            <v>2010</v>
          </cell>
          <cell r="C661" t="str">
            <v>NM</v>
          </cell>
          <cell r="D661">
            <v>710548</v>
          </cell>
          <cell r="E661">
            <v>6752473</v>
          </cell>
          <cell r="F661">
            <v>853811</v>
          </cell>
          <cell r="G661">
            <v>10.52</v>
          </cell>
          <cell r="H661">
            <v>772589</v>
          </cell>
          <cell r="I661">
            <v>9015729</v>
          </cell>
          <cell r="J661">
            <v>135580</v>
          </cell>
          <cell r="K661">
            <v>8.57</v>
          </cell>
          <cell r="L661">
            <v>400122</v>
          </cell>
          <cell r="M661">
            <v>6660142</v>
          </cell>
          <cell r="N661">
            <v>7259</v>
          </cell>
          <cell r="O661">
            <v>6.01</v>
          </cell>
          <cell r="P661">
            <v>0</v>
          </cell>
          <cell r="Q661">
            <v>0</v>
          </cell>
          <cell r="R661">
            <v>0</v>
          </cell>
          <cell r="S661">
            <v>0</v>
          </cell>
          <cell r="T661">
            <v>1883259</v>
          </cell>
          <cell r="U661">
            <v>22428344</v>
          </cell>
          <cell r="V661">
            <v>996650</v>
          </cell>
          <cell r="W661">
            <v>8.4</v>
          </cell>
        </row>
        <row r="662">
          <cell r="A662" t="str">
            <v>2010NV</v>
          </cell>
          <cell r="B662">
            <v>2010</v>
          </cell>
          <cell r="C662" t="str">
            <v>NV</v>
          </cell>
          <cell r="D662">
            <v>1435699</v>
          </cell>
          <cell r="E662">
            <v>11614669</v>
          </cell>
          <cell r="F662">
            <v>1058519</v>
          </cell>
          <cell r="G662">
            <v>12.36</v>
          </cell>
          <cell r="H662">
            <v>877691</v>
          </cell>
          <cell r="I662">
            <v>8969727</v>
          </cell>
          <cell r="J662">
            <v>154455</v>
          </cell>
          <cell r="K662">
            <v>9.7899999999999991</v>
          </cell>
          <cell r="L662">
            <v>971592</v>
          </cell>
          <cell r="M662">
            <v>13179708</v>
          </cell>
          <cell r="N662">
            <v>3484</v>
          </cell>
          <cell r="O662">
            <v>7.37</v>
          </cell>
          <cell r="P662">
            <v>798</v>
          </cell>
          <cell r="Q662">
            <v>8491</v>
          </cell>
          <cell r="R662">
            <v>18</v>
          </cell>
          <cell r="S662">
            <v>9.4</v>
          </cell>
          <cell r="T662">
            <v>3285779</v>
          </cell>
          <cell r="U662">
            <v>33772595</v>
          </cell>
          <cell r="V662">
            <v>1216476</v>
          </cell>
          <cell r="W662">
            <v>9.73</v>
          </cell>
        </row>
        <row r="663">
          <cell r="A663" t="str">
            <v>2010NY</v>
          </cell>
          <cell r="B663">
            <v>2010</v>
          </cell>
          <cell r="C663" t="str">
            <v>NY</v>
          </cell>
          <cell r="D663">
            <v>9547884</v>
          </cell>
          <cell r="E663">
            <v>50945648</v>
          </cell>
          <cell r="F663">
            <v>6954916</v>
          </cell>
          <cell r="G663">
            <v>18.739999999999998</v>
          </cell>
          <cell r="H663">
            <v>12601107</v>
          </cell>
          <cell r="I663">
            <v>77275676</v>
          </cell>
          <cell r="J663">
            <v>1038260</v>
          </cell>
          <cell r="K663">
            <v>16.309999999999999</v>
          </cell>
          <cell r="L663">
            <v>1184683</v>
          </cell>
          <cell r="M663">
            <v>13480462</v>
          </cell>
          <cell r="N663">
            <v>8364</v>
          </cell>
          <cell r="O663">
            <v>8.7899999999999991</v>
          </cell>
          <cell r="P663">
            <v>401507</v>
          </cell>
          <cell r="Q663">
            <v>2921787</v>
          </cell>
          <cell r="R663">
            <v>24</v>
          </cell>
          <cell r="S663">
            <v>13.74</v>
          </cell>
          <cell r="T663">
            <v>23735180</v>
          </cell>
          <cell r="U663">
            <v>144623573</v>
          </cell>
          <cell r="V663">
            <v>8001564</v>
          </cell>
          <cell r="W663">
            <v>16.41</v>
          </cell>
        </row>
        <row r="664">
          <cell r="A664" t="str">
            <v>2010OH</v>
          </cell>
          <cell r="B664">
            <v>2010</v>
          </cell>
          <cell r="C664" t="str">
            <v>OH</v>
          </cell>
          <cell r="D664">
            <v>6161970</v>
          </cell>
          <cell r="E664">
            <v>54474377</v>
          </cell>
          <cell r="F664">
            <v>4877229</v>
          </cell>
          <cell r="G664">
            <v>11.31</v>
          </cell>
          <cell r="H664">
            <v>4528123</v>
          </cell>
          <cell r="I664">
            <v>46525627</v>
          </cell>
          <cell r="J664">
            <v>612974</v>
          </cell>
          <cell r="K664">
            <v>9.73</v>
          </cell>
          <cell r="L664">
            <v>3397912</v>
          </cell>
          <cell r="M664">
            <v>53109368</v>
          </cell>
          <cell r="N664">
            <v>20693</v>
          </cell>
          <cell r="O664">
            <v>6.4</v>
          </cell>
          <cell r="P664">
            <v>3108</v>
          </cell>
          <cell r="Q664">
            <v>36046</v>
          </cell>
          <cell r="R664">
            <v>3</v>
          </cell>
          <cell r="S664">
            <v>8.6199999999999992</v>
          </cell>
          <cell r="T664">
            <v>14091113</v>
          </cell>
          <cell r="U664">
            <v>154145418</v>
          </cell>
          <cell r="V664">
            <v>5510899</v>
          </cell>
          <cell r="W664">
            <v>9.14</v>
          </cell>
        </row>
        <row r="665">
          <cell r="A665" t="str">
            <v>2010OK</v>
          </cell>
          <cell r="B665">
            <v>2010</v>
          </cell>
          <cell r="C665" t="str">
            <v>OK</v>
          </cell>
          <cell r="D665">
            <v>2164328</v>
          </cell>
          <cell r="E665">
            <v>23688861</v>
          </cell>
          <cell r="F665">
            <v>1660653</v>
          </cell>
          <cell r="G665">
            <v>9.14</v>
          </cell>
          <cell r="H665">
            <v>1415038</v>
          </cell>
          <cell r="I665">
            <v>19005132</v>
          </cell>
          <cell r="J665">
            <v>261932</v>
          </cell>
          <cell r="K665">
            <v>7.45</v>
          </cell>
          <cell r="L665">
            <v>810789</v>
          </cell>
          <cell r="M665">
            <v>15151987</v>
          </cell>
          <cell r="N665">
            <v>18356</v>
          </cell>
          <cell r="O665">
            <v>5.35</v>
          </cell>
          <cell r="P665">
            <v>0</v>
          </cell>
          <cell r="Q665">
            <v>0</v>
          </cell>
          <cell r="R665">
            <v>0</v>
          </cell>
          <cell r="S665">
            <v>0</v>
          </cell>
          <cell r="T665">
            <v>4390155</v>
          </cell>
          <cell r="U665">
            <v>57845980</v>
          </cell>
          <cell r="V665">
            <v>1940941</v>
          </cell>
          <cell r="W665">
            <v>7.59</v>
          </cell>
        </row>
        <row r="666">
          <cell r="A666" t="str">
            <v>2010OR</v>
          </cell>
          <cell r="B666">
            <v>2010</v>
          </cell>
          <cell r="C666" t="str">
            <v>OR</v>
          </cell>
          <cell r="D666">
            <v>1671727</v>
          </cell>
          <cell r="E666">
            <v>18838666</v>
          </cell>
          <cell r="F666">
            <v>1629076</v>
          </cell>
          <cell r="G666">
            <v>8.8699999999999992</v>
          </cell>
          <cell r="H666">
            <v>1173041</v>
          </cell>
          <cell r="I666">
            <v>15453588</v>
          </cell>
          <cell r="J666">
            <v>238450</v>
          </cell>
          <cell r="K666">
            <v>7.59</v>
          </cell>
          <cell r="L666">
            <v>631878</v>
          </cell>
          <cell r="M666">
            <v>11708420</v>
          </cell>
          <cell r="N666">
            <v>22638</v>
          </cell>
          <cell r="O666">
            <v>5.4</v>
          </cell>
          <cell r="P666">
            <v>1765</v>
          </cell>
          <cell r="Q666">
            <v>25271</v>
          </cell>
          <cell r="R666">
            <v>58</v>
          </cell>
          <cell r="S666">
            <v>6.99</v>
          </cell>
          <cell r="T666">
            <v>3478411</v>
          </cell>
          <cell r="U666">
            <v>46025945</v>
          </cell>
          <cell r="V666">
            <v>1890222</v>
          </cell>
          <cell r="W666">
            <v>7.56</v>
          </cell>
        </row>
        <row r="667">
          <cell r="A667" t="str">
            <v>2010PA</v>
          </cell>
          <cell r="B667">
            <v>2010</v>
          </cell>
          <cell r="C667" t="str">
            <v>PA</v>
          </cell>
          <cell r="D667">
            <v>7017223</v>
          </cell>
          <cell r="E667">
            <v>55252837</v>
          </cell>
          <cell r="F667">
            <v>5244278</v>
          </cell>
          <cell r="G667">
            <v>12.7</v>
          </cell>
          <cell r="H667">
            <v>4783808</v>
          </cell>
          <cell r="I667">
            <v>47366366</v>
          </cell>
          <cell r="J667">
            <v>678774</v>
          </cell>
          <cell r="K667">
            <v>10.1</v>
          </cell>
          <cell r="L667">
            <v>3480921</v>
          </cell>
          <cell r="M667">
            <v>45457627</v>
          </cell>
          <cell r="N667">
            <v>27293</v>
          </cell>
          <cell r="O667">
            <v>7.66</v>
          </cell>
          <cell r="P667">
            <v>70129</v>
          </cell>
          <cell r="Q667">
            <v>887138</v>
          </cell>
          <cell r="R667">
            <v>16</v>
          </cell>
          <cell r="S667">
            <v>7.91</v>
          </cell>
          <cell r="T667">
            <v>15352082</v>
          </cell>
          <cell r="U667">
            <v>148963968</v>
          </cell>
          <cell r="V667">
            <v>5950361</v>
          </cell>
          <cell r="W667">
            <v>10.31</v>
          </cell>
        </row>
        <row r="668">
          <cell r="A668" t="str">
            <v>2010RI</v>
          </cell>
          <cell r="B668">
            <v>2010</v>
          </cell>
          <cell r="C668" t="str">
            <v>RI</v>
          </cell>
          <cell r="D668">
            <v>496481</v>
          </cell>
          <cell r="E668">
            <v>3117808</v>
          </cell>
          <cell r="F668">
            <v>430623</v>
          </cell>
          <cell r="G668">
            <v>15.92</v>
          </cell>
          <cell r="H668">
            <v>483825</v>
          </cell>
          <cell r="I668">
            <v>3693289</v>
          </cell>
          <cell r="J668">
            <v>56664</v>
          </cell>
          <cell r="K668">
            <v>13.1</v>
          </cell>
          <cell r="L668">
            <v>113621</v>
          </cell>
          <cell r="M668">
            <v>960833</v>
          </cell>
          <cell r="N668">
            <v>1975</v>
          </cell>
          <cell r="O668">
            <v>11.83</v>
          </cell>
          <cell r="P668">
            <v>3748</v>
          </cell>
          <cell r="Q668">
            <v>27297</v>
          </cell>
          <cell r="R668">
            <v>1</v>
          </cell>
          <cell r="S668">
            <v>13.73</v>
          </cell>
          <cell r="T668">
            <v>1097676</v>
          </cell>
          <cell r="U668">
            <v>7799227</v>
          </cell>
          <cell r="V668">
            <v>489263</v>
          </cell>
          <cell r="W668">
            <v>14.07</v>
          </cell>
        </row>
        <row r="669">
          <cell r="A669" t="str">
            <v>2010SC</v>
          </cell>
          <cell r="B669">
            <v>2010</v>
          </cell>
          <cell r="C669" t="str">
            <v>SC</v>
          </cell>
          <cell r="D669">
            <v>3449574</v>
          </cell>
          <cell r="E669">
            <v>32852086</v>
          </cell>
          <cell r="F669">
            <v>2089302</v>
          </cell>
          <cell r="G669">
            <v>10.5</v>
          </cell>
          <cell r="H669">
            <v>1986442</v>
          </cell>
          <cell r="I669">
            <v>22320133</v>
          </cell>
          <cell r="J669">
            <v>340365</v>
          </cell>
          <cell r="K669">
            <v>8.9</v>
          </cell>
          <cell r="L669">
            <v>1567886</v>
          </cell>
          <cell r="M669">
            <v>27307074</v>
          </cell>
          <cell r="N669">
            <v>4477</v>
          </cell>
          <cell r="O669">
            <v>5.74</v>
          </cell>
          <cell r="P669">
            <v>0</v>
          </cell>
          <cell r="Q669">
            <v>0</v>
          </cell>
          <cell r="R669">
            <v>0</v>
          </cell>
          <cell r="S669">
            <v>0</v>
          </cell>
          <cell r="T669">
            <v>7003902</v>
          </cell>
          <cell r="U669">
            <v>82479293</v>
          </cell>
          <cell r="V669">
            <v>2434144</v>
          </cell>
          <cell r="W669">
            <v>8.49</v>
          </cell>
        </row>
        <row r="670">
          <cell r="A670" t="str">
            <v>2010SD</v>
          </cell>
          <cell r="B670">
            <v>2010</v>
          </cell>
          <cell r="C670" t="str">
            <v>SD</v>
          </cell>
          <cell r="D670">
            <v>415338</v>
          </cell>
          <cell r="E670">
            <v>4628123</v>
          </cell>
          <cell r="F670">
            <v>370566</v>
          </cell>
          <cell r="G670">
            <v>8.9700000000000006</v>
          </cell>
          <cell r="H670">
            <v>329832</v>
          </cell>
          <cell r="I670">
            <v>4367781</v>
          </cell>
          <cell r="J670">
            <v>66278</v>
          </cell>
          <cell r="K670">
            <v>7.55</v>
          </cell>
          <cell r="L670">
            <v>143156</v>
          </cell>
          <cell r="M670">
            <v>2360245</v>
          </cell>
          <cell r="N670">
            <v>3290</v>
          </cell>
          <cell r="O670">
            <v>6.07</v>
          </cell>
          <cell r="P670">
            <v>0</v>
          </cell>
          <cell r="Q670">
            <v>0</v>
          </cell>
          <cell r="R670">
            <v>0</v>
          </cell>
          <cell r="S670">
            <v>0</v>
          </cell>
          <cell r="T670">
            <v>888325</v>
          </cell>
          <cell r="U670">
            <v>11356149</v>
          </cell>
          <cell r="V670">
            <v>440134</v>
          </cell>
          <cell r="W670">
            <v>7.82</v>
          </cell>
        </row>
        <row r="671">
          <cell r="A671" t="str">
            <v>2010TN</v>
          </cell>
          <cell r="B671">
            <v>2010</v>
          </cell>
          <cell r="C671" t="str">
            <v>TN</v>
          </cell>
          <cell r="D671">
            <v>4172362</v>
          </cell>
          <cell r="E671">
            <v>45191027</v>
          </cell>
          <cell r="F671">
            <v>2704054</v>
          </cell>
          <cell r="G671">
            <v>9.23</v>
          </cell>
          <cell r="H671">
            <v>2838715</v>
          </cell>
          <cell r="I671">
            <v>29399025</v>
          </cell>
          <cell r="J671">
            <v>460404</v>
          </cell>
          <cell r="K671">
            <v>9.66</v>
          </cell>
          <cell r="L671">
            <v>1903857</v>
          </cell>
          <cell r="M671">
            <v>28929637</v>
          </cell>
          <cell r="N671">
            <v>2027</v>
          </cell>
          <cell r="O671">
            <v>6.58</v>
          </cell>
          <cell r="P671">
            <v>205</v>
          </cell>
          <cell r="Q671">
            <v>1848</v>
          </cell>
          <cell r="R671">
            <v>1</v>
          </cell>
          <cell r="S671">
            <v>11.09</v>
          </cell>
          <cell r="T671">
            <v>8915139</v>
          </cell>
          <cell r="U671">
            <v>103521537</v>
          </cell>
          <cell r="V671">
            <v>3166486</v>
          </cell>
          <cell r="W671">
            <v>8.61</v>
          </cell>
        </row>
        <row r="672">
          <cell r="A672" t="str">
            <v>2010TX</v>
          </cell>
          <cell r="B672">
            <v>2010</v>
          </cell>
          <cell r="C672" t="str">
            <v>TX</v>
          </cell>
          <cell r="D672">
            <v>15905877</v>
          </cell>
          <cell r="E672">
            <v>137161402</v>
          </cell>
          <cell r="F672">
            <v>9536778</v>
          </cell>
          <cell r="G672">
            <v>11.6</v>
          </cell>
          <cell r="H672">
            <v>11163356</v>
          </cell>
          <cell r="I672">
            <v>121467292</v>
          </cell>
          <cell r="J672">
            <v>1459667</v>
          </cell>
          <cell r="K672">
            <v>9.19</v>
          </cell>
          <cell r="L672">
            <v>6420039</v>
          </cell>
          <cell r="M672">
            <v>99754412</v>
          </cell>
          <cell r="N672">
            <v>127608</v>
          </cell>
          <cell r="O672">
            <v>6.44</v>
          </cell>
          <cell r="P672">
            <v>7311</v>
          </cell>
          <cell r="Q672">
            <v>74444</v>
          </cell>
          <cell r="R672">
            <v>3</v>
          </cell>
          <cell r="S672">
            <v>9.82</v>
          </cell>
          <cell r="T672">
            <v>33496583</v>
          </cell>
          <cell r="U672">
            <v>358457550</v>
          </cell>
          <cell r="V672">
            <v>11124056</v>
          </cell>
          <cell r="W672">
            <v>9.34</v>
          </cell>
        </row>
        <row r="673">
          <cell r="A673" t="str">
            <v>2010UT</v>
          </cell>
          <cell r="B673">
            <v>2010</v>
          </cell>
          <cell r="C673" t="str">
            <v>UT</v>
          </cell>
          <cell r="D673">
            <v>769145</v>
          </cell>
          <cell r="E673">
            <v>8834230</v>
          </cell>
          <cell r="F673">
            <v>936602</v>
          </cell>
          <cell r="G673">
            <v>8.7100000000000009</v>
          </cell>
          <cell r="H673">
            <v>741023</v>
          </cell>
          <cell r="I673">
            <v>10367847</v>
          </cell>
          <cell r="J673">
            <v>122340</v>
          </cell>
          <cell r="K673">
            <v>7.15</v>
          </cell>
          <cell r="L673">
            <v>434488</v>
          </cell>
          <cell r="M673">
            <v>8808211</v>
          </cell>
          <cell r="N673">
            <v>9431</v>
          </cell>
          <cell r="O673">
            <v>4.93</v>
          </cell>
          <cell r="P673">
            <v>2928</v>
          </cell>
          <cell r="Q673">
            <v>33713</v>
          </cell>
          <cell r="R673">
            <v>10</v>
          </cell>
          <cell r="S673">
            <v>8.69</v>
          </cell>
          <cell r="T673">
            <v>1947584</v>
          </cell>
          <cell r="U673">
            <v>28044001</v>
          </cell>
          <cell r="V673">
            <v>1068383</v>
          </cell>
          <cell r="W673">
            <v>6.94</v>
          </cell>
        </row>
        <row r="674">
          <cell r="A674" t="str">
            <v>2010VA</v>
          </cell>
          <cell r="B674">
            <v>2010</v>
          </cell>
          <cell r="C674" t="str">
            <v>VA</v>
          </cell>
          <cell r="D674">
            <v>5061603</v>
          </cell>
          <cell r="E674">
            <v>48438958</v>
          </cell>
          <cell r="F674">
            <v>3258959</v>
          </cell>
          <cell r="G674">
            <v>10.45</v>
          </cell>
          <cell r="H674">
            <v>3676236</v>
          </cell>
          <cell r="I674">
            <v>48036984</v>
          </cell>
          <cell r="J674">
            <v>419950</v>
          </cell>
          <cell r="K674">
            <v>7.65</v>
          </cell>
          <cell r="L674">
            <v>1141321</v>
          </cell>
          <cell r="M674">
            <v>17141224</v>
          </cell>
          <cell r="N674">
            <v>5380</v>
          </cell>
          <cell r="O674">
            <v>6.66</v>
          </cell>
          <cell r="P674">
            <v>14552</v>
          </cell>
          <cell r="Q674">
            <v>188969</v>
          </cell>
          <cell r="R674">
            <v>1</v>
          </cell>
          <cell r="S674">
            <v>7.7</v>
          </cell>
          <cell r="T674">
            <v>9893712</v>
          </cell>
          <cell r="U674">
            <v>113806135</v>
          </cell>
          <cell r="V674">
            <v>3684290</v>
          </cell>
          <cell r="W674">
            <v>8.69</v>
          </cell>
        </row>
        <row r="675">
          <cell r="A675" t="str">
            <v>2010VT</v>
          </cell>
          <cell r="B675">
            <v>2010</v>
          </cell>
          <cell r="C675" t="str">
            <v>VT</v>
          </cell>
          <cell r="D675">
            <v>331390</v>
          </cell>
          <cell r="E675">
            <v>2127935</v>
          </cell>
          <cell r="F675">
            <v>307839</v>
          </cell>
          <cell r="G675">
            <v>15.57</v>
          </cell>
          <cell r="H675">
            <v>271532</v>
          </cell>
          <cell r="I675">
            <v>2020937</v>
          </cell>
          <cell r="J675">
            <v>50620</v>
          </cell>
          <cell r="K675">
            <v>13.44</v>
          </cell>
          <cell r="L675">
            <v>137851</v>
          </cell>
          <cell r="M675">
            <v>1445961</v>
          </cell>
          <cell r="N675">
            <v>219</v>
          </cell>
          <cell r="O675">
            <v>9.5299999999999994</v>
          </cell>
          <cell r="P675">
            <v>0</v>
          </cell>
          <cell r="Q675">
            <v>0</v>
          </cell>
          <cell r="R675">
            <v>0</v>
          </cell>
          <cell r="S675">
            <v>0</v>
          </cell>
          <cell r="T675">
            <v>740774</v>
          </cell>
          <cell r="U675">
            <v>5594833</v>
          </cell>
          <cell r="V675">
            <v>358678</v>
          </cell>
          <cell r="W675">
            <v>13.24</v>
          </cell>
        </row>
        <row r="676">
          <cell r="A676" t="str">
            <v>2010WA</v>
          </cell>
          <cell r="B676">
            <v>2010</v>
          </cell>
          <cell r="C676" t="str">
            <v>WA</v>
          </cell>
          <cell r="D676">
            <v>2805591</v>
          </cell>
          <cell r="E676">
            <v>34906926</v>
          </cell>
          <cell r="F676">
            <v>2825281</v>
          </cell>
          <cell r="G676">
            <v>8.0399999999999991</v>
          </cell>
          <cell r="H676">
            <v>2125160</v>
          </cell>
          <cell r="I676">
            <v>28833281</v>
          </cell>
          <cell r="J676">
            <v>353330</v>
          </cell>
          <cell r="K676">
            <v>7.37</v>
          </cell>
          <cell r="L676">
            <v>1085311</v>
          </cell>
          <cell r="M676">
            <v>26632814</v>
          </cell>
          <cell r="N676">
            <v>27970</v>
          </cell>
          <cell r="O676">
            <v>4.08</v>
          </cell>
          <cell r="P676">
            <v>516</v>
          </cell>
          <cell r="Q676">
            <v>6949</v>
          </cell>
          <cell r="R676">
            <v>6</v>
          </cell>
          <cell r="S676">
            <v>7.42</v>
          </cell>
          <cell r="T676">
            <v>6016578</v>
          </cell>
          <cell r="U676">
            <v>90379970</v>
          </cell>
          <cell r="V676">
            <v>3206587</v>
          </cell>
          <cell r="W676">
            <v>6.66</v>
          </cell>
        </row>
        <row r="677">
          <cell r="A677" t="str">
            <v>2010WI</v>
          </cell>
          <cell r="B677">
            <v>2010</v>
          </cell>
          <cell r="C677" t="str">
            <v>WI</v>
          </cell>
          <cell r="D677">
            <v>2820621</v>
          </cell>
          <cell r="E677">
            <v>22299493</v>
          </cell>
          <cell r="F677">
            <v>2594698</v>
          </cell>
          <cell r="G677">
            <v>12.65</v>
          </cell>
          <cell r="H677">
            <v>2296381</v>
          </cell>
          <cell r="I677">
            <v>23001117</v>
          </cell>
          <cell r="J677">
            <v>338406</v>
          </cell>
          <cell r="K677">
            <v>9.98</v>
          </cell>
          <cell r="L677">
            <v>1606232</v>
          </cell>
          <cell r="M677">
            <v>23451807</v>
          </cell>
          <cell r="N677">
            <v>4496</v>
          </cell>
          <cell r="O677">
            <v>6.85</v>
          </cell>
          <cell r="P677">
            <v>0</v>
          </cell>
          <cell r="Q677">
            <v>0</v>
          </cell>
          <cell r="R677">
            <v>0</v>
          </cell>
          <cell r="S677">
            <v>0</v>
          </cell>
          <cell r="T677">
            <v>6723234</v>
          </cell>
          <cell r="U677">
            <v>68752417</v>
          </cell>
          <cell r="V677">
            <v>2937600</v>
          </cell>
          <cell r="W677">
            <v>9.7799999999999994</v>
          </cell>
        </row>
        <row r="678">
          <cell r="A678" t="str">
            <v>2010WV</v>
          </cell>
          <cell r="B678">
            <v>2010</v>
          </cell>
          <cell r="C678" t="str">
            <v>WV</v>
          </cell>
          <cell r="D678">
            <v>1094174</v>
          </cell>
          <cell r="E678">
            <v>12442583</v>
          </cell>
          <cell r="F678">
            <v>867948</v>
          </cell>
          <cell r="G678">
            <v>8.7899999999999991</v>
          </cell>
          <cell r="H678">
            <v>610027</v>
          </cell>
          <cell r="I678">
            <v>7961906</v>
          </cell>
          <cell r="J678">
            <v>137209</v>
          </cell>
          <cell r="K678">
            <v>7.66</v>
          </cell>
          <cell r="L678">
            <v>681014</v>
          </cell>
          <cell r="M678">
            <v>11622934</v>
          </cell>
          <cell r="N678">
            <v>12348</v>
          </cell>
          <cell r="O678">
            <v>5.86</v>
          </cell>
          <cell r="P678">
            <v>365</v>
          </cell>
          <cell r="Q678">
            <v>4380</v>
          </cell>
          <cell r="R678">
            <v>1</v>
          </cell>
          <cell r="S678">
            <v>8.33</v>
          </cell>
          <cell r="T678">
            <v>2385580</v>
          </cell>
          <cell r="U678">
            <v>32031803</v>
          </cell>
          <cell r="V678">
            <v>1017506</v>
          </cell>
          <cell r="W678">
            <v>7.45</v>
          </cell>
        </row>
        <row r="679">
          <cell r="A679" t="str">
            <v>2010WY</v>
          </cell>
          <cell r="B679">
            <v>2010</v>
          </cell>
          <cell r="C679" t="str">
            <v>WY</v>
          </cell>
          <cell r="D679">
            <v>239198</v>
          </cell>
          <cell r="E679">
            <v>2727201</v>
          </cell>
          <cell r="F679">
            <v>257447</v>
          </cell>
          <cell r="G679">
            <v>8.77</v>
          </cell>
          <cell r="H679">
            <v>320135</v>
          </cell>
          <cell r="I679">
            <v>4317140</v>
          </cell>
          <cell r="J679">
            <v>59642</v>
          </cell>
          <cell r="K679">
            <v>7.42</v>
          </cell>
          <cell r="L679">
            <v>501285</v>
          </cell>
          <cell r="M679">
            <v>10069117</v>
          </cell>
          <cell r="N679">
            <v>8933</v>
          </cell>
          <cell r="O679">
            <v>4.9800000000000004</v>
          </cell>
          <cell r="P679">
            <v>0</v>
          </cell>
          <cell r="Q679">
            <v>0</v>
          </cell>
          <cell r="R679">
            <v>0</v>
          </cell>
          <cell r="S679">
            <v>0</v>
          </cell>
          <cell r="T679">
            <v>1060618</v>
          </cell>
          <cell r="U679">
            <v>17113458</v>
          </cell>
          <cell r="V679">
            <v>326022</v>
          </cell>
          <cell r="W679">
            <v>6.2</v>
          </cell>
        </row>
        <row r="680">
          <cell r="A680" t="str">
            <v>2010US</v>
          </cell>
          <cell r="B680">
            <v>2010</v>
          </cell>
          <cell r="C680" t="str">
            <v>US</v>
          </cell>
          <cell r="D680">
            <v>166778041</v>
          </cell>
          <cell r="E680">
            <v>1445708403</v>
          </cell>
          <cell r="F680">
            <v>125717935</v>
          </cell>
          <cell r="G680">
            <v>11.54</v>
          </cell>
          <cell r="H680">
            <v>135553746</v>
          </cell>
          <cell r="I680">
            <v>1330199364</v>
          </cell>
          <cell r="J680">
            <v>17674338</v>
          </cell>
          <cell r="K680">
            <v>10.19</v>
          </cell>
          <cell r="L680">
            <v>65772007</v>
          </cell>
          <cell r="M680">
            <v>971221189</v>
          </cell>
          <cell r="N680">
            <v>747747</v>
          </cell>
          <cell r="O680">
            <v>6.77</v>
          </cell>
          <cell r="P680">
            <v>814346</v>
          </cell>
          <cell r="Q680">
            <v>7712412</v>
          </cell>
          <cell r="R680">
            <v>239</v>
          </cell>
          <cell r="S680">
            <v>10.56</v>
          </cell>
          <cell r="T680">
            <v>368918140</v>
          </cell>
          <cell r="U680">
            <v>3754841368</v>
          </cell>
          <cell r="V680">
            <v>144140259</v>
          </cell>
          <cell r="W680">
            <v>9.83</v>
          </cell>
        </row>
      </sheetData>
      <sheetData sheetId="1"/>
      <sheetData sheetId="2"/>
      <sheetData sheetId="3"/>
      <sheetData sheetId="4"/>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ETD_SF6 and CF4 from ETD_ US In"/>
    </sheetNames>
    <sheetDataSet>
      <sheetData sheetId="0">
        <row r="2">
          <cell r="B2">
            <v>1990</v>
          </cell>
          <cell r="C2">
            <v>1991</v>
          </cell>
          <cell r="D2">
            <v>1992</v>
          </cell>
          <cell r="E2">
            <v>1993</v>
          </cell>
          <cell r="F2">
            <v>1994</v>
          </cell>
          <cell r="G2">
            <v>1995</v>
          </cell>
          <cell r="H2">
            <v>1996</v>
          </cell>
          <cell r="I2">
            <v>1997</v>
          </cell>
          <cell r="J2">
            <v>1998</v>
          </cell>
          <cell r="K2">
            <v>1999</v>
          </cell>
          <cell r="L2">
            <v>2000</v>
          </cell>
          <cell r="M2">
            <v>2001</v>
          </cell>
          <cell r="N2">
            <v>2002</v>
          </cell>
          <cell r="O2">
            <v>2003</v>
          </cell>
          <cell r="P2">
            <v>2004</v>
          </cell>
          <cell r="Q2">
            <v>2005</v>
          </cell>
          <cell r="R2">
            <v>2006</v>
          </cell>
          <cell r="S2">
            <v>2007</v>
          </cell>
          <cell r="T2">
            <v>2008</v>
          </cell>
          <cell r="U2">
            <v>2009</v>
          </cell>
          <cell r="V2">
            <v>2010</v>
          </cell>
          <cell r="W2">
            <v>2011</v>
          </cell>
          <cell r="X2">
            <v>2012</v>
          </cell>
          <cell r="Y2">
            <v>2013</v>
          </cell>
          <cell r="Z2">
            <v>2014</v>
          </cell>
          <cell r="AA2">
            <v>2015</v>
          </cell>
          <cell r="AB2">
            <v>2016</v>
          </cell>
          <cell r="AC2">
            <v>2017</v>
          </cell>
          <cell r="AD2">
            <v>2018</v>
          </cell>
          <cell r="AE2">
            <v>2019</v>
          </cell>
          <cell r="AF2">
            <v>2020</v>
          </cell>
          <cell r="AG2">
            <v>2021</v>
          </cell>
          <cell r="AH2">
            <v>2022</v>
          </cell>
        </row>
        <row r="5">
          <cell r="B5">
            <v>24.7</v>
          </cell>
          <cell r="C5">
            <v>23.6</v>
          </cell>
          <cell r="D5">
            <v>23.6</v>
          </cell>
          <cell r="E5">
            <v>22.8</v>
          </cell>
          <cell r="F5">
            <v>21.5</v>
          </cell>
          <cell r="G5">
            <v>19.8</v>
          </cell>
          <cell r="H5">
            <v>18.100000000000001</v>
          </cell>
          <cell r="I5">
            <v>16.600000000000001</v>
          </cell>
          <cell r="J5">
            <v>14.1</v>
          </cell>
          <cell r="K5">
            <v>14.5</v>
          </cell>
          <cell r="L5">
            <v>14</v>
          </cell>
          <cell r="M5">
            <v>13.7</v>
          </cell>
          <cell r="N5">
            <v>13</v>
          </cell>
          <cell r="O5">
            <v>12.5</v>
          </cell>
          <cell r="P5">
            <v>12.2</v>
          </cell>
          <cell r="Q5">
            <v>11.9</v>
          </cell>
          <cell r="R5">
            <v>11</v>
          </cell>
          <cell r="S5">
            <v>10.199999999999999</v>
          </cell>
          <cell r="T5">
            <v>10.199999999999999</v>
          </cell>
          <cell r="U5">
            <v>9</v>
          </cell>
          <cell r="V5">
            <v>7.8</v>
          </cell>
          <cell r="W5">
            <v>7.1</v>
          </cell>
          <cell r="X5">
            <v>6.1</v>
          </cell>
          <cell r="Y5">
            <v>5.9</v>
          </cell>
          <cell r="Z5">
            <v>6</v>
          </cell>
          <cell r="AA5">
            <v>5.3</v>
          </cell>
          <cell r="AB5">
            <v>5.4</v>
          </cell>
          <cell r="AC5">
            <v>5.3</v>
          </cell>
          <cell r="AD5">
            <v>5</v>
          </cell>
          <cell r="AE5">
            <v>6.1</v>
          </cell>
          <cell r="AF5">
            <v>5.9</v>
          </cell>
          <cell r="AG5">
            <v>6</v>
          </cell>
          <cell r="AH5">
            <v>5.0999999999999996</v>
          </cell>
        </row>
      </sheetData>
    </sheetDataSet>
  </externalBook>
</externalLink>
</file>

<file path=xl/persons/person.xml><?xml version="1.0" encoding="utf-8"?>
<personList xmlns="http://schemas.microsoft.com/office/spreadsheetml/2018/threadedcomments" xmlns:x="http://schemas.openxmlformats.org/spreadsheetml/2006/main">
  <person displayName="Johanna Garfinkel" id="{F9C7C9E3-6DD6-4D8A-BE63-9044B7BB3C92}" userId="S::52271@icf.com::9dacad0f-1d25-4bf2-a247-671fb4423296" providerId="AD"/>
  <person displayName="Winicov, Meryl" id="{2100893E-ABB4-403D-BB1D-84D1418AE6BB}" userId="S::55593@icf.com::1bbb8cdf-fc16-4c78-b372-6bf15d66e717" providerId="AD"/>
</personList>
</file>

<file path=xl/theme/theme1.xml><?xml version="1.0" encoding="utf-8"?>
<a:theme xmlns:a="http://schemas.openxmlformats.org/drawingml/2006/main" name="ICF_Colors">
  <a:themeElements>
    <a:clrScheme name="ICF Blue">
      <a:dk1>
        <a:sysClr val="windowText" lastClr="000000"/>
      </a:dk1>
      <a:lt1>
        <a:sysClr val="window" lastClr="FFFFFF"/>
      </a:lt1>
      <a:dk2>
        <a:srgbClr val="00538B"/>
      </a:dk2>
      <a:lt2>
        <a:srgbClr val="D8E0E3"/>
      </a:lt2>
      <a:accent1>
        <a:srgbClr val="00538B"/>
      </a:accent1>
      <a:accent2>
        <a:srgbClr val="00A2E0"/>
      </a:accent2>
      <a:accent3>
        <a:srgbClr val="00AFAA"/>
      </a:accent3>
      <a:accent4>
        <a:srgbClr val="69C14C"/>
      </a:accent4>
      <a:accent5>
        <a:srgbClr val="F29934"/>
      </a:accent5>
      <a:accent6>
        <a:srgbClr val="E1085A"/>
      </a:accent6>
      <a:hlink>
        <a:srgbClr val="0000FF"/>
      </a:hlink>
      <a:folHlink>
        <a:srgbClr val="800080"/>
      </a:folHlink>
    </a:clrScheme>
    <a:fontScheme name="Office Classic 2">
      <a:majorFont>
        <a:latin typeface="Arial"/>
        <a:ea typeface=""/>
        <a:cs typeface=""/>
        <a:font script="Jpan" typeface="ＭＳ Ｐゴシック"/>
        <a:font script="Hang" typeface="굴림"/>
        <a:font script="Hans" typeface="黑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ajorFont>
      <a:minorFont>
        <a:latin typeface="Arial"/>
        <a:ea typeface=""/>
        <a:cs typeface=""/>
        <a:font script="Jpan" typeface="ＭＳ Ｐゴシック"/>
        <a:font script="Hang" typeface="굴림"/>
        <a:font script="Hans" typeface="黑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noFill/>
        <a:ln w="12700" cmpd="sng">
          <a:solidFill>
            <a:schemeClr val="accent1"/>
          </a:solidFill>
        </a:ln>
        <a:effectLst/>
      </a:spPr>
      <a:bodyPr rot="0" spcFirstLastPara="0" vertOverflow="overflow" horzOverflow="overflow" vert="horz" wrap="square" lIns="91440" tIns="45720" rIns="91440" bIns="45720" numCol="1" spcCol="0" rtlCol="0" fromWordArt="0" anchor="ctr" anchorCtr="0" forceAA="0" compatLnSpc="1">
        <a:prstTxWarp prst="textNoShape">
          <a:avLst/>
        </a:prstTxWarp>
        <a:noAutofit/>
      </a:bodyPr>
      <a:lstStyle>
        <a:defPPr algn="ctr">
          <a:defRPr/>
        </a:defPPr>
      </a:lstStyle>
      <a:style>
        <a:lnRef idx="2">
          <a:schemeClr val="accent2"/>
        </a:lnRef>
        <a:fillRef idx="1">
          <a:schemeClr val="lt1"/>
        </a:fillRef>
        <a:effectRef idx="0">
          <a:schemeClr val="accent2"/>
        </a:effectRef>
        <a:fontRef idx="minor">
          <a:schemeClr val="dk1"/>
        </a:fontRef>
      </a:style>
    </a:spDef>
    <a:lnDef>
      <a:spPr>
        <a:ln>
          <a:solidFill>
            <a:schemeClr val="accent1"/>
          </a:solidFill>
        </a:ln>
      </a:spPr>
      <a:bodyPr/>
      <a:lstStyle/>
      <a:style>
        <a:lnRef idx="1">
          <a:schemeClr val="accent2"/>
        </a:lnRef>
        <a:fillRef idx="0">
          <a:schemeClr val="accent2"/>
        </a:fillRef>
        <a:effectRef idx="0">
          <a:schemeClr val="accent2"/>
        </a:effectRef>
        <a:fontRef idx="minor">
          <a:schemeClr val="tx1"/>
        </a:fontRef>
      </a:style>
    </a:lnDef>
    <a:txDef>
      <a:spPr/>
      <a:bodyPr wrap="square" lIns="0" tIns="0" rIns="0" bIns="0" rtlCol="0">
        <a:noAutofit/>
      </a:bodyPr>
      <a:lstStyle>
        <a:defPPr marL="0" indent="0">
          <a:spcBef>
            <a:spcPts val="1200"/>
          </a:spcBef>
          <a:spcAft>
            <a:spcPts val="0"/>
          </a:spcAft>
          <a:buNone/>
          <a:defRPr sz="1600" dirty="0" err="1" smtClean="0"/>
        </a:defPPr>
      </a:lstStyle>
    </a:txDef>
  </a:objectDefaults>
  <a:extraClrSchemeLst/>
</a:theme>
</file>

<file path=xl/threadedComments/threadedComment1.xml><?xml version="1.0" encoding="utf-8"?>
<ThreadedComments xmlns="http://schemas.microsoft.com/office/spreadsheetml/2018/threadedcomments" xmlns:x="http://schemas.openxmlformats.org/spreadsheetml/2006/main">
  <threadedComment ref="E8" dT="2024-07-11T16:19:42.29" personId="{F9C7C9E3-6DD6-4D8A-BE63-9044B7BB3C92}" id="{6C55E966-5518-445B-AC92-6324E79467A8}">
    <text>Last year's inventory file had NO for CF4 emissions, but there were estimated emissions in this year's file</text>
  </threadedComment>
  <threadedComment ref="F8" dT="2024-07-11T16:20:20.44" personId="{F9C7C9E3-6DD6-4D8A-BE63-9044B7BB3C92}" id="{F4C62D57-C448-4682-9D5F-40E3A7765A4F}">
    <text>SF6 emissions are the difference between total and CF4, so this is the negative of the CF4 discrepancy</text>
  </threadedComment>
  <threadedComment ref="K8" dT="2024-07-11T17:23:05.05" personId="{F9C7C9E3-6DD6-4D8A-BE63-9044B7BB3C92}" id="{A8ADC6E5-0E95-4266-AFDB-80CB5A678107}">
    <text>CF4 and SF6 emissions estimates (kt) have more sig figs this year</text>
  </threadedComment>
  <threadedComment ref="M8" dT="2024-07-11T17:23:22.75" personId="{F9C7C9E3-6DD6-4D8A-BE63-9044B7BB3C92}" id="{0CD181C4-78FB-4FE9-A74C-69C75C433013}">
    <text>Total emissions estimates changed from last year's national inventory</text>
  </threadedComment>
  <threadedComment ref="Q8" dT="2024-07-11T17:23:05.05" personId="{F9C7C9E3-6DD6-4D8A-BE63-9044B7BB3C92}" id="{938586E8-0DB4-43E6-B62F-AC196AD62BBC}">
    <text>CF4 and SF6 emissions estimates (kt) have more sig figs this year</text>
  </threadedComment>
  <threadedComment ref="W8" dT="2024-07-11T17:23:05.05" personId="{F9C7C9E3-6DD6-4D8A-BE63-9044B7BB3C92}" id="{0EEC163C-E2D4-4941-AC46-08A18ABDEC5B}">
    <text>CF4 and SF6 emissions estimates (kt) have more sig figs this year</text>
  </threadedComment>
  <threadedComment ref="AI8" dT="2024-07-11T17:23:05.05" personId="{F9C7C9E3-6DD6-4D8A-BE63-9044B7BB3C92}" id="{58C7B352-E952-46C9-8A91-5A81F52341F6}">
    <text>CF4 and SF6 emissions estimates (kt) have more sig figs this year</text>
  </threadedComment>
  <threadedComment ref="AK8" dT="2024-07-11T17:23:22.75" personId="{F9C7C9E3-6DD6-4D8A-BE63-9044B7BB3C92}" id="{3C5EAA58-71EF-4D3F-935D-DCB015DB6DB7}">
    <text>Total emissions estimates changed from last year's national inventory</text>
  </threadedComment>
  <threadedComment ref="AO8" dT="2024-07-11T17:23:05.05" personId="{F9C7C9E3-6DD6-4D8A-BE63-9044B7BB3C92}" id="{0C089447-D4B1-4C79-B9CA-7581DC581682}">
    <text>CF4 and SF6 emissions estimates (kt) have more sig figs this year</text>
  </threadedComment>
  <threadedComment ref="AQ8" dT="2024-07-11T17:23:22.75" personId="{F9C7C9E3-6DD6-4D8A-BE63-9044B7BB3C92}" id="{0B358CDE-D8D1-49CD-8EB2-4E74CB0CA798}">
    <text>Total emissions estimates changed from last year's national inventory</text>
  </threadedComment>
  <threadedComment ref="AV8" dT="2024-07-11T17:23:05.05" personId="{F9C7C9E3-6DD6-4D8A-BE63-9044B7BB3C92}" id="{4C21064E-A6CA-49DE-9A3F-90EE45737B30}">
    <text>CF4 and SF6 emissions estimates (kt) have more sig figs this year</text>
  </threadedComment>
  <threadedComment ref="AW8" dT="2024-07-11T17:23:22.75" personId="{F9C7C9E3-6DD6-4D8A-BE63-9044B7BB3C92}" id="{6C07F939-8B58-4FB8-9619-7D33AB9F8ACD}">
    <text>Total emissions estimates changed from last year's national inventory</text>
  </threadedComment>
  <threadedComment ref="BA8" dT="2024-07-11T17:23:05.05" personId="{F9C7C9E3-6DD6-4D8A-BE63-9044B7BB3C92}" id="{1E515ED8-679C-4088-B9BA-676C8446573F}">
    <text>CF4 and SF6 emissions estimates (kt) have more sig figs this year</text>
  </threadedComment>
  <threadedComment ref="BG8" dT="2024-07-11T17:23:05.05" personId="{F9C7C9E3-6DD6-4D8A-BE63-9044B7BB3C92}" id="{3EF5B684-32AB-42C4-822D-2EECC8345484}">
    <text>CF4 and SF6 emissions estimates (kt) have more sig figs this year</text>
  </threadedComment>
  <threadedComment ref="BM8" dT="2024-07-11T17:23:05.05" personId="{F9C7C9E3-6DD6-4D8A-BE63-9044B7BB3C92}" id="{32B4D343-4731-49A3-B6B0-A8F60337A7C9}">
    <text>CF4 and SF6 emissions estimates (kt) have more sig figs this year</text>
  </threadedComment>
  <threadedComment ref="A9" dT="2024-07-11T17:29:54.27" personId="{F9C7C9E3-6DD6-4D8A-BE63-9044B7BB3C92}" id="{DA663C9B-58C9-4D10-B7D9-5806F069141A}">
    <text>See below</text>
  </threadedComment>
  <threadedComment ref="G9" dT="2024-07-11T16:17:30.70" personId="{F9C7C9E3-6DD6-4D8A-BE63-9044B7BB3C92}" id="{34E432BE-F336-4C32-96C6-71906CBFDCD1}">
    <text>See below</text>
  </threadedComment>
  <threadedComment ref="B19" dT="2024-07-11T16:10:52.22" personId="{F9C7C9E3-6DD6-4D8A-BE63-9044B7BB3C92}" id="{CCA538A6-0444-464E-891F-B599CDBFFDCA}">
    <text>1990 hot+humid population is an estimate based on later years and changes with the addition of new years</text>
  </threadedComment>
  <threadedComment ref="C19" dT="2024-07-11T17:27:30.67" personId="{F9C7C9E3-6DD6-4D8A-BE63-9044B7BB3C92}" id="{B2DDE0C0-C672-477B-99BF-E662B25E525A}">
    <text>Corrected 2000-2021 HI population</text>
  </threadedComment>
  <threadedComment ref="E19" dT="2024-07-11T17:27:30.67" personId="{F9C7C9E3-6DD6-4D8A-BE63-9044B7BB3C92}" id="{067B0344-0B0E-45BB-8B7B-E3B634159BD3}">
    <text>Corrected 2000-2021 HI population and 2010-2019 hot+humid population</text>
  </threadedComment>
  <threadedComment ref="C20" dT="2024-07-11T17:32:35.05" personId="{F9C7C9E3-6DD6-4D8A-BE63-9044B7BB3C92}" id="{EFE06D19-15A9-4E03-9D5E-EDA91FBE62DF}">
    <text>2005-2021 total US emissions were updated in this year's national inventory</text>
  </threadedComment>
</ThreadedComments>
</file>

<file path=xl/threadedComments/threadedComment2.xml><?xml version="1.0" encoding="utf-8"?>
<ThreadedComments xmlns="http://schemas.microsoft.com/office/spreadsheetml/2018/threadedcomments" xmlns:x="http://schemas.openxmlformats.org/spreadsheetml/2006/main">
  <threadedComment ref="E152" dT="2023-07-21T03:13:38.30" personId="{2100893E-ABB4-403D-BB1D-84D1418AE6BB}" id="{FE2FFA55-FDC7-43C5-8DED-07D05CA6F68D}">
    <text>Note: SF6 emissions (MMTCO2e) are calculated by taking the difference of CF4 emissions (MMTCO2e) converted from CF4 emissions (kt) via GWP and total ETD emissions (MMTCO2e) due to differences in significant figures between the US combined total (MMTCO2e) and the emissions by gas (kt).</text>
  </threadedComment>
</ThreadedComments>
</file>

<file path=xl/threadedComments/threadedComment3.xml><?xml version="1.0" encoding="utf-8"?>
<ThreadedComments xmlns="http://schemas.microsoft.com/office/spreadsheetml/2018/threadedcomments" xmlns:x="http://schemas.openxmlformats.org/spreadsheetml/2006/main">
  <threadedComment ref="A59" dT="2023-07-05T18:18:48.32" personId="{2100893E-ABB4-403D-BB1D-84D1418AE6BB}" id="{74783603-47C3-4161-B6C2-8DAA88B425F9}">
    <text>Added this table to derive ref % in row 48 above. New as of July 2023.</text>
  </threadedComment>
</ThreadedComments>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7.bin"/></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8.bin"/><Relationship Id="rId4" Type="http://schemas.openxmlformats.org/officeDocument/2006/relationships/comments" Target="../comments3.xml"/></Relationships>
</file>

<file path=xl/worksheets/_rels/sheet12.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printerSettings" Target="../printerSettings/printerSettings9.bin"/><Relationship Id="rId1" Type="http://schemas.openxmlformats.org/officeDocument/2006/relationships/hyperlink" Target="http://dbedt.hawaii.gov/economic/databook/" TargetMode="External"/><Relationship Id="rId5" Type="http://schemas.microsoft.com/office/2017/10/relationships/threadedComment" Target="../threadedComments/threadedComment2.xml"/><Relationship Id="rId4" Type="http://schemas.openxmlformats.org/officeDocument/2006/relationships/comments" Target="../comments4.xml"/></Relationships>
</file>

<file path=xl/worksheets/_rels/sheet13.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10.bin"/><Relationship Id="rId4" Type="http://schemas.microsoft.com/office/2017/10/relationships/threadedComment" Target="../threadedComments/threadedComment3.xml"/></Relationships>
</file>

<file path=xl/worksheets/_rels/sheet14.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11.bin"/></Relationships>
</file>

<file path=xl/worksheets/_rels/sheet15.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2.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0.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7.xml"/><Relationship Id="rId1" Type="http://schemas.openxmlformats.org/officeDocument/2006/relationships/printerSettings" Target="../printerSettings/printerSettings16.bin"/><Relationship Id="rId4" Type="http://schemas.openxmlformats.org/officeDocument/2006/relationships/comments" Target="../comments7.xml"/></Relationships>
</file>

<file path=xl/worksheets/_rels/sheet3.xml.rels><?xml version="1.0" encoding="UTF-8" standalone="yes"?>
<Relationships xmlns="http://schemas.openxmlformats.org/package/2006/relationships"><Relationship Id="rId3" Type="http://schemas.microsoft.com/office/2017/10/relationships/threadedComment" Target="../threadedComments/threadedComment1.xml"/><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E28"/>
  <sheetViews>
    <sheetView workbookViewId="0"/>
  </sheetViews>
  <sheetFormatPr defaultColWidth="8.5703125" defaultRowHeight="12.75"/>
  <cols>
    <col min="1" max="1" width="2" style="253" customWidth="1"/>
    <col min="2" max="2" width="24" style="253" customWidth="1"/>
    <col min="3" max="3" width="108.28515625" style="253" customWidth="1"/>
    <col min="4" max="5" width="14.42578125" style="253" customWidth="1"/>
    <col min="6" max="16384" width="8.5703125" style="253"/>
  </cols>
  <sheetData>
    <row r="1" spans="2:5" ht="13.5" thickBot="1"/>
    <row r="2" spans="2:5" ht="18.75" thickBot="1">
      <c r="B2" s="589" t="s">
        <v>0</v>
      </c>
      <c r="C2" s="590"/>
      <c r="D2" s="430" t="s">
        <v>1</v>
      </c>
      <c r="E2" s="431" t="s">
        <v>2</v>
      </c>
    </row>
    <row r="3" spans="2:5" ht="18" customHeight="1">
      <c r="B3" s="254" t="s">
        <v>3</v>
      </c>
      <c r="C3" s="427" t="s">
        <v>4</v>
      </c>
      <c r="D3" s="424"/>
      <c r="E3" s="255"/>
    </row>
    <row r="4" spans="2:5" ht="18" customHeight="1">
      <c r="B4" s="254" t="s">
        <v>5</v>
      </c>
      <c r="C4" s="428" t="s">
        <v>6</v>
      </c>
      <c r="D4" s="425"/>
      <c r="E4" s="256"/>
    </row>
    <row r="5" spans="2:5" ht="18" customHeight="1">
      <c r="B5" s="254" t="s">
        <v>7</v>
      </c>
      <c r="C5" s="423" t="s">
        <v>8</v>
      </c>
      <c r="D5" s="425"/>
      <c r="E5" s="256"/>
    </row>
    <row r="6" spans="2:5" ht="18" customHeight="1" thickBot="1">
      <c r="B6" s="257" t="s">
        <v>9</v>
      </c>
      <c r="C6" s="429" t="s">
        <v>10</v>
      </c>
      <c r="D6" s="426"/>
      <c r="E6" s="258"/>
    </row>
    <row r="8" spans="2:5" ht="13.5" thickBot="1"/>
    <row r="9" spans="2:5" ht="18">
      <c r="B9" s="591" t="s">
        <v>11</v>
      </c>
      <c r="C9" s="592"/>
    </row>
    <row r="10" spans="2:5" ht="16.5" thickBot="1">
      <c r="B10" s="259" t="s">
        <v>12</v>
      </c>
      <c r="C10" s="260" t="s">
        <v>13</v>
      </c>
    </row>
    <row r="11" spans="2:5" ht="14.25" customHeight="1">
      <c r="B11" s="254" t="s">
        <v>14</v>
      </c>
      <c r="C11" s="261" t="s">
        <v>15</v>
      </c>
    </row>
    <row r="12" spans="2:5" ht="14.25" customHeight="1">
      <c r="B12" s="254" t="s">
        <v>16</v>
      </c>
      <c r="C12" s="261" t="s">
        <v>17</v>
      </c>
    </row>
    <row r="13" spans="2:5" ht="14.25" customHeight="1">
      <c r="B13" s="254" t="s">
        <v>18</v>
      </c>
      <c r="C13" s="261" t="s">
        <v>19</v>
      </c>
    </row>
    <row r="14" spans="2:5" ht="14.25" customHeight="1">
      <c r="B14" s="254" t="s">
        <v>20</v>
      </c>
      <c r="C14" s="261" t="s">
        <v>21</v>
      </c>
    </row>
    <row r="15" spans="2:5" ht="14.25" customHeight="1">
      <c r="B15" s="254" t="s">
        <v>22</v>
      </c>
      <c r="C15" s="261" t="s">
        <v>23</v>
      </c>
    </row>
    <row r="16" spans="2:5" ht="14.25" customHeight="1">
      <c r="B16" s="254" t="s">
        <v>24</v>
      </c>
      <c r="C16" s="261" t="s">
        <v>25</v>
      </c>
    </row>
    <row r="17" spans="1:3" ht="14.25" customHeight="1">
      <c r="B17" s="254" t="s">
        <v>26</v>
      </c>
      <c r="C17" s="261" t="s">
        <v>27</v>
      </c>
    </row>
    <row r="18" spans="1:3" ht="14.25" customHeight="1">
      <c r="B18" s="254" t="s">
        <v>28</v>
      </c>
      <c r="C18" s="261" t="s">
        <v>29</v>
      </c>
    </row>
    <row r="19" spans="1:3" ht="14.25" customHeight="1">
      <c r="B19" s="267" t="s">
        <v>30</v>
      </c>
      <c r="C19" s="261" t="s">
        <v>31</v>
      </c>
    </row>
    <row r="20" spans="1:3" ht="14.25" customHeight="1">
      <c r="B20" s="267" t="s">
        <v>32</v>
      </c>
      <c r="C20" s="261" t="s">
        <v>33</v>
      </c>
    </row>
    <row r="21" spans="1:3" ht="14.25" customHeight="1" thickBot="1">
      <c r="B21" s="357" t="s">
        <v>34</v>
      </c>
      <c r="C21" s="358" t="s">
        <v>35</v>
      </c>
    </row>
    <row r="22" spans="1:3" s="355" customFormat="1" ht="14.25" hidden="1" customHeight="1">
      <c r="B22" s="356" t="s">
        <v>36</v>
      </c>
      <c r="C22" s="261" t="s">
        <v>37</v>
      </c>
    </row>
    <row r="23" spans="1:3" s="355" customFormat="1" ht="14.25" hidden="1" customHeight="1" thickBot="1">
      <c r="B23" s="357" t="s">
        <v>38</v>
      </c>
      <c r="C23" s="358" t="s">
        <v>39</v>
      </c>
    </row>
    <row r="25" spans="1:3" ht="13.5" thickBot="1"/>
    <row r="26" spans="1:3" ht="18">
      <c r="B26" s="265" t="s">
        <v>40</v>
      </c>
      <c r="C26" s="266"/>
    </row>
    <row r="27" spans="1:3">
      <c r="A27" s="269"/>
      <c r="B27" s="264" t="s">
        <v>41</v>
      </c>
      <c r="C27" s="262" t="s">
        <v>42</v>
      </c>
    </row>
    <row r="28" spans="1:3" ht="13.5" thickBot="1">
      <c r="A28" s="269"/>
      <c r="B28" s="268" t="s">
        <v>43</v>
      </c>
      <c r="C28" s="263"/>
    </row>
  </sheetData>
  <mergeCells count="2">
    <mergeCell ref="B2:C2"/>
    <mergeCell ref="B9:C9"/>
  </mergeCells>
  <hyperlinks>
    <hyperlink ref="B11" location="'IPPU Summary'!A1" display="'IPPU Summary'!A1" xr:uid="{00000000-0004-0000-0100-000000000000}"/>
    <hyperlink ref="B13" location="Cement!A1" display="Cement!A1" xr:uid="{00000000-0004-0000-0100-000001000000}"/>
    <hyperlink ref="B14" location="'ODS Subs'!A1" display="'ODS Subs'!A1" xr:uid="{00000000-0004-0000-0100-000002000000}"/>
    <hyperlink ref="B15" location="'Electrical T&amp;D'!A1" display="'Electrical T&amp;D'!A1" xr:uid="{00000000-0004-0000-0100-000003000000}"/>
    <hyperlink ref="B16" location="'Cement Data'!A1" display="'Cement Data'!A1" xr:uid="{00000000-0004-0000-0100-000004000000}"/>
    <hyperlink ref="B17" location="'ODS Subs Data'!A1" display="'ODS Subs Data'!A1" xr:uid="{00000000-0004-0000-0100-000005000000}"/>
    <hyperlink ref="B18" location="'Electrical T&amp;D Data'!A1" display="'Electrical T&amp;D Data'!A1" xr:uid="{00000000-0004-0000-0100-000006000000}"/>
    <hyperlink ref="B21" location="Conversions_Constants!A1" display="Conversions_Constants!A1" xr:uid="{00000000-0004-0000-0100-000007000000}"/>
    <hyperlink ref="B19" location="'ODS Emissions'!A1" display="ODS Emissions" xr:uid="{00000000-0004-0000-0100-000008000000}"/>
    <hyperlink ref="B20" location="'ODS and Subs'!A1" display="ODS and Subs" xr:uid="{00000000-0004-0000-0100-000009000000}"/>
    <hyperlink ref="B22" location="Unc_Inputs!A1" display="Unc_Inputs" xr:uid="{00000000-0004-0000-0100-00000A000000}"/>
    <hyperlink ref="B23" location="'Uncertainty Results'!A1" display="Uncertainty Results" xr:uid="{00000000-0004-0000-0100-00000B000000}"/>
    <hyperlink ref="B12" location="'IPPU Summary by County'!A1" display="IPPU Summary" xr:uid="{00000000-0004-0000-0100-00000C000000}"/>
  </hyperlinks>
  <pageMargins left="0.7" right="0.7" top="0.75" bottom="0.75" header="0.3" footer="0.3"/>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5">
    <tabColor indexed="44"/>
  </sheetPr>
  <dimension ref="A1:BJ304"/>
  <sheetViews>
    <sheetView zoomScale="40" zoomScaleNormal="40" workbookViewId="0">
      <selection activeCell="U215" sqref="U215"/>
    </sheetView>
  </sheetViews>
  <sheetFormatPr defaultColWidth="9.42578125" defaultRowHeight="12.75"/>
  <cols>
    <col min="1" max="1" width="4.5703125" customWidth="1"/>
    <col min="2" max="2" width="32.42578125" customWidth="1"/>
    <col min="3" max="3" width="2.42578125" customWidth="1"/>
    <col min="4" max="15" width="11.42578125" customWidth="1"/>
    <col min="16" max="16" width="4.42578125" customWidth="1"/>
    <col min="17" max="18" width="11.42578125" style="6" customWidth="1"/>
    <col min="19" max="19" width="19.7109375" bestFit="1" customWidth="1"/>
    <col min="20" max="28" width="11.42578125" customWidth="1"/>
    <col min="29" max="29" width="4.42578125" customWidth="1"/>
    <col min="30" max="41" width="11.42578125" customWidth="1"/>
    <col min="42" max="42" width="4.42578125" customWidth="1"/>
    <col min="43" max="43" width="11.42578125" bestFit="1" customWidth="1"/>
    <col min="44" max="44" width="11.42578125" customWidth="1"/>
    <col min="45" max="45" width="13.5703125" customWidth="1"/>
    <col min="46" max="49" width="11.42578125" customWidth="1"/>
    <col min="50" max="54" width="9.5703125" customWidth="1"/>
    <col min="58" max="58" width="2.5703125" customWidth="1"/>
    <col min="60" max="60" width="2.5703125" customWidth="1"/>
  </cols>
  <sheetData>
    <row r="1" spans="1:62" s="497" customFormat="1" ht="18.75">
      <c r="A1" s="83" t="s">
        <v>136</v>
      </c>
      <c r="Q1" s="498"/>
      <c r="R1" s="498"/>
    </row>
    <row r="2" spans="1:62" s="497" customFormat="1" ht="12.6" customHeight="1">
      <c r="A2" s="495" t="s">
        <v>137</v>
      </c>
      <c r="Q2" s="498"/>
      <c r="R2" s="498"/>
    </row>
    <row r="3" spans="1:62" s="497" customFormat="1" ht="12.6" customHeight="1">
      <c r="A3" s="495" t="s">
        <v>138</v>
      </c>
      <c r="Q3" s="498"/>
      <c r="R3" s="498"/>
    </row>
    <row r="4" spans="1:62" s="510" customFormat="1">
      <c r="A4" s="495" t="s">
        <v>139</v>
      </c>
      <c r="F4" s="511"/>
      <c r="G4" s="511"/>
      <c r="H4" s="511"/>
      <c r="I4" s="511"/>
      <c r="J4" s="511"/>
      <c r="K4" s="511"/>
      <c r="L4" s="511"/>
      <c r="M4" s="511"/>
      <c r="N4" s="511"/>
      <c r="O4" s="511"/>
      <c r="P4" s="511"/>
      <c r="Q4" s="511"/>
      <c r="R4" s="511"/>
      <c r="S4" s="511"/>
      <c r="T4" s="511"/>
      <c r="U4" s="511"/>
      <c r="V4" s="511"/>
      <c r="W4" s="511"/>
      <c r="X4" s="511"/>
      <c r="Y4" s="511"/>
      <c r="Z4" s="511"/>
      <c r="AA4" s="511"/>
      <c r="AB4" s="511"/>
      <c r="AC4" s="511"/>
      <c r="AG4" s="511"/>
      <c r="AH4" s="511"/>
      <c r="AI4" s="511"/>
      <c r="AJ4" s="511"/>
      <c r="AK4" s="511"/>
      <c r="AL4" s="511"/>
      <c r="AM4" s="511"/>
      <c r="AN4" s="511"/>
      <c r="AO4" s="511"/>
      <c r="AT4" s="511"/>
      <c r="AU4" s="511"/>
      <c r="AV4" s="511"/>
      <c r="AW4" s="511"/>
      <c r="AX4" s="511"/>
      <c r="AY4" s="511"/>
      <c r="AZ4" s="511"/>
      <c r="BA4" s="511"/>
      <c r="BB4" s="511"/>
    </row>
    <row r="5" spans="1:62" s="35" customFormat="1">
      <c r="A5" s="119" t="s">
        <v>140</v>
      </c>
      <c r="B5" s="160"/>
      <c r="C5" s="160"/>
      <c r="D5" s="160"/>
      <c r="E5" s="160"/>
      <c r="F5" s="160"/>
      <c r="G5" s="160"/>
      <c r="H5" s="160"/>
      <c r="I5" s="160"/>
      <c r="J5" s="160"/>
      <c r="K5" s="160"/>
      <c r="L5" s="160"/>
      <c r="M5" s="160"/>
      <c r="N5" s="160"/>
      <c r="O5" s="160"/>
      <c r="P5" s="160"/>
      <c r="Q5" s="161"/>
      <c r="R5" s="161"/>
      <c r="S5" s="160"/>
      <c r="T5" s="160"/>
      <c r="U5" s="160"/>
      <c r="V5" s="160"/>
      <c r="W5" s="160"/>
      <c r="X5" s="160"/>
      <c r="Y5" s="160"/>
      <c r="Z5" s="160"/>
      <c r="AA5" s="160"/>
      <c r="AB5" s="160"/>
      <c r="AC5" s="160"/>
      <c r="AD5" s="160"/>
      <c r="AE5" s="160"/>
      <c r="AF5" s="160"/>
      <c r="AG5" s="160"/>
      <c r="AH5" s="160"/>
      <c r="AI5" s="160"/>
      <c r="AJ5" s="160"/>
      <c r="AK5" s="160"/>
      <c r="AL5" s="160"/>
      <c r="AM5" s="160"/>
      <c r="AN5" s="160"/>
      <c r="AO5" s="160"/>
      <c r="AP5" s="160"/>
      <c r="AQ5" s="160"/>
      <c r="AR5" s="160"/>
      <c r="AS5" s="160"/>
      <c r="AT5" s="160"/>
      <c r="AU5" s="160"/>
      <c r="AV5" s="160"/>
      <c r="AW5" s="160"/>
      <c r="AX5" s="160"/>
      <c r="AY5" s="160"/>
      <c r="AZ5" s="160"/>
      <c r="BA5" s="160"/>
      <c r="BB5" s="556"/>
    </row>
    <row r="6" spans="1:62" s="2" customFormat="1" ht="12.75" customHeight="1">
      <c r="A6" s="3"/>
      <c r="B6" s="33"/>
      <c r="C6" s="3"/>
      <c r="D6" s="31"/>
      <c r="E6" s="31"/>
      <c r="F6" s="31"/>
      <c r="G6" s="31"/>
      <c r="H6" s="31"/>
      <c r="I6" s="31"/>
      <c r="J6" s="31"/>
      <c r="K6" s="31"/>
      <c r="L6" s="31"/>
      <c r="M6" s="31"/>
      <c r="N6" s="31"/>
      <c r="O6" s="31"/>
      <c r="P6" s="4"/>
      <c r="Q6" s="10"/>
      <c r="R6" s="10"/>
      <c r="S6" s="10"/>
      <c r="T6" s="31"/>
      <c r="U6" s="31"/>
      <c r="V6" s="31"/>
      <c r="W6" s="31"/>
      <c r="X6" s="31"/>
      <c r="Y6" s="31"/>
      <c r="Z6" s="31"/>
      <c r="AA6" s="31"/>
      <c r="AB6" s="31"/>
      <c r="AC6" s="32"/>
      <c r="AD6" s="31"/>
      <c r="AE6" s="31"/>
      <c r="AF6" s="31"/>
      <c r="AG6" s="31"/>
      <c r="AH6" s="31"/>
      <c r="AI6" s="31"/>
      <c r="AJ6" s="31"/>
      <c r="AK6" s="31"/>
      <c r="AL6" s="31"/>
      <c r="AM6" s="31"/>
      <c r="AN6" s="31"/>
      <c r="AO6" s="31"/>
      <c r="AP6" s="4"/>
      <c r="AQ6" s="17"/>
      <c r="AR6" s="17"/>
      <c r="AS6" s="17"/>
      <c r="AT6" s="17"/>
      <c r="AU6" s="17"/>
      <c r="AV6" s="17"/>
      <c r="AW6" s="17"/>
      <c r="AX6" s="17"/>
      <c r="AY6" s="17"/>
      <c r="AZ6" s="17"/>
      <c r="BA6" s="17"/>
      <c r="BB6" s="17"/>
      <c r="BC6" s="38"/>
      <c r="BD6" s="38"/>
      <c r="BE6" s="38"/>
      <c r="BF6" s="34"/>
      <c r="BG6" s="34"/>
      <c r="BH6" s="34"/>
      <c r="BI6" s="34"/>
      <c r="BJ6" s="13"/>
    </row>
    <row r="7" spans="1:62" s="42" customFormat="1" ht="12.75" customHeight="1">
      <c r="A7" s="43"/>
      <c r="C7" s="43"/>
      <c r="D7" s="68">
        <v>1990</v>
      </c>
      <c r="E7" s="68">
        <v>2005</v>
      </c>
      <c r="F7" s="68">
        <v>2007</v>
      </c>
      <c r="G7" s="68">
        <v>2010</v>
      </c>
      <c r="H7" s="68">
        <v>2015</v>
      </c>
      <c r="I7" s="68">
        <v>2016</v>
      </c>
      <c r="J7" s="68">
        <v>2017</v>
      </c>
      <c r="K7" s="68">
        <v>2018</v>
      </c>
      <c r="L7" s="68">
        <v>2019</v>
      </c>
      <c r="M7" s="68">
        <v>2020</v>
      </c>
      <c r="N7" s="68">
        <v>2021</v>
      </c>
      <c r="O7" s="68">
        <v>2022</v>
      </c>
      <c r="P7" s="150"/>
      <c r="Q7" s="151"/>
      <c r="R7" s="151"/>
      <c r="S7" s="151"/>
      <c r="T7" s="152"/>
      <c r="U7" s="152"/>
      <c r="V7" s="152"/>
      <c r="W7" s="152"/>
      <c r="X7" s="152"/>
      <c r="Y7" s="152"/>
      <c r="Z7" s="152"/>
      <c r="AA7" s="152"/>
      <c r="AB7" s="152"/>
      <c r="AC7" s="153"/>
      <c r="AD7" s="152"/>
      <c r="AE7" s="152"/>
      <c r="AF7" s="152"/>
      <c r="AG7" s="152"/>
      <c r="AH7" s="152"/>
      <c r="AI7" s="152"/>
      <c r="AJ7" s="152"/>
      <c r="AK7" s="152"/>
      <c r="AL7" s="152"/>
      <c r="AM7" s="152"/>
      <c r="AN7" s="152"/>
      <c r="AO7" s="152"/>
      <c r="AP7" s="150"/>
      <c r="AQ7" s="154"/>
      <c r="AR7" s="154"/>
      <c r="AS7" s="154"/>
      <c r="AT7" s="154"/>
      <c r="AU7" s="154"/>
      <c r="AV7" s="154"/>
      <c r="AW7" s="154"/>
      <c r="AX7" s="154"/>
      <c r="AY7" s="154"/>
      <c r="AZ7" s="154"/>
      <c r="BA7" s="154"/>
      <c r="BB7" s="154"/>
      <c r="BC7" s="155"/>
      <c r="BD7" s="155"/>
      <c r="BE7" s="155"/>
      <c r="BF7" s="404"/>
      <c r="BG7" s="404"/>
      <c r="BH7" s="404"/>
      <c r="BI7" s="404"/>
      <c r="BJ7" s="56"/>
    </row>
    <row r="8" spans="1:62" s="42" customFormat="1" ht="12.75" customHeight="1">
      <c r="A8" s="43"/>
      <c r="B8" s="120" t="s">
        <v>141</v>
      </c>
      <c r="C8" s="43"/>
      <c r="D8" s="149"/>
      <c r="E8" s="149"/>
      <c r="F8" s="149"/>
      <c r="G8" s="149"/>
      <c r="H8" s="149"/>
      <c r="I8" s="149"/>
      <c r="J8" s="149"/>
      <c r="K8" s="149"/>
      <c r="L8" s="149"/>
      <c r="M8" s="149"/>
      <c r="N8" s="149"/>
      <c r="O8" s="149"/>
      <c r="P8" s="150"/>
      <c r="Q8" s="151"/>
      <c r="R8" s="151"/>
      <c r="S8" s="151"/>
      <c r="T8" s="152"/>
      <c r="U8" s="152"/>
      <c r="V8" s="152"/>
      <c r="W8" s="152"/>
      <c r="X8" s="152"/>
      <c r="Y8" s="152"/>
      <c r="Z8" s="152"/>
      <c r="AA8" s="152"/>
      <c r="AB8" s="152"/>
      <c r="AC8" s="153"/>
      <c r="AD8" s="152"/>
      <c r="AE8" s="152"/>
      <c r="AF8" s="152"/>
      <c r="AG8" s="152"/>
      <c r="AH8" s="152"/>
      <c r="AI8" s="152"/>
      <c r="AJ8" s="152"/>
      <c r="AK8" s="152"/>
      <c r="AL8" s="152"/>
      <c r="AM8" s="152"/>
      <c r="AN8" s="152"/>
      <c r="AO8" s="152"/>
      <c r="AP8" s="150"/>
      <c r="AQ8" s="154"/>
      <c r="AR8" s="154"/>
      <c r="AS8" s="154"/>
      <c r="AT8" s="154"/>
      <c r="AU8" s="154"/>
      <c r="AV8" s="154"/>
      <c r="AW8" s="154"/>
      <c r="AX8" s="154"/>
      <c r="AY8" s="154"/>
      <c r="AZ8" s="154"/>
      <c r="BA8" s="154"/>
      <c r="BB8" s="154"/>
      <c r="BC8" s="155"/>
      <c r="BD8" s="155"/>
      <c r="BE8" s="155"/>
      <c r="BF8" s="404"/>
      <c r="BG8" s="404"/>
      <c r="BH8" s="404"/>
      <c r="BI8" s="404"/>
      <c r="BJ8" s="56"/>
    </row>
    <row r="9" spans="1:62" s="42" customFormat="1" ht="12.75" customHeight="1">
      <c r="A9" s="43"/>
      <c r="B9" s="134" t="s">
        <v>142</v>
      </c>
      <c r="C9" s="500"/>
      <c r="D9" s="70">
        <f>INDEX('ODS Subs Data'!$X$168:$X$200,MATCH(D$7,'ODS Subs Data'!$A$168:$A$200,0))</f>
        <v>870657</v>
      </c>
      <c r="E9" s="70">
        <f>INDEX('ODS Subs Data'!$X$168:$X$200,MATCH(E$7,'ODS Subs Data'!$A$168:$A$200,0))</f>
        <v>1091312</v>
      </c>
      <c r="F9" s="70">
        <f>INDEX('ODS Subs Data'!$X$168:$X$200,MATCH(F$7,'ODS Subs Data'!$A$168:$A$200,0))</f>
        <v>1103782</v>
      </c>
      <c r="G9" s="70">
        <f>INDEX('ODS Subs Data'!$X$168:$X$200,MATCH(G$7,'ODS Subs Data'!$A$168:$A$200,0))</f>
        <v>1086185</v>
      </c>
      <c r="H9" s="70">
        <f>INDEX('ODS Subs Data'!$X$168:$X$200,MATCH(H$7,'ODS Subs Data'!$A$168:$A$200,0))</f>
        <v>1193863</v>
      </c>
      <c r="I9" s="70">
        <f>INDEX('ODS Subs Data'!$X$168:$X$200,MATCH(I$7,'ODS Subs Data'!$A$168:$A$200,0))</f>
        <v>1194727</v>
      </c>
      <c r="J9" s="70">
        <f>INDEX('ODS Subs Data'!$X$168:$X$200,MATCH(J$7,'ODS Subs Data'!$A$168:$A$200,0))</f>
        <v>1213093</v>
      </c>
      <c r="K9" s="70">
        <f>INDEX('ODS Subs Data'!$X$168:$X$200,MATCH(K$7,'ODS Subs Data'!$A$168:$A$200,0))</f>
        <v>1219623</v>
      </c>
      <c r="L9" s="70">
        <f>INDEX('ODS Subs Data'!$X$168:$X$200,MATCH(L$7,'ODS Subs Data'!$A$168:$A$200,0))</f>
        <v>1232905</v>
      </c>
      <c r="M9" s="70">
        <f>INDEX('ODS Subs Data'!$X$168:$X$200,MATCH(M$7,'ODS Subs Data'!$A$168:$A$200,0))</f>
        <v>1190486</v>
      </c>
      <c r="N9" s="70">
        <f>INDEX('ODS Subs Data'!$X$168:$X$200,MATCH(N$7,'ODS Subs Data'!$A$168:$A$200,0))</f>
        <v>1188438</v>
      </c>
      <c r="O9" s="70">
        <f>INDEX('ODS Subs Data'!$X$168:$X$200,MATCH(O$7,'ODS Subs Data'!$A$168:$A$200,0))</f>
        <v>1207753.7319496786</v>
      </c>
      <c r="P9" s="150"/>
      <c r="Q9" s="566"/>
      <c r="R9" s="151"/>
      <c r="S9" s="151"/>
      <c r="T9" s="152"/>
      <c r="U9" s="152"/>
      <c r="V9" s="152"/>
      <c r="W9" s="152"/>
      <c r="X9" s="152"/>
      <c r="Y9" s="152"/>
      <c r="Z9" s="152"/>
      <c r="AA9" s="152"/>
      <c r="AB9" s="152"/>
      <c r="AC9" s="153"/>
      <c r="AD9" s="152"/>
      <c r="AE9" s="152"/>
      <c r="AF9" s="152"/>
      <c r="AG9" s="152"/>
      <c r="AH9" s="152"/>
      <c r="AI9" s="152"/>
      <c r="AJ9" s="152"/>
      <c r="AK9" s="152"/>
      <c r="AL9" s="152"/>
      <c r="AM9" s="152"/>
      <c r="AN9" s="152"/>
      <c r="AO9" s="152"/>
      <c r="AP9" s="150"/>
      <c r="AQ9" s="154"/>
      <c r="AR9" s="154"/>
      <c r="AS9" s="154"/>
      <c r="AT9" s="154"/>
      <c r="AU9" s="154"/>
      <c r="AV9" s="154"/>
      <c r="AW9" s="154"/>
      <c r="AX9" s="154"/>
      <c r="AY9" s="154"/>
      <c r="AZ9" s="154"/>
      <c r="BA9" s="154"/>
      <c r="BB9" s="154"/>
      <c r="BC9" s="155"/>
      <c r="BD9" s="155"/>
      <c r="BE9" s="155"/>
      <c r="BF9" s="404"/>
      <c r="BG9" s="404"/>
      <c r="BH9" s="404"/>
      <c r="BI9" s="404"/>
      <c r="BJ9" s="56"/>
    </row>
    <row r="10" spans="1:62" s="42" customFormat="1" ht="12.75" customHeight="1">
      <c r="A10" s="43"/>
      <c r="B10" s="134" t="s">
        <v>143</v>
      </c>
      <c r="C10" s="500"/>
      <c r="D10" s="157">
        <f>VLOOKUP(D7,'ODS Subs Data'!$A$89:$C$121,2,FALSE)+VLOOKUP(D7,'ODS Subs Data'!$A$89:$C$121,3,FALSE)</f>
        <v>188170927</v>
      </c>
      <c r="E10" s="157">
        <f>VLOOKUP(E7,'ODS Subs Data'!$A$89:$C$121,2,FALSE)+VLOOKUP(E7,'ODS Subs Data'!$A$89:$C$121,3,FALSE)</f>
        <v>240386921</v>
      </c>
      <c r="F10" s="157">
        <f>VLOOKUP(F7,'ODS Subs Data'!$A$89:$C$121,2,FALSE)+VLOOKUP(F7,'ODS Subs Data'!$A$89:$C$121,3,FALSE)</f>
        <v>246430169</v>
      </c>
      <c r="G10" s="157">
        <f>VLOOKUP(G7,'ODS Subs Data'!$A$89:$C$121,2,FALSE)+VLOOKUP(G7,'ODS Subs Data'!$A$89:$C$121,3,FALSE)</f>
        <v>241214494</v>
      </c>
      <c r="H10" s="157">
        <f>VLOOKUP(H7,'ODS Subs Data'!$A$89:$C$121,2,FALSE)+VLOOKUP(H7,'ODS Subs Data'!$A$89:$C$121,3,FALSE)</f>
        <v>254120376</v>
      </c>
      <c r="I10" s="157">
        <f>VLOOKUP(I7,'ODS Subs Data'!$A$89:$C$121,2,FALSE)+VLOOKUP(I7,'ODS Subs Data'!$A$89:$C$121,3,FALSE)</f>
        <v>259143542</v>
      </c>
      <c r="J10" s="157">
        <f>VLOOKUP(J7,'ODS Subs Data'!$A$89:$C$121,2,FALSE)+VLOOKUP(J7,'ODS Subs Data'!$A$89:$C$121,3,FALSE)</f>
        <v>262782463</v>
      </c>
      <c r="K10" s="157">
        <f>VLOOKUP(K7,'ODS Subs Data'!$A$89:$C$121,2,FALSE)+VLOOKUP(K7,'ODS Subs Data'!$A$89:$C$121,3,FALSE)</f>
        <v>263943762.85966885</v>
      </c>
      <c r="L10" s="157">
        <f>VLOOKUP(L7,'ODS Subs Data'!$A$89:$C$121,2,FALSE)+VLOOKUP(L7,'ODS Subs Data'!$A$89:$C$121,3,FALSE)</f>
        <v>266899827.15515292</v>
      </c>
      <c r="M10" s="157">
        <f>VLOOKUP(M7,'ODS Subs Data'!$A$89:$C$121,2,FALSE)+VLOOKUP(M7,'ODS Subs Data'!$A$89:$C$121,3,FALSE)</f>
        <v>266578628</v>
      </c>
      <c r="N10" s="157">
        <f>VLOOKUP(N7,'ODS Subs Data'!$A$89:$C$121,2,FALSE)+VLOOKUP(N7,'ODS Subs Data'!$A$89:$C$121,3,FALSE)</f>
        <v>271534359.57747412</v>
      </c>
      <c r="O10" s="157">
        <f>VLOOKUP(O7,'ODS Subs Data'!$A$89:$C$121,2,FALSE)+VLOOKUP(O7,'ODS Subs Data'!$A$89:$C$121,3,FALSE)</f>
        <v>272879203.49339122</v>
      </c>
      <c r="P10" s="150"/>
      <c r="Q10" s="565"/>
      <c r="R10" s="151"/>
      <c r="S10" s="151"/>
      <c r="T10" s="152"/>
      <c r="U10" s="152"/>
      <c r="V10" s="152"/>
      <c r="W10" s="152"/>
      <c r="X10" s="152"/>
      <c r="Y10" s="152"/>
      <c r="Z10" s="152"/>
      <c r="AA10" s="152"/>
      <c r="AB10" s="152"/>
      <c r="AC10" s="153"/>
      <c r="AD10" s="152"/>
      <c r="AE10" s="152"/>
      <c r="AF10" s="152"/>
      <c r="AG10" s="152"/>
      <c r="AH10" s="152"/>
      <c r="AI10" s="152"/>
      <c r="AJ10" s="152"/>
      <c r="AK10" s="152"/>
      <c r="AL10" s="152"/>
      <c r="AM10" s="152"/>
      <c r="AN10" s="152"/>
      <c r="AO10" s="152"/>
      <c r="AP10" s="150"/>
      <c r="AQ10" s="154"/>
      <c r="AR10" s="154"/>
      <c r="AS10" s="154"/>
      <c r="AT10" s="154"/>
      <c r="AU10" s="154"/>
      <c r="AV10" s="154"/>
      <c r="AW10" s="154"/>
      <c r="AX10" s="154"/>
      <c r="AY10" s="154"/>
      <c r="AZ10" s="154"/>
      <c r="BA10" s="154"/>
      <c r="BB10" s="154"/>
      <c r="BC10" s="155"/>
      <c r="BD10" s="155"/>
      <c r="BE10" s="155"/>
      <c r="BF10" s="404"/>
      <c r="BG10" s="404"/>
      <c r="BH10" s="404"/>
      <c r="BI10" s="404"/>
      <c r="BJ10" s="56"/>
    </row>
    <row r="11" spans="1:62" s="42" customFormat="1" ht="12.75" customHeight="1">
      <c r="A11" s="43"/>
      <c r="B11" s="134" t="s">
        <v>144</v>
      </c>
      <c r="C11" s="500"/>
      <c r="D11" s="48">
        <f>HLOOKUP(D$7,'ODS Subs Data'!$A$45:$AH$47,ROWS('ODS Subs Data'!A45:A47),FALSE)</f>
        <v>0</v>
      </c>
      <c r="E11" s="48">
        <f>HLOOKUP(E$7,'ODS Subs Data'!$A$45:$AH$47,ROWS('ODS Subs Data'!B45:B47),FALSE)</f>
        <v>61.533466841699997</v>
      </c>
      <c r="F11" s="48">
        <f>HLOOKUP(F$7,'ODS Subs Data'!$A$45:$AH$47,ROWS('ODS Subs Data'!C45:C47),FALSE)</f>
        <v>62.910223398300005</v>
      </c>
      <c r="G11" s="48">
        <f>HLOOKUP(G$7,'ODS Subs Data'!$A$45:$AH$47,ROWS('ODS Subs Data'!D45:D47),FALSE)</f>
        <v>59.223563384900004</v>
      </c>
      <c r="H11" s="48">
        <f>HLOOKUP(H$7,'ODS Subs Data'!$A$45:$AH$47,ROWS('ODS Subs Data'!E45:E47),FALSE)</f>
        <v>37.220865681900008</v>
      </c>
      <c r="I11" s="48">
        <f>HLOOKUP(I$7,'ODS Subs Data'!$A$45:$AH$47,ROWS('ODS Subs Data'!F45:F47),FALSE)</f>
        <v>34.005905660899998</v>
      </c>
      <c r="J11" s="48">
        <f>HLOOKUP(J$7,'ODS Subs Data'!$A$45:$AH$47,ROWS('ODS Subs Data'!G45:G47),FALSE)</f>
        <v>30.674008980899998</v>
      </c>
      <c r="K11" s="48">
        <f>HLOOKUP(K$7,'ODS Subs Data'!$A$45:$AH$47,ROWS('ODS Subs Data'!H45:H47),FALSE)</f>
        <v>28.664453929199993</v>
      </c>
      <c r="L11" s="48">
        <f>HLOOKUP(L$7,'ODS Subs Data'!$A$45:$AH$47,ROWS('ODS Subs Data'!I45:I47),FALSE)</f>
        <v>26.643254329600001</v>
      </c>
      <c r="M11" s="48">
        <f>HLOOKUP(M$7,'ODS Subs Data'!$A$45:$AH$47,ROWS('ODS Subs Data'!J45:J47),FALSE)</f>
        <v>24.630521789999996</v>
      </c>
      <c r="N11" s="48">
        <f>HLOOKUP(N$7,'ODS Subs Data'!$A$45:$AH$47,ROWS('ODS Subs Data'!K45:K47),FALSE)</f>
        <v>22.854063608300002</v>
      </c>
      <c r="O11" s="48">
        <f>HLOOKUP(O$7,'ODS Subs Data'!$A$45:$AH$47,ROWS('ODS Subs Data'!L45:L47),FALSE)</f>
        <v>20.792943220800002</v>
      </c>
      <c r="P11" s="150"/>
      <c r="Q11" s="565"/>
      <c r="R11" s="151"/>
      <c r="S11" s="151"/>
      <c r="T11" s="152"/>
      <c r="U11" s="152"/>
      <c r="V11" s="152"/>
      <c r="W11" s="152"/>
      <c r="X11" s="152"/>
      <c r="Y11" s="152"/>
      <c r="Z11" s="152"/>
      <c r="AA11" s="152"/>
      <c r="AB11" s="152"/>
      <c r="AC11" s="153"/>
      <c r="AD11" s="152"/>
      <c r="AE11" s="152"/>
      <c r="AF11" s="152"/>
      <c r="AG11" s="152"/>
      <c r="AH11" s="152"/>
      <c r="AI11" s="152"/>
      <c r="AJ11" s="152"/>
      <c r="AK11" s="152"/>
      <c r="AL11" s="152"/>
      <c r="AM11" s="152"/>
      <c r="AN11" s="152"/>
      <c r="AO11" s="152"/>
      <c r="AP11" s="150"/>
      <c r="AQ11" s="154"/>
      <c r="AR11" s="154"/>
      <c r="AS11" s="154"/>
      <c r="AT11" s="154"/>
      <c r="AU11" s="154"/>
      <c r="AV11" s="154"/>
      <c r="AW11" s="154"/>
      <c r="AX11" s="154"/>
      <c r="AY11" s="154"/>
      <c r="AZ11" s="154"/>
      <c r="BA11" s="154"/>
      <c r="BB11" s="154"/>
      <c r="BC11" s="155"/>
      <c r="BD11" s="155"/>
      <c r="BE11" s="155"/>
      <c r="BF11" s="404"/>
      <c r="BG11" s="404"/>
      <c r="BH11" s="404"/>
      <c r="BI11" s="404"/>
      <c r="BJ11" s="56"/>
    </row>
    <row r="12" spans="1:62" s="42" customFormat="1" ht="12.75" customHeight="1">
      <c r="A12" s="43"/>
      <c r="B12" s="134" t="s">
        <v>145</v>
      </c>
      <c r="C12" s="56"/>
      <c r="D12" s="48">
        <f t="shared" ref="D12" si="0">D9/D10*D11</f>
        <v>0</v>
      </c>
      <c r="E12" s="48">
        <f t="shared" ref="E12:O12" si="1">E9/E10*E11</f>
        <v>0.27935051743497025</v>
      </c>
      <c r="F12" s="48">
        <f>F9/F10*F11</f>
        <v>0.28178032131699904</v>
      </c>
      <c r="G12" s="48">
        <f>G9/G10*G11</f>
        <v>0.26668275661423402</v>
      </c>
      <c r="H12" s="48">
        <f t="shared" si="1"/>
        <v>0.17486442868158744</v>
      </c>
      <c r="I12" s="48">
        <f t="shared" si="1"/>
        <v>0.15677710252385943</v>
      </c>
      <c r="J12" s="48">
        <f t="shared" si="1"/>
        <v>0.14160163182832683</v>
      </c>
      <c r="K12" s="48">
        <f t="shared" si="1"/>
        <v>0.1324518030497269</v>
      </c>
      <c r="L12" s="48">
        <f t="shared" si="1"/>
        <v>0.12307464500582123</v>
      </c>
      <c r="M12" s="48">
        <f t="shared" si="1"/>
        <v>0.10999490688236994</v>
      </c>
      <c r="N12" s="48">
        <f t="shared" si="1"/>
        <v>0.10002652220066968</v>
      </c>
      <c r="O12" s="48">
        <f t="shared" si="1"/>
        <v>9.2028833460543177E-2</v>
      </c>
      <c r="P12" s="150"/>
      <c r="Q12" s="151"/>
      <c r="R12" s="151"/>
      <c r="S12" s="151"/>
      <c r="T12" s="152"/>
      <c r="U12" s="152"/>
      <c r="V12" s="152"/>
      <c r="W12" s="152"/>
      <c r="X12" s="152"/>
      <c r="Y12" s="152"/>
      <c r="Z12" s="152"/>
      <c r="AA12" s="152"/>
      <c r="AB12" s="152"/>
      <c r="AC12" s="153"/>
      <c r="AD12" s="152"/>
      <c r="AE12" s="152"/>
      <c r="AF12" s="152"/>
      <c r="AG12" s="152"/>
      <c r="AH12" s="152"/>
      <c r="AI12" s="152"/>
      <c r="AJ12" s="152"/>
      <c r="AK12" s="152"/>
      <c r="AL12" s="152"/>
      <c r="AM12" s="152"/>
      <c r="AN12" s="152"/>
      <c r="AO12" s="152"/>
      <c r="AP12" s="150"/>
      <c r="AQ12" s="154"/>
      <c r="AR12" s="154"/>
      <c r="AS12" s="154"/>
      <c r="AT12" s="154"/>
      <c r="AU12" s="154"/>
      <c r="AV12" s="154"/>
      <c r="AW12" s="154"/>
      <c r="AX12" s="154"/>
      <c r="AY12" s="154"/>
      <c r="AZ12" s="154"/>
      <c r="BA12" s="154"/>
      <c r="BB12" s="154"/>
      <c r="BC12" s="155"/>
      <c r="BD12" s="155"/>
      <c r="BE12" s="155"/>
      <c r="BF12" s="404"/>
      <c r="BG12" s="404"/>
      <c r="BH12" s="404"/>
      <c r="BI12" s="404"/>
      <c r="BJ12" s="56"/>
    </row>
    <row r="13" spans="1:62" s="42" customFormat="1" ht="12.75" customHeight="1">
      <c r="A13" s="43"/>
      <c r="B13" s="56"/>
      <c r="C13" s="56"/>
      <c r="D13" s="397">
        <f t="shared" ref="D13" si="2">D12-SUM(AQ46,AQ65,AQ84,AQ103,AQ122,AQ141,AQ160)</f>
        <v>0</v>
      </c>
      <c r="E13" s="397">
        <f t="shared" ref="E13" si="3">E12-SUM(AR46,AR65,AR84,AR103,AR122,AR141,AR160)</f>
        <v>0</v>
      </c>
      <c r="F13" s="397">
        <f t="shared" ref="F13" si="4">F12-SUM(AS46,AS65,AS84,AS103,AS122,AS141,AS160)</f>
        <v>0</v>
      </c>
      <c r="G13" s="397">
        <f>G12-SUM(AT46,AT65,AT84,AT103,AT122,AT141,AT160)</f>
        <v>0</v>
      </c>
      <c r="H13" s="397">
        <f t="shared" ref="H13:M13" si="5">H12-SUM(AU46,AU65,AU84,AU103,AU122,AU141,AU160)</f>
        <v>0</v>
      </c>
      <c r="I13" s="397">
        <f t="shared" si="5"/>
        <v>0</v>
      </c>
      <c r="J13" s="397">
        <f t="shared" si="5"/>
        <v>0</v>
      </c>
      <c r="K13" s="397">
        <f t="shared" si="5"/>
        <v>0</v>
      </c>
      <c r="L13" s="397">
        <f t="shared" si="5"/>
        <v>0</v>
      </c>
      <c r="M13" s="397">
        <f t="shared" si="5"/>
        <v>0</v>
      </c>
      <c r="N13" s="397">
        <f>N12-SUM(BA46,BA65,BA84,BA103,BA122,BA141,BA160)</f>
        <v>0</v>
      </c>
      <c r="O13" s="397">
        <f>O12-SUM(BB46,BB65,BB84,BB103,BB122,BB141,BB160)</f>
        <v>0</v>
      </c>
      <c r="P13" s="150"/>
      <c r="Q13" s="151"/>
      <c r="R13" s="151"/>
      <c r="S13" s="151"/>
      <c r="T13" s="152"/>
      <c r="U13" s="152"/>
      <c r="V13" s="152"/>
      <c r="W13" s="152"/>
      <c r="X13" s="152"/>
      <c r="Y13" s="152"/>
      <c r="Z13" s="152"/>
      <c r="AA13" s="152"/>
      <c r="AB13" s="152"/>
      <c r="AC13" s="153"/>
      <c r="AD13" s="152"/>
      <c r="AE13" s="152"/>
      <c r="AF13" s="152"/>
      <c r="AG13" s="152"/>
      <c r="AH13" s="152"/>
      <c r="AI13" s="152"/>
      <c r="AJ13" s="152"/>
      <c r="AK13" s="152"/>
      <c r="AL13" s="152"/>
      <c r="AM13" s="152"/>
      <c r="AN13" s="152"/>
      <c r="AO13" s="152"/>
      <c r="AP13" s="150"/>
      <c r="AQ13" s="154"/>
      <c r="AR13" s="154"/>
      <c r="AS13" s="154"/>
      <c r="AT13" s="154"/>
      <c r="AU13" s="154"/>
      <c r="AV13" s="154"/>
      <c r="AW13" s="154"/>
      <c r="AX13" s="154"/>
      <c r="AY13" s="154"/>
      <c r="AZ13" s="154"/>
      <c r="BA13" s="154"/>
      <c r="BB13" s="154"/>
      <c r="BC13" s="155"/>
      <c r="BD13" s="155"/>
      <c r="BE13" s="155"/>
      <c r="BF13" s="404"/>
      <c r="BG13" s="404"/>
      <c r="BH13" s="404"/>
      <c r="BI13" s="404"/>
      <c r="BJ13" s="56"/>
    </row>
    <row r="14" spans="1:62" s="42" customFormat="1" ht="12.75" customHeight="1">
      <c r="A14" s="43"/>
      <c r="B14" s="120" t="s">
        <v>77</v>
      </c>
      <c r="C14" s="43"/>
      <c r="D14" s="151"/>
      <c r="E14" s="151"/>
      <c r="F14" s="151"/>
      <c r="G14" s="151"/>
      <c r="H14" s="151"/>
      <c r="I14" s="151"/>
      <c r="J14" s="151"/>
      <c r="K14" s="151"/>
      <c r="L14" s="151"/>
      <c r="M14" s="151"/>
      <c r="N14" s="151"/>
      <c r="O14" s="151"/>
      <c r="P14" s="150"/>
      <c r="Q14" s="151"/>
      <c r="R14" s="151"/>
      <c r="S14" s="151"/>
      <c r="T14" s="152"/>
      <c r="U14" s="152"/>
      <c r="V14" s="152"/>
      <c r="W14" s="152"/>
      <c r="X14" s="152"/>
      <c r="Y14" s="152"/>
      <c r="Z14" s="152"/>
      <c r="AA14" s="152"/>
      <c r="AB14" s="152"/>
      <c r="AC14" s="153"/>
      <c r="AD14" s="152"/>
      <c r="AE14" s="152"/>
      <c r="AF14" s="152"/>
      <c r="AG14" s="152"/>
      <c r="AH14" s="152"/>
      <c r="AI14" s="152"/>
      <c r="AJ14" s="152"/>
      <c r="AK14" s="152"/>
      <c r="AL14" s="152"/>
      <c r="AM14" s="152"/>
      <c r="AN14" s="152"/>
      <c r="AO14" s="152"/>
      <c r="AP14" s="150"/>
      <c r="AQ14" s="154"/>
      <c r="AR14" s="154"/>
      <c r="AS14" s="154"/>
      <c r="AT14" s="154"/>
      <c r="AU14" s="154"/>
      <c r="AV14" s="154"/>
      <c r="AW14" s="154"/>
      <c r="AX14" s="154"/>
      <c r="AY14" s="154"/>
      <c r="AZ14" s="154"/>
      <c r="BA14" s="154"/>
      <c r="BB14" s="154"/>
      <c r="BC14" s="155"/>
      <c r="BD14" s="155"/>
      <c r="BE14" s="155"/>
      <c r="BF14" s="404"/>
      <c r="BG14" s="404"/>
      <c r="BH14" s="404"/>
      <c r="BI14" s="404"/>
      <c r="BJ14" s="56"/>
    </row>
    <row r="15" spans="1:62" s="42" customFormat="1" ht="12.75" customHeight="1">
      <c r="A15" s="43"/>
      <c r="B15" s="134" t="s">
        <v>146</v>
      </c>
      <c r="C15" s="500"/>
      <c r="D15" s="70">
        <f>VLOOKUP(D$7,'ODS Subs Data'!$A$206:$I$229,'ODS Subs Data'!$C$204,FALSE)</f>
        <v>13111151.816476941</v>
      </c>
      <c r="E15" s="70">
        <f>VLOOKUP(E$7,'ODS Subs Data'!$A$206:$I$229,'ODS Subs Data'!$C$204,FALSE)</f>
        <v>16224460.726590779</v>
      </c>
      <c r="F15" s="70">
        <f>VLOOKUP(F$7,'ODS Subs Data'!$A$206:$I$229,'ODS Subs Data'!$C$204,FALSE)</f>
        <v>17262230.363295391</v>
      </c>
      <c r="G15" s="70">
        <f>VLOOKUP(G$7,'ODS Subs Data'!$A$206:$I$229,'ODS Subs Data'!$C$204,FALSE)</f>
        <v>18816666.666666668</v>
      </c>
      <c r="H15" s="70">
        <f>VLOOKUP(H$7,'ODS Subs Data'!$A$206:$I$229,'ODS Subs Data'!$C$204,FALSE)</f>
        <v>21400000</v>
      </c>
      <c r="I15" s="70">
        <f>VLOOKUP(I$7,'ODS Subs Data'!$A$206:$I$229,'ODS Subs Data'!$C$204,FALSE)</f>
        <v>21302000</v>
      </c>
      <c r="J15" s="70">
        <f>VLOOKUP(J$7,'ODS Subs Data'!$A$206:$I$229,'ODS Subs Data'!$C$204,FALSE)</f>
        <v>21204000</v>
      </c>
      <c r="K15" s="70">
        <f>VLOOKUP(K$7,'ODS Subs Data'!$A$206:$I$229,'ODS Subs Data'!$C$204,FALSE)</f>
        <v>21106000</v>
      </c>
      <c r="L15" s="70">
        <f>VLOOKUP(L$7,'ODS Subs Data'!$A$206:$I$229,'ODS Subs Data'!$C$204,FALSE)</f>
        <v>21008000</v>
      </c>
      <c r="M15" s="70">
        <f>VLOOKUP(M$7,'ODS Subs Data'!$A$206:$I$229,'ODS Subs Data'!$C$204,FALSE)</f>
        <v>20910000</v>
      </c>
      <c r="N15" s="70">
        <f>VLOOKUP(N$7,'ODS Subs Data'!$A$206:$I$229,'ODS Subs Data'!$C$204,FALSE)</f>
        <v>20812000</v>
      </c>
      <c r="O15" s="70">
        <f>VLOOKUP(O$7,'ODS Subs Data'!$A$206:$I$229,'ODS Subs Data'!$C$204,FALSE)</f>
        <v>20714000</v>
      </c>
      <c r="P15" s="150"/>
      <c r="Q15" s="422"/>
      <c r="R15" s="422"/>
      <c r="S15" s="422"/>
      <c r="T15" s="422"/>
      <c r="U15" s="422"/>
      <c r="V15" s="422"/>
      <c r="W15" s="422"/>
      <c r="X15" s="422"/>
      <c r="Y15" s="422"/>
      <c r="Z15" s="422"/>
      <c r="AA15" s="422"/>
      <c r="AB15" s="422"/>
      <c r="AC15" s="153"/>
      <c r="AD15" s="152"/>
      <c r="AE15" s="152"/>
      <c r="AF15" s="152"/>
      <c r="AG15" s="152"/>
      <c r="AH15" s="152"/>
      <c r="AI15" s="152"/>
      <c r="AJ15" s="152"/>
      <c r="AK15" s="152"/>
      <c r="AL15" s="152"/>
      <c r="AM15" s="152"/>
      <c r="AN15" s="152"/>
      <c r="AO15" s="152"/>
      <c r="AP15" s="150"/>
      <c r="AQ15" s="154"/>
      <c r="AR15" s="154"/>
      <c r="AS15" s="154"/>
      <c r="AT15" s="154"/>
      <c r="AU15" s="154"/>
      <c r="AV15" s="154"/>
      <c r="AW15" s="154"/>
      <c r="AX15" s="154"/>
      <c r="AY15" s="154"/>
      <c r="AZ15" s="154"/>
      <c r="BA15" s="154"/>
      <c r="BB15" s="154"/>
      <c r="BC15" s="155"/>
      <c r="BD15" s="155"/>
      <c r="BE15" s="155"/>
      <c r="BF15" s="404"/>
      <c r="BG15" s="404"/>
      <c r="BH15" s="404"/>
      <c r="BI15" s="404"/>
      <c r="BJ15" s="56"/>
    </row>
    <row r="16" spans="1:62" s="42" customFormat="1" ht="12.75" customHeight="1">
      <c r="A16" s="43"/>
      <c r="B16" s="134" t="s">
        <v>147</v>
      </c>
      <c r="C16" s="499"/>
      <c r="D16" s="70">
        <f>VLOOKUP(D$7,'ODS Subs Data'!$A$206:$I$229,'ODS Subs Data'!$B$204,FALSE)</f>
        <v>66133333.333333284</v>
      </c>
      <c r="E16" s="70">
        <f>VLOOKUP(E$7,'ODS Subs Data'!$A$206:$I$229,'ODS Subs Data'!$B$204,FALSE)</f>
        <v>88133333.333333313</v>
      </c>
      <c r="F16" s="70">
        <f>VLOOKUP(F$7,'ODS Subs Data'!$A$206:$I$229,'ODS Subs Data'!$B$204,FALSE)</f>
        <v>91066666.666666657</v>
      </c>
      <c r="G16" s="70">
        <f>VLOOKUP(G$7,'ODS Subs Data'!$A$206:$I$229,'ODS Subs Data'!$B$204,FALSE)</f>
        <v>95466666.666666672</v>
      </c>
      <c r="H16" s="70">
        <f>VLOOKUP(H$7,'ODS Subs Data'!$A$206:$I$229,'ODS Subs Data'!$B$204,FALSE)</f>
        <v>102800000</v>
      </c>
      <c r="I16" s="70">
        <f>VLOOKUP(I$7,'ODS Subs Data'!$A$206:$I$229,'ODS Subs Data'!$B$204,FALSE)</f>
        <v>104024000</v>
      </c>
      <c r="J16" s="70">
        <f>VLOOKUP(J$7,'ODS Subs Data'!$A$206:$I$229,'ODS Subs Data'!$B$204,FALSE)</f>
        <v>105248000</v>
      </c>
      <c r="K16" s="70">
        <f>VLOOKUP(K$7,'ODS Subs Data'!$A$206:$I$229,'ODS Subs Data'!$B$204,FALSE)</f>
        <v>106472000</v>
      </c>
      <c r="L16" s="70">
        <f>VLOOKUP(L$7,'ODS Subs Data'!$A$206:$I$229,'ODS Subs Data'!$B$204,FALSE)</f>
        <v>107696000</v>
      </c>
      <c r="M16" s="70">
        <f>VLOOKUP(M$7,'ODS Subs Data'!$A$206:$I$229,'ODS Subs Data'!$B$204,FALSE)</f>
        <v>108920000</v>
      </c>
      <c r="N16" s="70">
        <f>VLOOKUP(N$7,'ODS Subs Data'!$A$206:$I$229,'ODS Subs Data'!$B$204,FALSE)</f>
        <v>110144000</v>
      </c>
      <c r="O16" s="70">
        <f>VLOOKUP(O$7,'ODS Subs Data'!$A$206:$I$229,'ODS Subs Data'!$B$204,FALSE)</f>
        <v>111368000</v>
      </c>
      <c r="P16" s="150"/>
      <c r="Q16" s="565"/>
      <c r="R16" s="422"/>
      <c r="S16" s="422"/>
      <c r="T16" s="422"/>
      <c r="U16" s="422"/>
      <c r="V16" s="422"/>
      <c r="W16" s="422"/>
      <c r="X16" s="422"/>
      <c r="Y16" s="422"/>
      <c r="Z16" s="422"/>
      <c r="AA16" s="422"/>
      <c r="AB16" s="422"/>
      <c r="AC16" s="153"/>
      <c r="AD16" s="152"/>
      <c r="AE16" s="152"/>
      <c r="AF16" s="152"/>
      <c r="AG16" s="152"/>
      <c r="AH16" s="152"/>
      <c r="AI16" s="152"/>
      <c r="AJ16" s="152"/>
      <c r="AK16" s="152"/>
      <c r="AL16" s="152"/>
      <c r="AM16" s="152"/>
      <c r="AN16" s="152"/>
      <c r="AO16" s="152"/>
      <c r="AP16" s="150"/>
      <c r="AQ16" s="154"/>
      <c r="AR16" s="154"/>
      <c r="AS16" s="154"/>
      <c r="AT16" s="154"/>
      <c r="AU16" s="154"/>
      <c r="AV16" s="154"/>
      <c r="AW16" s="154"/>
      <c r="AX16" s="154"/>
      <c r="AY16" s="154"/>
      <c r="AZ16" s="154"/>
      <c r="BA16" s="154"/>
      <c r="BB16" s="154"/>
      <c r="BC16" s="155"/>
      <c r="BD16" s="155"/>
      <c r="BE16" s="155"/>
      <c r="BF16" s="404"/>
      <c r="BG16" s="404"/>
      <c r="BH16" s="404"/>
      <c r="BI16" s="404"/>
      <c r="BJ16" s="56"/>
    </row>
    <row r="17" spans="1:62" s="42" customFormat="1" ht="12.75" customHeight="1">
      <c r="A17" s="43"/>
      <c r="B17" s="134" t="s">
        <v>148</v>
      </c>
      <c r="C17" s="499"/>
      <c r="D17" s="70">
        <f>VLOOKUP(D$7,'ODS Subs Data'!$A$206:$I$229,'ODS Subs Data'!$E$204,FALSE)</f>
        <v>1257319</v>
      </c>
      <c r="E17" s="70">
        <f>VLOOKUP(E$7,'ODS Subs Data'!$A$206:$I$229,'ODS Subs Data'!$E$204,FALSE)</f>
        <v>1412500</v>
      </c>
      <c r="F17" s="70">
        <f>VLOOKUP(F$7,'ODS Subs Data'!$A$206:$I$229,'ODS Subs Data'!$E$204,FALSE)</f>
        <v>1433461</v>
      </c>
      <c r="G17" s="70">
        <f>VLOOKUP(G$7,'ODS Subs Data'!$A$206:$I$229,'ODS Subs Data'!$E$204,FALSE)</f>
        <v>1468736</v>
      </c>
      <c r="H17" s="70">
        <f>VLOOKUP(H$7,'ODS Subs Data'!$A$206:$I$229,'ODS Subs Data'!$E$204,FALSE)</f>
        <v>1597450</v>
      </c>
      <c r="I17" s="70">
        <f>VLOOKUP(I$7,'ODS Subs Data'!$A$206:$I$229,'ODS Subs Data'!$E$204,FALSE)</f>
        <v>1611051</v>
      </c>
      <c r="J17" s="70">
        <f>VLOOKUP(J$7,'ODS Subs Data'!$A$206:$I$229,'ODS Subs Data'!$E$204,FALSE)</f>
        <v>1624163</v>
      </c>
      <c r="K17" s="70">
        <f>VLOOKUP(K$7,'ODS Subs Data'!$A$206:$I$229,'ODS Subs Data'!$E$204,FALSE)</f>
        <v>1634237</v>
      </c>
      <c r="L17" s="70">
        <f>VLOOKUP(L$7,'ODS Subs Data'!$A$206:$I$229,'ODS Subs Data'!$E$204,FALSE)</f>
        <v>1632588</v>
      </c>
      <c r="M17" s="70">
        <f>VLOOKUP(M$7,'ODS Subs Data'!$A$206:$I$229,'ODS Subs Data'!$E$204,FALSE)</f>
        <v>1482790</v>
      </c>
      <c r="N17" s="70">
        <f>VLOOKUP(N$7,'ODS Subs Data'!$A$206:$I$229,'ODS Subs Data'!$E$204,FALSE)</f>
        <v>1565043</v>
      </c>
      <c r="O17" s="70">
        <f>VLOOKUP(O$7,'ODS Subs Data'!$A$206:$I$229,'ODS Subs Data'!$E$204,FALSE)</f>
        <v>1597575</v>
      </c>
      <c r="P17" s="150"/>
      <c r="Q17" s="151"/>
      <c r="R17" s="151"/>
      <c r="S17" s="151"/>
      <c r="T17" s="152"/>
      <c r="U17" s="152"/>
      <c r="V17" s="152"/>
      <c r="W17" s="152"/>
      <c r="X17" s="152"/>
      <c r="Y17" s="152"/>
      <c r="Z17" s="152"/>
      <c r="AA17" s="152"/>
      <c r="AB17" s="152"/>
      <c r="AC17" s="153"/>
      <c r="AD17" s="152"/>
      <c r="AE17" s="152"/>
      <c r="AF17" s="152"/>
      <c r="AG17" s="152"/>
      <c r="AH17" s="152"/>
      <c r="AI17" s="152"/>
      <c r="AJ17" s="152"/>
      <c r="AK17" s="152"/>
      <c r="AL17" s="152"/>
      <c r="AM17" s="152"/>
      <c r="AN17" s="152"/>
      <c r="AO17" s="152"/>
      <c r="AP17" s="150"/>
      <c r="AQ17" s="154"/>
      <c r="AR17" s="154"/>
      <c r="AS17" s="154"/>
      <c r="AT17" s="154"/>
      <c r="AU17" s="154"/>
      <c r="AV17" s="154"/>
      <c r="AW17" s="154"/>
      <c r="AX17" s="154"/>
      <c r="AY17" s="154"/>
      <c r="AZ17" s="154"/>
      <c r="BA17" s="154"/>
      <c r="BB17" s="154"/>
      <c r="BC17" s="155"/>
      <c r="BD17" s="155"/>
      <c r="BE17" s="155"/>
      <c r="BF17" s="404"/>
      <c r="BG17" s="404"/>
      <c r="BH17" s="404"/>
      <c r="BI17" s="404"/>
      <c r="BJ17" s="56"/>
    </row>
    <row r="18" spans="1:62" s="42" customFormat="1" ht="12.75" customHeight="1">
      <c r="A18" s="43"/>
      <c r="B18" s="134" t="s">
        <v>149</v>
      </c>
      <c r="C18" s="499"/>
      <c r="D18" s="70">
        <f>VLOOKUP(D$7,'ODS Subs Data'!$A$206:$I$229,'ODS Subs Data'!$D$204,FALSE)</f>
        <v>38582291.727272727</v>
      </c>
      <c r="E18" s="70">
        <f>VLOOKUP(E$7,'ODS Subs Data'!$A$206:$I$229,'ODS Subs Data'!$D$204,FALSE)</f>
        <v>50522761</v>
      </c>
      <c r="F18" s="70">
        <f>VLOOKUP(F$7,'ODS Subs Data'!$A$206:$I$229,'ODS Subs Data'!$D$204,FALSE)</f>
        <v>52046059</v>
      </c>
      <c r="G18" s="70">
        <f>VLOOKUP(G$7,'ODS Subs Data'!$A$206:$I$229,'ODS Subs Data'!$D$204,FALSE)</f>
        <v>54099533</v>
      </c>
      <c r="H18" s="70">
        <f>VLOOKUP(H$7,'ODS Subs Data'!$A$206:$I$229,'ODS Subs Data'!$D$204,FALSE)</f>
        <v>58230809</v>
      </c>
      <c r="I18" s="70">
        <f>VLOOKUP(I$7,'ODS Subs Data'!$A$206:$I$229,'ODS Subs Data'!$D$204,FALSE)</f>
        <v>59155345</v>
      </c>
      <c r="J18" s="70">
        <f>VLOOKUP(J$7,'ODS Subs Data'!$A$206:$I$229,'ODS Subs Data'!$D$204,FALSE)</f>
        <v>59929232</v>
      </c>
      <c r="K18" s="70">
        <f>VLOOKUP(K$7,'ODS Subs Data'!$A$206:$I$229,'ODS Subs Data'!$D$204,FALSE)</f>
        <v>60567077</v>
      </c>
      <c r="L18" s="70">
        <f>VLOOKUP(L$7,'ODS Subs Data'!$A$206:$I$229,'ODS Subs Data'!$D$204,FALSE)</f>
        <v>61191402</v>
      </c>
      <c r="M18" s="70">
        <f>VLOOKUP(M$7,'ODS Subs Data'!$A$206:$I$229,'ODS Subs Data'!$D$204,FALSE)</f>
        <v>61365245</v>
      </c>
      <c r="N18" s="70">
        <f>VLOOKUP(N$7,'ODS Subs Data'!$A$206:$I$229,'ODS Subs Data'!$D$204,FALSE)</f>
        <v>62027174</v>
      </c>
      <c r="O18" s="70">
        <f>VLOOKUP(O$7,'ODS Subs Data'!$A$206:$I$229,'ODS Subs Data'!$D$204,FALSE)</f>
        <v>62974091</v>
      </c>
      <c r="P18" s="150"/>
      <c r="Q18" s="151"/>
      <c r="R18" s="151"/>
      <c r="S18" s="151"/>
      <c r="T18" s="152"/>
      <c r="U18" s="152"/>
      <c r="V18" s="152"/>
      <c r="W18" s="152"/>
      <c r="X18" s="152"/>
      <c r="Y18" s="152"/>
      <c r="Z18" s="152"/>
      <c r="AA18" s="152"/>
      <c r="AB18" s="152"/>
      <c r="AC18" s="153"/>
      <c r="AD18" s="152"/>
      <c r="AE18" s="152"/>
      <c r="AF18" s="152"/>
      <c r="AG18" s="152"/>
      <c r="AH18" s="152"/>
      <c r="AI18" s="152"/>
      <c r="AJ18" s="152"/>
      <c r="AK18" s="152"/>
      <c r="AL18" s="152"/>
      <c r="AM18" s="152"/>
      <c r="AN18" s="152"/>
      <c r="AO18" s="152"/>
      <c r="AP18" s="150"/>
      <c r="AQ18" s="154"/>
      <c r="AR18" s="154"/>
      <c r="AS18" s="154"/>
      <c r="AT18" s="154"/>
      <c r="AU18" s="154"/>
      <c r="AV18" s="154"/>
      <c r="AW18" s="154"/>
      <c r="AX18" s="154"/>
      <c r="AY18" s="154"/>
      <c r="AZ18" s="154"/>
      <c r="BA18" s="154"/>
      <c r="BB18" s="154"/>
      <c r="BC18" s="155"/>
      <c r="BD18" s="155"/>
      <c r="BE18" s="155"/>
      <c r="BF18" s="404"/>
      <c r="BG18" s="404"/>
      <c r="BH18" s="404"/>
      <c r="BI18" s="404"/>
      <c r="BJ18" s="56"/>
    </row>
    <row r="19" spans="1:62" s="42" customFormat="1" ht="12.75" customHeight="1">
      <c r="A19" s="43"/>
      <c r="B19" s="134" t="s">
        <v>150</v>
      </c>
      <c r="C19" s="56"/>
      <c r="D19" s="46">
        <f>D17/D18*D15</f>
        <v>427265.96976841224</v>
      </c>
      <c r="E19" s="46">
        <f t="shared" ref="E19:O19" si="6">E17/E18*E15</f>
        <v>453598.54296778189</v>
      </c>
      <c r="F19" s="46">
        <f t="shared" si="6"/>
        <v>475439.14898147766</v>
      </c>
      <c r="G19" s="46">
        <f t="shared" si="6"/>
        <v>510849.43253268627</v>
      </c>
      <c r="H19" s="46">
        <f t="shared" si="6"/>
        <v>587067.74965121981</v>
      </c>
      <c r="I19" s="46">
        <f t="shared" si="6"/>
        <v>580143.82980946184</v>
      </c>
      <c r="J19" s="46">
        <f t="shared" si="6"/>
        <v>574656.99296797265</v>
      </c>
      <c r="K19" s="46">
        <f t="shared" si="6"/>
        <v>569487.71230944491</v>
      </c>
      <c r="L19" s="46">
        <f t="shared" si="6"/>
        <v>560493.91880251409</v>
      </c>
      <c r="M19" s="46">
        <f t="shared" si="6"/>
        <v>505255.68503800483</v>
      </c>
      <c r="N19" s="46">
        <f t="shared" si="6"/>
        <v>525119.44065031887</v>
      </c>
      <c r="O19" s="46">
        <f t="shared" si="6"/>
        <v>525488.62594936066</v>
      </c>
      <c r="P19" s="150"/>
      <c r="Q19" s="565"/>
      <c r="R19" s="421"/>
      <c r="S19" s="151"/>
      <c r="T19" s="152"/>
      <c r="U19" s="152"/>
      <c r="V19" s="152"/>
      <c r="W19" s="152"/>
      <c r="X19" s="152"/>
      <c r="Y19" s="152"/>
      <c r="Z19" s="152"/>
      <c r="AA19" s="152"/>
      <c r="AB19" s="152"/>
      <c r="AC19" s="153"/>
      <c r="AD19" s="152"/>
      <c r="AE19" s="152"/>
      <c r="AF19" s="152"/>
      <c r="AG19" s="152"/>
      <c r="AH19" s="152"/>
      <c r="AI19" s="152"/>
      <c r="AJ19" s="152"/>
      <c r="AK19" s="152"/>
      <c r="AL19" s="152"/>
      <c r="AM19" s="152"/>
      <c r="AN19" s="152"/>
      <c r="AO19" s="152"/>
      <c r="AP19" s="150"/>
      <c r="AQ19" s="154"/>
      <c r="AR19" s="154"/>
      <c r="AS19" s="154"/>
      <c r="AT19" s="154"/>
      <c r="AU19" s="154"/>
      <c r="AV19" s="154"/>
      <c r="AW19" s="154"/>
      <c r="AX19" s="154"/>
      <c r="AY19" s="154"/>
      <c r="AZ19" s="154"/>
      <c r="BA19" s="154"/>
      <c r="BB19" s="154"/>
      <c r="BC19" s="155"/>
      <c r="BD19" s="155"/>
      <c r="BE19" s="155"/>
      <c r="BF19" s="404"/>
      <c r="BG19" s="404"/>
      <c r="BH19" s="404"/>
      <c r="BI19" s="404"/>
      <c r="BJ19" s="56"/>
    </row>
    <row r="20" spans="1:62" s="42" customFormat="1" ht="12.75" customHeight="1">
      <c r="A20" s="43"/>
      <c r="B20" s="134" t="s">
        <v>144</v>
      </c>
      <c r="C20" s="56"/>
      <c r="D20" s="48">
        <f>HLOOKUP(D$7,'ODS Subs Data'!$A$45:$AH$49,ROWS('ODS Subs Data'!$A$45:$A$48),FALSE)</f>
        <v>1.5331524000000001E-2</v>
      </c>
      <c r="E20" s="48">
        <f>HLOOKUP(E$7,'ODS Subs Data'!$A$45:$AH$49,ROWS('ODS Subs Data'!$A$45:$A$48),FALSE)</f>
        <v>2.9636769795000002</v>
      </c>
      <c r="F20" s="48">
        <f>HLOOKUP(F$7,'ODS Subs Data'!$A$45:$AH$49,ROWS('ODS Subs Data'!$A$45:$A$48),FALSE)</f>
        <v>4.9444058864999993</v>
      </c>
      <c r="G20" s="48">
        <f>HLOOKUP(G$7,'ODS Subs Data'!$A$45:$AH$49,ROWS('ODS Subs Data'!$A$45:$A$48),FALSE)</f>
        <v>9.4590427961999985</v>
      </c>
      <c r="H20" s="48">
        <f>HLOOKUP(H$7,'ODS Subs Data'!$A$45:$AH$49,ROWS('ODS Subs Data'!$A$45:$A$48),FALSE)</f>
        <v>22.076133818999999</v>
      </c>
      <c r="I20" s="48">
        <f>HLOOKUP(I$7,'ODS Subs Data'!$A$45:$AH$49,ROWS('ODS Subs Data'!$A$45:$A$48),FALSE)</f>
        <v>25.363225943400003</v>
      </c>
      <c r="J20" s="48">
        <f>HLOOKUP(J$7,'ODS Subs Data'!$A$45:$AH$49,ROWS('ODS Subs Data'!$A$45:$A$48),FALSE)</f>
        <v>28.835006181299995</v>
      </c>
      <c r="K20" s="48">
        <f>HLOOKUP(K$7,'ODS Subs Data'!$A$45:$AH$49,ROWS('ODS Subs Data'!$A$45:$A$48),FALSE)</f>
        <v>32.43467263334</v>
      </c>
      <c r="L20" s="48">
        <f>HLOOKUP(L$7,'ODS Subs Data'!$A$45:$AH$49,ROWS('ODS Subs Data'!$A$45:$A$48),FALSE)</f>
        <v>35.986680838900007</v>
      </c>
      <c r="M20" s="48">
        <f>HLOOKUP(M$7,'ODS Subs Data'!$A$45:$AH$49,ROWS('ODS Subs Data'!$A$45:$A$48),FALSE)</f>
        <v>40.1213199269</v>
      </c>
      <c r="N20" s="48">
        <f>HLOOKUP(N$7,'ODS Subs Data'!$A$45:$AH$49,ROWS('ODS Subs Data'!$A$45:$A$48),FALSE)</f>
        <v>48.790876858400004</v>
      </c>
      <c r="O20" s="48">
        <f>HLOOKUP(O$7,'ODS Subs Data'!$A$45:$AH$49,ROWS('ODS Subs Data'!$A$45:$A$48),FALSE)</f>
        <v>54.039902339999998</v>
      </c>
      <c r="P20" s="150"/>
      <c r="Q20" s="151"/>
      <c r="R20" s="151"/>
      <c r="S20" s="151"/>
      <c r="T20" s="152"/>
      <c r="U20" s="152"/>
      <c r="V20" s="152"/>
      <c r="W20" s="152"/>
      <c r="X20" s="152"/>
      <c r="Y20" s="152"/>
      <c r="Z20" s="152"/>
      <c r="AA20" s="152"/>
      <c r="AB20" s="152"/>
      <c r="AC20" s="153"/>
      <c r="AD20" s="152"/>
      <c r="AE20" s="152"/>
      <c r="AF20" s="152"/>
      <c r="AG20" s="152"/>
      <c r="AH20" s="152"/>
      <c r="AI20" s="152"/>
      <c r="AJ20" s="152"/>
      <c r="AK20" s="152"/>
      <c r="AL20" s="152"/>
      <c r="AM20" s="152"/>
      <c r="AN20" s="152"/>
      <c r="AO20" s="152"/>
      <c r="AP20" s="150"/>
      <c r="AQ20" s="154"/>
      <c r="AR20" s="154"/>
      <c r="AS20" s="154"/>
      <c r="AT20" s="154"/>
      <c r="AU20" s="154"/>
      <c r="AV20" s="154"/>
      <c r="AW20" s="154"/>
      <c r="AX20" s="154"/>
      <c r="AY20" s="154"/>
      <c r="AZ20" s="154"/>
      <c r="BA20" s="154"/>
      <c r="BB20" s="154"/>
      <c r="BC20" s="155"/>
      <c r="BD20" s="155"/>
      <c r="BE20" s="155"/>
      <c r="BF20" s="404"/>
      <c r="BG20" s="404"/>
      <c r="BH20" s="404"/>
      <c r="BI20" s="404"/>
      <c r="BJ20" s="56"/>
    </row>
    <row r="21" spans="1:62" s="42" customFormat="1" ht="12.75" customHeight="1">
      <c r="A21" s="43"/>
      <c r="B21" s="134" t="s">
        <v>145</v>
      </c>
      <c r="C21" s="56"/>
      <c r="D21" s="48">
        <f>D19/D16*D20</f>
        <v>9.9051992992253403E-5</v>
      </c>
      <c r="E21" s="48">
        <f t="shared" ref="E21:O21" si="7">E19/E16*E20</f>
        <v>1.5253247651985897E-2</v>
      </c>
      <c r="F21" s="48">
        <f t="shared" si="7"/>
        <v>2.581366171555529E-2</v>
      </c>
      <c r="G21" s="48">
        <f>G19/G16*G20</f>
        <v>5.0616061222847376E-2</v>
      </c>
      <c r="H21" s="48">
        <f>H19/H16*H20</f>
        <v>0.12607185021517042</v>
      </c>
      <c r="I21" s="48">
        <f t="shared" si="7"/>
        <v>0.14145119429292066</v>
      </c>
      <c r="J21" s="48">
        <f t="shared" si="7"/>
        <v>0.15743993182159052</v>
      </c>
      <c r="K21" s="48">
        <f t="shared" si="7"/>
        <v>0.17348361557467276</v>
      </c>
      <c r="L21" s="48">
        <f t="shared" si="7"/>
        <v>0.18728936792536779</v>
      </c>
      <c r="M21" s="48">
        <f t="shared" si="7"/>
        <v>0.18611389078493218</v>
      </c>
      <c r="N21" s="48">
        <f t="shared" si="7"/>
        <v>0.23261401406088028</v>
      </c>
      <c r="O21" s="48">
        <f t="shared" si="7"/>
        <v>0.25498665709256013</v>
      </c>
      <c r="P21" s="150"/>
      <c r="Q21" s="151"/>
      <c r="R21" s="151"/>
      <c r="S21" s="151"/>
      <c r="T21" s="152"/>
      <c r="U21" s="152"/>
      <c r="V21" s="152"/>
      <c r="W21" s="152"/>
      <c r="X21" s="152"/>
      <c r="Y21" s="152"/>
      <c r="Z21" s="152"/>
      <c r="AA21" s="152"/>
      <c r="AB21" s="152"/>
      <c r="AC21" s="153"/>
      <c r="AD21" s="152"/>
      <c r="AE21" s="152"/>
      <c r="AF21" s="152"/>
      <c r="AG21" s="152"/>
      <c r="AH21" s="152"/>
      <c r="AI21" s="152"/>
      <c r="AJ21" s="152"/>
      <c r="AK21" s="152"/>
      <c r="AL21" s="152"/>
      <c r="AM21" s="152"/>
      <c r="AN21" s="152"/>
      <c r="AO21" s="152"/>
      <c r="AP21" s="150"/>
      <c r="AQ21" s="154"/>
      <c r="AR21" s="154"/>
      <c r="AS21" s="154"/>
      <c r="AT21" s="154"/>
      <c r="AU21" s="154"/>
      <c r="AV21" s="154"/>
      <c r="AW21" s="154"/>
      <c r="AX21" s="154"/>
      <c r="AY21" s="154"/>
      <c r="AZ21" s="154"/>
      <c r="BA21" s="154"/>
      <c r="BB21" s="154"/>
      <c r="BC21" s="155"/>
      <c r="BD21" s="155"/>
      <c r="BE21" s="155"/>
      <c r="BF21" s="404"/>
      <c r="BG21" s="404"/>
      <c r="BH21" s="404"/>
      <c r="BI21" s="404"/>
      <c r="BJ21" s="56"/>
    </row>
    <row r="22" spans="1:62" s="42" customFormat="1" ht="12.75" customHeight="1">
      <c r="A22" s="43"/>
      <c r="B22" s="56"/>
      <c r="C22" s="56"/>
      <c r="D22" s="575">
        <f t="shared" ref="D22:O22" si="8">D21-SUM(AQ50,AQ69,AQ88,AQ107,AQ126,AQ145,AQ164)</f>
        <v>0</v>
      </c>
      <c r="E22" s="575">
        <f t="shared" si="8"/>
        <v>0</v>
      </c>
      <c r="F22" s="575">
        <f t="shared" si="8"/>
        <v>0</v>
      </c>
      <c r="G22" s="575">
        <f t="shared" si="8"/>
        <v>0</v>
      </c>
      <c r="H22" s="575">
        <f t="shared" si="8"/>
        <v>0</v>
      </c>
      <c r="I22" s="575">
        <f t="shared" si="8"/>
        <v>0</v>
      </c>
      <c r="J22" s="575">
        <f t="shared" si="8"/>
        <v>0</v>
      </c>
      <c r="K22" s="575">
        <f t="shared" si="8"/>
        <v>0</v>
      </c>
      <c r="L22" s="575">
        <f t="shared" si="8"/>
        <v>0</v>
      </c>
      <c r="M22" s="575">
        <f t="shared" si="8"/>
        <v>0</v>
      </c>
      <c r="N22" s="575">
        <f t="shared" si="8"/>
        <v>0</v>
      </c>
      <c r="O22" s="575">
        <f t="shared" si="8"/>
        <v>0</v>
      </c>
      <c r="P22" s="150"/>
      <c r="Q22" s="151"/>
      <c r="R22" s="151"/>
      <c r="S22" s="151"/>
      <c r="T22" s="152"/>
      <c r="U22" s="152"/>
      <c r="V22" s="152"/>
      <c r="W22" s="152"/>
      <c r="X22" s="152"/>
      <c r="Y22" s="152"/>
      <c r="Z22" s="152"/>
      <c r="AA22" s="152"/>
      <c r="AB22" s="152"/>
      <c r="AC22" s="153"/>
      <c r="AD22" s="152"/>
      <c r="AE22" s="152"/>
      <c r="AF22" s="152"/>
      <c r="AG22" s="152"/>
      <c r="AH22" s="152"/>
      <c r="AI22" s="152"/>
      <c r="AJ22" s="152"/>
      <c r="AK22" s="152"/>
      <c r="AL22" s="152"/>
      <c r="AM22" s="152"/>
      <c r="AN22" s="152"/>
      <c r="AO22" s="152"/>
      <c r="AP22" s="150"/>
      <c r="AQ22" s="154"/>
      <c r="AR22" s="154"/>
      <c r="AS22" s="154"/>
      <c r="AT22" s="154"/>
      <c r="AU22" s="154"/>
      <c r="AV22" s="154"/>
      <c r="AW22" s="154"/>
      <c r="AX22" s="154"/>
      <c r="AY22" s="154"/>
      <c r="AZ22" s="154"/>
      <c r="BA22" s="154"/>
      <c r="BB22" s="154"/>
      <c r="BC22" s="155"/>
      <c r="BD22" s="155"/>
      <c r="BE22" s="155"/>
      <c r="BF22" s="404"/>
      <c r="BG22" s="404"/>
      <c r="BH22" s="404"/>
      <c r="BI22" s="404"/>
      <c r="BJ22" s="56"/>
    </row>
    <row r="23" spans="1:62" s="42" customFormat="1" ht="12.75" customHeight="1">
      <c r="A23" s="43"/>
      <c r="B23" s="120" t="s">
        <v>78</v>
      </c>
      <c r="C23" s="56"/>
      <c r="D23" s="438"/>
      <c r="E23" s="438"/>
      <c r="F23" s="438"/>
      <c r="G23" s="438"/>
      <c r="H23" s="438"/>
      <c r="I23" s="438"/>
      <c r="J23" s="438"/>
      <c r="K23" s="438"/>
      <c r="L23" s="438"/>
      <c r="M23" s="438"/>
      <c r="N23" s="438"/>
      <c r="O23" s="438"/>
      <c r="P23" s="150"/>
      <c r="Q23" s="151"/>
      <c r="R23" s="151"/>
      <c r="S23" s="151"/>
      <c r="T23" s="152"/>
      <c r="U23" s="152"/>
      <c r="V23" s="152"/>
      <c r="W23" s="152"/>
      <c r="X23" s="152"/>
      <c r="Y23" s="152"/>
      <c r="Z23" s="152"/>
      <c r="AA23" s="152"/>
      <c r="AB23" s="152"/>
      <c r="AC23" s="153"/>
      <c r="AD23" s="152"/>
      <c r="AE23" s="152"/>
      <c r="AF23" s="152"/>
      <c r="AG23" s="152"/>
      <c r="AH23" s="152"/>
      <c r="AI23" s="152"/>
      <c r="AJ23" s="152"/>
      <c r="AK23" s="152"/>
      <c r="AL23" s="152"/>
      <c r="AM23" s="152"/>
      <c r="AN23" s="152"/>
      <c r="AO23" s="152"/>
      <c r="AP23" s="150"/>
      <c r="AQ23" s="154"/>
      <c r="AR23" s="154"/>
      <c r="AS23" s="154"/>
      <c r="AT23" s="154"/>
      <c r="AU23" s="154"/>
      <c r="AV23" s="154"/>
      <c r="AW23" s="154"/>
      <c r="AX23" s="154"/>
      <c r="AY23" s="154"/>
      <c r="AZ23" s="154"/>
      <c r="BA23" s="154"/>
      <c r="BB23" s="154"/>
      <c r="BC23" s="155"/>
      <c r="BD23" s="155"/>
      <c r="BE23" s="155"/>
      <c r="BF23" s="404"/>
      <c r="BG23" s="404"/>
      <c r="BH23" s="404"/>
      <c r="BI23" s="404"/>
      <c r="BJ23" s="56"/>
    </row>
    <row r="24" spans="1:62" s="42" customFormat="1" ht="12.75" customHeight="1">
      <c r="A24" s="43"/>
      <c r="B24" s="134" t="s">
        <v>151</v>
      </c>
      <c r="C24" s="56"/>
      <c r="D24" s="46">
        <f>INDEX('ODS Subs Data'!$E$206:$E$229,MATCH(D$7,'ODS Subs Data'!$A$206:$A$229,0))</f>
        <v>1257319</v>
      </c>
      <c r="E24" s="46">
        <f>INDEX('ODS Subs Data'!$E$206:$E$229,MATCH(E$7,'ODS Subs Data'!$A$206:$A$229,0))</f>
        <v>1412500</v>
      </c>
      <c r="F24" s="46">
        <f>INDEX('ODS Subs Data'!$E$206:$E$229,MATCH(F$7,'ODS Subs Data'!$A$206:$A$229,0))</f>
        <v>1433461</v>
      </c>
      <c r="G24" s="46">
        <f>INDEX('ODS Subs Data'!$E$206:$E$229,MATCH(G$7,'ODS Subs Data'!$A$206:$A$229,0))</f>
        <v>1468736</v>
      </c>
      <c r="H24" s="46">
        <f>INDEX('ODS Subs Data'!$E$206:$E$229,MATCH(H$7,'ODS Subs Data'!$A$206:$A$229,0))</f>
        <v>1597450</v>
      </c>
      <c r="I24" s="46">
        <f>INDEX('ODS Subs Data'!$E$206:$E$229,MATCH(I$7,'ODS Subs Data'!$A$206:$A$229,0))</f>
        <v>1611051</v>
      </c>
      <c r="J24" s="46">
        <f>INDEX('ODS Subs Data'!$E$206:$E$229,MATCH(J$7,'ODS Subs Data'!$A$206:$A$229,0))</f>
        <v>1624163</v>
      </c>
      <c r="K24" s="46">
        <f>INDEX('ODS Subs Data'!$E$206:$E$229,MATCH(K$7,'ODS Subs Data'!$A$206:$A$229,0))</f>
        <v>1634237</v>
      </c>
      <c r="L24" s="46">
        <f>INDEX('ODS Subs Data'!$E$206:$E$229,MATCH(L$7,'ODS Subs Data'!$A$206:$A$229,0))</f>
        <v>1632588</v>
      </c>
      <c r="M24" s="46">
        <f>INDEX('ODS Subs Data'!$E$206:$E$229,MATCH(M$7,'ODS Subs Data'!$A$206:$A$229,0))</f>
        <v>1482790</v>
      </c>
      <c r="N24" s="46">
        <f>INDEX('ODS Subs Data'!$E$206:$E$229,MATCH(N$7,'ODS Subs Data'!$A$206:$A$229,0))</f>
        <v>1565043</v>
      </c>
      <c r="O24" s="46">
        <f>INDEX('ODS Subs Data'!$E$206:$E$229,MATCH(O$7,'ODS Subs Data'!$A$206:$A$229,0))</f>
        <v>1597575</v>
      </c>
      <c r="P24" s="150"/>
      <c r="Q24" s="421"/>
      <c r="R24" s="421"/>
      <c r="S24" s="151"/>
      <c r="T24" s="152"/>
      <c r="U24" s="152"/>
      <c r="V24" s="152"/>
      <c r="W24" s="152"/>
      <c r="X24" s="152"/>
      <c r="Y24" s="152"/>
      <c r="Z24" s="152"/>
      <c r="AA24" s="152"/>
      <c r="AB24" s="152"/>
      <c r="AC24" s="153"/>
      <c r="AD24" s="152"/>
      <c r="AE24" s="152"/>
      <c r="AF24" s="152"/>
      <c r="AG24" s="152"/>
      <c r="AH24" s="152"/>
      <c r="AI24" s="152"/>
      <c r="AJ24" s="152"/>
      <c r="AK24" s="152"/>
      <c r="AL24" s="152"/>
      <c r="AM24" s="152"/>
      <c r="AN24" s="152"/>
      <c r="AO24" s="152"/>
      <c r="AP24" s="150"/>
      <c r="AQ24" s="154"/>
      <c r="AR24" s="154"/>
      <c r="AS24" s="154"/>
      <c r="AT24" s="154"/>
      <c r="AU24" s="154"/>
      <c r="AV24" s="154"/>
      <c r="AW24" s="154"/>
      <c r="AX24" s="154"/>
      <c r="AY24" s="154"/>
      <c r="AZ24" s="154"/>
      <c r="BA24" s="154"/>
      <c r="BB24" s="154"/>
      <c r="BC24" s="155"/>
      <c r="BD24" s="155"/>
      <c r="BE24" s="155"/>
      <c r="BF24" s="404"/>
      <c r="BG24" s="404"/>
      <c r="BH24" s="404"/>
      <c r="BI24" s="404"/>
      <c r="BJ24" s="56"/>
    </row>
    <row r="25" spans="1:62" s="42" customFormat="1" ht="12.75" customHeight="1">
      <c r="A25" s="43"/>
      <c r="B25" s="134" t="s">
        <v>152</v>
      </c>
      <c r="C25" s="56"/>
      <c r="D25" s="46">
        <f>VLOOKUP(D$7,'ODS Subs Data'!$B$5:$C$37,2,FALSE)</f>
        <v>249622814</v>
      </c>
      <c r="E25" s="46">
        <f>VLOOKUP(E$7,'ODS Subs Data'!$B$5:$C$37,2,FALSE)</f>
        <v>295516599</v>
      </c>
      <c r="F25" s="46">
        <f>VLOOKUP(F$7,'ODS Subs Data'!$B$5:$C$37,2,FALSE)</f>
        <v>301231207</v>
      </c>
      <c r="G25" s="46">
        <f>VLOOKUP(G$7,'ODS Subs Data'!$B$5:$C$37,2,FALSE)</f>
        <v>309327143</v>
      </c>
      <c r="H25" s="46">
        <f>VLOOKUP(H$7,'ODS Subs Data'!$B$5:$C$37,2,FALSE)</f>
        <v>320738994</v>
      </c>
      <c r="I25" s="46">
        <f>VLOOKUP(I$7,'ODS Subs Data'!$B$5:$C$37,2,FALSE)</f>
        <v>323071755</v>
      </c>
      <c r="J25" s="46">
        <f>VLOOKUP(J$7,'ODS Subs Data'!$B$5:$C$37,2,FALSE)</f>
        <v>325122128</v>
      </c>
      <c r="K25" s="46">
        <f>VLOOKUP(K$7,'ODS Subs Data'!$B$5:$C$37,2,FALSE)</f>
        <v>326838199</v>
      </c>
      <c r="L25" s="46">
        <f>VLOOKUP(L$7,'ODS Subs Data'!$B$5:$C$37,2,FALSE)</f>
        <v>328329953</v>
      </c>
      <c r="M25" s="46">
        <f>VLOOKUP(M$7,'ODS Subs Data'!$B$5:$C$37,2,FALSE)</f>
        <v>331511512</v>
      </c>
      <c r="N25" s="46">
        <f>VLOOKUP(N$7,'ODS Subs Data'!$B$5:$C$37,2,FALSE)</f>
        <v>332031554</v>
      </c>
      <c r="O25" s="46">
        <f>VLOOKUP(O$7,'ODS Subs Data'!$B$5:$C$37,2,FALSE)</f>
        <v>333287557</v>
      </c>
      <c r="P25" s="150"/>
      <c r="Q25" s="151"/>
      <c r="R25" s="151"/>
      <c r="S25" s="151"/>
      <c r="T25" s="152"/>
      <c r="U25" s="152"/>
      <c r="V25" s="152"/>
      <c r="W25" s="152"/>
      <c r="X25" s="152"/>
      <c r="Y25" s="152"/>
      <c r="Z25" s="152"/>
      <c r="AA25" s="152"/>
      <c r="AB25" s="152"/>
      <c r="AC25" s="153"/>
      <c r="AD25" s="152"/>
      <c r="AE25" s="152"/>
      <c r="AF25" s="152"/>
      <c r="AG25" s="152"/>
      <c r="AH25" s="152"/>
      <c r="AI25" s="152"/>
      <c r="AJ25" s="152"/>
      <c r="AK25" s="152"/>
      <c r="AL25" s="152"/>
      <c r="AM25" s="152"/>
      <c r="AN25" s="152"/>
      <c r="AO25" s="152"/>
      <c r="AP25" s="150"/>
      <c r="AQ25" s="154"/>
      <c r="AR25" s="154"/>
      <c r="AS25" s="154"/>
      <c r="AT25" s="154"/>
      <c r="AU25" s="154"/>
      <c r="AV25" s="154"/>
      <c r="AW25" s="154"/>
      <c r="AX25" s="154"/>
      <c r="AY25" s="154"/>
      <c r="AZ25" s="154"/>
      <c r="BA25" s="154"/>
      <c r="BB25" s="154"/>
      <c r="BC25" s="155"/>
      <c r="BD25" s="155"/>
      <c r="BE25" s="155"/>
      <c r="BF25" s="404"/>
      <c r="BG25" s="404"/>
      <c r="BH25" s="404"/>
      <c r="BI25" s="404"/>
      <c r="BJ25" s="56"/>
    </row>
    <row r="26" spans="1:62" s="42" customFormat="1" ht="12.75" customHeight="1">
      <c r="A26" s="43"/>
      <c r="B26" s="134" t="s">
        <v>144</v>
      </c>
      <c r="C26" s="56"/>
      <c r="D26" s="48">
        <f>HLOOKUP(D$7,'ODS Subs Data'!$B$45:$AH$54,ROWS('ODS Subs Data'!$B$45:$B$54),FALSE)-D11-D20</f>
        <v>0.23746783200000002</v>
      </c>
      <c r="E26" s="48">
        <f>HLOOKUP(E$7,'ODS Subs Data'!$B$45:$AH$54,ROWS('ODS Subs Data'!$B$45:$B$54),FALSE)-E11-E20</f>
        <v>34.983364206100006</v>
      </c>
      <c r="F26" s="48">
        <f>HLOOKUP(F$7,'ODS Subs Data'!$B$45:$AH$54,ROWS('ODS Subs Data'!$B$45:$B$54),FALSE)-F11-F20</f>
        <v>45.235645325100002</v>
      </c>
      <c r="G26" s="48">
        <f>HLOOKUP(G$7,'ODS Subs Data'!$B$45:$AH$54,ROWS('ODS Subs Data'!$B$45:$B$54),FALSE)-G11-G20</f>
        <v>69.115568661600008</v>
      </c>
      <c r="H26" s="48">
        <f>HLOOKUP(H$7,'ODS Subs Data'!$B$45:$AH$54,ROWS('ODS Subs Data'!$B$45:$B$54),FALSE)-H11-H20</f>
        <v>94.791044919100017</v>
      </c>
      <c r="I26" s="48">
        <f>HLOOKUP(I$7,'ODS Subs Data'!$B$45:$AH$54,ROWS('ODS Subs Data'!$B$45:$B$54),FALSE)-I11-I20</f>
        <v>96.484072376200004</v>
      </c>
      <c r="J26" s="48">
        <f>HLOOKUP(J$7,'ODS Subs Data'!$B$45:$AH$54,ROWS('ODS Subs Data'!$B$45:$B$54),FALSE)-J11-J20</f>
        <v>96.694379668939973</v>
      </c>
      <c r="K26" s="48">
        <f>HLOOKUP(K$7,'ODS Subs Data'!$B$45:$AH$54,ROWS('ODS Subs Data'!$B$45:$B$54),FALSE)-K11-K20</f>
        <v>96.794629847940001</v>
      </c>
      <c r="L26" s="48">
        <f>HLOOKUP(L$7,'ODS Subs Data'!$B$45:$AH$54,ROWS('ODS Subs Data'!$B$45:$B$54),FALSE)-L11-L20</f>
        <v>99.471315222579989</v>
      </c>
      <c r="M26" s="48">
        <f>HLOOKUP(M$7,'ODS Subs Data'!$B$45:$AH$54,ROWS('ODS Subs Data'!$B$45:$B$54),FALSE)-M11-M20</f>
        <v>101.47692567620003</v>
      </c>
      <c r="N26" s="48">
        <f>HLOOKUP(N$7,'ODS Subs Data'!$B$45:$AH$54,ROWS('ODS Subs Data'!$B$45:$B$54),FALSE)-N11-N20</f>
        <v>101.02619746814</v>
      </c>
      <c r="O26" s="48">
        <f>HLOOKUP(O$7,'ODS Subs Data'!$B$45:$AH$54,ROWS('ODS Subs Data'!$B$45:$B$54),FALSE)-O11-O20</f>
        <v>103.30122147061999</v>
      </c>
      <c r="P26" s="150"/>
      <c r="Q26" s="151"/>
      <c r="R26" s="151"/>
      <c r="S26" s="151"/>
      <c r="T26" s="152"/>
      <c r="U26" s="152"/>
      <c r="V26" s="152"/>
      <c r="W26" s="152"/>
      <c r="X26" s="152"/>
      <c r="Y26" s="152"/>
      <c r="Z26" s="152"/>
      <c r="AA26" s="152"/>
      <c r="AB26" s="152"/>
      <c r="AC26" s="153"/>
      <c r="AD26" s="152"/>
      <c r="AE26" s="152"/>
      <c r="AF26" s="152"/>
      <c r="AG26" s="152"/>
      <c r="AH26" s="152"/>
      <c r="AI26" s="152"/>
      <c r="AJ26" s="152"/>
      <c r="AK26" s="152"/>
      <c r="AL26" s="152"/>
      <c r="AM26" s="152"/>
      <c r="AN26" s="152"/>
      <c r="AO26" s="152"/>
      <c r="AP26" s="150"/>
      <c r="AQ26" s="154"/>
      <c r="AR26" s="154"/>
      <c r="AS26" s="154"/>
      <c r="AT26" s="154"/>
      <c r="AU26" s="154"/>
      <c r="AV26" s="154"/>
      <c r="AW26" s="154"/>
      <c r="AX26" s="154"/>
      <c r="AY26" s="154"/>
      <c r="AZ26" s="154"/>
      <c r="BA26" s="154"/>
      <c r="BB26" s="154"/>
      <c r="BC26" s="155"/>
      <c r="BD26" s="155"/>
      <c r="BE26" s="155"/>
      <c r="BF26" s="404"/>
      <c r="BG26" s="404"/>
      <c r="BH26" s="404"/>
      <c r="BI26" s="404"/>
      <c r="BJ26" s="56"/>
    </row>
    <row r="27" spans="1:62" s="42" customFormat="1" ht="12.75" customHeight="1">
      <c r="A27" s="43"/>
      <c r="B27" s="134" t="s">
        <v>145</v>
      </c>
      <c r="C27" s="56"/>
      <c r="D27" s="48">
        <f>D24/D25*D26</f>
        <v>1.1960958707180026E-3</v>
      </c>
      <c r="E27" s="48">
        <f t="shared" ref="E27" si="9">E24/E25*E26</f>
        <v>0.16721227202914668</v>
      </c>
      <c r="F27" s="48">
        <f>F24/F25*F26</f>
        <v>0.21526167235177321</v>
      </c>
      <c r="G27" s="48">
        <f t="shared" ref="G27:H27" si="10">G24/G25*G26</f>
        <v>0.328172053927268</v>
      </c>
      <c r="H27" s="48">
        <f t="shared" si="10"/>
        <v>0.47210958922573765</v>
      </c>
      <c r="I27" s="48">
        <f>I24/I25*I26</f>
        <v>0.48113386230792415</v>
      </c>
      <c r="J27" s="48">
        <f t="shared" ref="J27:L27" si="11">J24/J25*J26</f>
        <v>0.48304135658906783</v>
      </c>
      <c r="K27" s="48">
        <f t="shared" si="11"/>
        <v>0.48398677383119443</v>
      </c>
      <c r="L27" s="48">
        <f t="shared" si="11"/>
        <v>0.49461121074324105</v>
      </c>
      <c r="M27" s="48">
        <f t="shared" ref="M27:O27" si="12">M24/M25*M26</f>
        <v>0.45388761830814678</v>
      </c>
      <c r="N27" s="48">
        <f t="shared" si="12"/>
        <v>0.47619071518766021</v>
      </c>
      <c r="O27" s="48">
        <f t="shared" si="12"/>
        <v>0.49516234682270405</v>
      </c>
      <c r="P27" s="150"/>
      <c r="Q27" s="151"/>
      <c r="R27" s="151"/>
      <c r="S27" s="151"/>
      <c r="T27" s="152"/>
      <c r="U27" s="152"/>
      <c r="V27" s="152"/>
      <c r="W27" s="152"/>
      <c r="X27" s="152"/>
      <c r="Y27" s="152"/>
      <c r="Z27" s="152"/>
      <c r="AA27" s="152"/>
      <c r="AB27" s="152"/>
      <c r="AC27" s="153"/>
      <c r="AD27" s="152"/>
      <c r="AE27" s="152"/>
      <c r="AF27" s="152"/>
      <c r="AG27" s="152"/>
      <c r="AH27" s="152"/>
      <c r="AI27" s="152"/>
      <c r="AJ27" s="152"/>
      <c r="AK27" s="152"/>
      <c r="AL27" s="152"/>
      <c r="AM27" s="152"/>
      <c r="AN27" s="152"/>
      <c r="AO27" s="152"/>
      <c r="AP27" s="150"/>
      <c r="AQ27" s="154"/>
      <c r="AR27" s="154"/>
      <c r="AS27" s="154"/>
      <c r="AT27" s="154"/>
      <c r="AU27" s="154"/>
      <c r="AV27" s="154"/>
      <c r="AW27" s="154"/>
      <c r="AX27" s="154"/>
      <c r="AY27" s="154"/>
      <c r="AZ27" s="154"/>
      <c r="BA27" s="154"/>
      <c r="BB27" s="154"/>
      <c r="BC27" s="155"/>
      <c r="BD27" s="155"/>
      <c r="BE27" s="155"/>
      <c r="BF27" s="404"/>
      <c r="BG27" s="404"/>
      <c r="BH27" s="404"/>
      <c r="BI27" s="404"/>
      <c r="BJ27" s="56"/>
    </row>
    <row r="28" spans="1:62" s="42" customFormat="1" ht="12.75" customHeight="1">
      <c r="A28" s="43"/>
      <c r="B28" s="56"/>
      <c r="C28" s="56"/>
      <c r="D28" s="575">
        <f t="shared" ref="D28:O28" si="13">D27-SUM(AQ54:AQ58,AQ73:AQ77,AQ92:AQ96,AQ111:AQ115,AQ130:AQ134,AQ149:AQ153,AQ168:AQ172)</f>
        <v>0</v>
      </c>
      <c r="E28" s="575">
        <f t="shared" si="13"/>
        <v>0</v>
      </c>
      <c r="F28" s="575">
        <f t="shared" si="13"/>
        <v>0</v>
      </c>
      <c r="G28" s="575">
        <f t="shared" si="13"/>
        <v>0</v>
      </c>
      <c r="H28" s="575">
        <f t="shared" si="13"/>
        <v>0</v>
      </c>
      <c r="I28" s="575">
        <f t="shared" si="13"/>
        <v>0</v>
      </c>
      <c r="J28" s="575">
        <f t="shared" si="13"/>
        <v>0</v>
      </c>
      <c r="K28" s="575">
        <f t="shared" si="13"/>
        <v>0</v>
      </c>
      <c r="L28" s="575">
        <f t="shared" si="13"/>
        <v>0</v>
      </c>
      <c r="M28" s="575">
        <f t="shared" si="13"/>
        <v>0</v>
      </c>
      <c r="N28" s="575">
        <f t="shared" si="13"/>
        <v>0</v>
      </c>
      <c r="O28" s="575">
        <f t="shared" si="13"/>
        <v>0</v>
      </c>
      <c r="P28" s="150"/>
      <c r="Q28" s="151"/>
      <c r="R28" s="151"/>
      <c r="S28" s="151"/>
      <c r="T28" s="152"/>
      <c r="U28" s="152"/>
      <c r="V28" s="152"/>
      <c r="W28" s="152"/>
      <c r="X28" s="152"/>
      <c r="Y28" s="152"/>
      <c r="Z28" s="152"/>
      <c r="AA28" s="152"/>
      <c r="AB28" s="152"/>
      <c r="AC28" s="153"/>
      <c r="AD28" s="152"/>
      <c r="AE28" s="152"/>
      <c r="AF28" s="152"/>
      <c r="AG28" s="152"/>
      <c r="AH28" s="152"/>
      <c r="AI28" s="152"/>
      <c r="AJ28" s="152"/>
      <c r="AK28" s="152"/>
      <c r="AL28" s="152"/>
      <c r="AM28" s="152"/>
      <c r="AN28" s="152"/>
      <c r="AO28" s="152"/>
      <c r="AP28" s="150"/>
      <c r="AQ28" s="154"/>
      <c r="AR28" s="154"/>
      <c r="AS28" s="154"/>
      <c r="AT28" s="154"/>
      <c r="AU28" s="154"/>
      <c r="AV28" s="154"/>
      <c r="AW28" s="154"/>
      <c r="AX28" s="154"/>
      <c r="AY28" s="154"/>
      <c r="AZ28" s="154"/>
      <c r="BA28" s="154"/>
      <c r="BB28" s="154"/>
      <c r="BC28" s="155"/>
      <c r="BD28" s="155"/>
      <c r="BE28" s="155"/>
      <c r="BF28" s="404"/>
      <c r="BG28" s="404"/>
      <c r="BH28" s="404"/>
      <c r="BI28" s="404"/>
      <c r="BJ28" s="56"/>
    </row>
    <row r="29" spans="1:62" s="42" customFormat="1" ht="12.75" customHeight="1">
      <c r="A29" s="43"/>
      <c r="B29" s="159" t="s">
        <v>153</v>
      </c>
      <c r="C29" s="56"/>
      <c r="D29" s="45">
        <f t="shared" ref="D29:I29" si="14">D12+D21+D27</f>
        <v>1.2951478637102561E-3</v>
      </c>
      <c r="E29" s="45">
        <f>E12+E21+E27</f>
        <v>0.46181603711610281</v>
      </c>
      <c r="F29" s="45">
        <f t="shared" si="14"/>
        <v>0.52285565538432754</v>
      </c>
      <c r="G29" s="45">
        <f>G12+G21+G27</f>
        <v>0.64547087176434936</v>
      </c>
      <c r="H29" s="45">
        <f t="shared" si="14"/>
        <v>0.77304586812249554</v>
      </c>
      <c r="I29" s="45">
        <f t="shared" si="14"/>
        <v>0.77936215912470419</v>
      </c>
      <c r="J29" s="45">
        <f>J12+J21+J27</f>
        <v>0.78208292023898518</v>
      </c>
      <c r="K29" s="45">
        <f t="shared" ref="K29:L29" si="15">K12+K21+K27</f>
        <v>0.78992219245559414</v>
      </c>
      <c r="L29" s="45">
        <f t="shared" si="15"/>
        <v>0.80497522367443008</v>
      </c>
      <c r="M29" s="45">
        <f t="shared" ref="M29:O29" si="16">M12+M21+M27</f>
        <v>0.74999641597544886</v>
      </c>
      <c r="N29" s="45">
        <f t="shared" si="16"/>
        <v>0.8088312514492102</v>
      </c>
      <c r="O29" s="45">
        <f t="shared" si="16"/>
        <v>0.84217783737580731</v>
      </c>
      <c r="P29" s="150"/>
      <c r="Q29" s="151"/>
      <c r="R29" s="151"/>
      <c r="S29" s="151"/>
      <c r="T29" s="152"/>
      <c r="U29" s="152"/>
      <c r="V29" s="152"/>
      <c r="W29" s="152"/>
      <c r="X29" s="152"/>
      <c r="Y29" s="152"/>
      <c r="Z29" s="152"/>
      <c r="AA29" s="152"/>
      <c r="AB29" s="152"/>
      <c r="AC29" s="153"/>
      <c r="AD29" s="152"/>
      <c r="AE29" s="152"/>
      <c r="AF29" s="152"/>
      <c r="AG29" s="152"/>
      <c r="AH29" s="152"/>
      <c r="AI29" s="152"/>
      <c r="AJ29" s="152"/>
      <c r="AK29" s="152"/>
      <c r="AL29" s="152"/>
      <c r="AM29" s="152"/>
      <c r="AN29" s="152"/>
      <c r="AO29" s="152"/>
      <c r="AP29" s="150"/>
      <c r="AQ29" s="154"/>
      <c r="AR29" s="154"/>
      <c r="AS29" s="154"/>
      <c r="AT29" s="154"/>
      <c r="AU29" s="154"/>
      <c r="AV29" s="154"/>
      <c r="AW29" s="154"/>
      <c r="AX29" s="154"/>
      <c r="AY29" s="154"/>
      <c r="AZ29" s="154"/>
      <c r="BA29" s="154"/>
      <c r="BB29" s="154"/>
      <c r="BC29" s="155"/>
      <c r="BD29" s="155"/>
      <c r="BE29" s="155"/>
      <c r="BF29" s="404"/>
      <c r="BG29" s="404"/>
      <c r="BH29" s="404"/>
      <c r="BI29" s="404"/>
      <c r="BJ29" s="56"/>
    </row>
    <row r="30" spans="1:62" s="2" customFormat="1">
      <c r="A30" s="3"/>
      <c r="B30" s="33"/>
      <c r="C30" s="3"/>
      <c r="D30" s="31"/>
      <c r="E30" s="31"/>
      <c r="F30" s="31"/>
      <c r="G30" s="31"/>
      <c r="H30" s="31"/>
      <c r="I30" s="420"/>
      <c r="J30" s="31"/>
      <c r="K30" s="31"/>
      <c r="L30" s="31"/>
      <c r="M30" s="31"/>
      <c r="N30" s="31"/>
      <c r="O30" s="31"/>
      <c r="P30" s="4"/>
      <c r="Q30" s="10"/>
      <c r="R30" s="10"/>
      <c r="S30" s="10"/>
      <c r="T30" s="31"/>
      <c r="U30" s="31"/>
      <c r="V30" s="31"/>
      <c r="W30" s="31"/>
      <c r="X30" s="31"/>
      <c r="Y30" s="31"/>
      <c r="Z30" s="31"/>
      <c r="AA30" s="31"/>
      <c r="AB30" s="31"/>
      <c r="AC30" s="32"/>
      <c r="AD30" s="31"/>
      <c r="AE30" s="31"/>
      <c r="AF30" s="31"/>
      <c r="AG30" s="31"/>
      <c r="AH30" s="31"/>
      <c r="AI30" s="31"/>
      <c r="AJ30" s="31"/>
      <c r="AK30" s="31"/>
      <c r="AL30" s="31"/>
      <c r="AM30" s="31"/>
      <c r="AN30" s="31"/>
      <c r="AO30" s="31"/>
      <c r="AP30" s="4"/>
      <c r="AQ30" s="17"/>
      <c r="AR30" s="17"/>
      <c r="AS30" s="17"/>
      <c r="AT30" s="31"/>
      <c r="AU30" s="31"/>
      <c r="AV30" s="31"/>
      <c r="AW30" s="31"/>
      <c r="AX30" s="31"/>
      <c r="AY30" s="31"/>
      <c r="AZ30" s="31"/>
      <c r="BA30" s="31"/>
      <c r="BB30" s="31"/>
      <c r="BC30" s="1"/>
      <c r="BD30" s="1"/>
      <c r="BE30" s="1"/>
      <c r="BF30" s="34"/>
      <c r="BG30" s="34"/>
      <c r="BH30" s="34"/>
      <c r="BI30" s="34"/>
      <c r="BJ30" s="13"/>
    </row>
    <row r="31" spans="1:62" s="42" customFormat="1">
      <c r="A31" s="214" t="s">
        <v>116</v>
      </c>
      <c r="B31" s="215"/>
      <c r="C31" s="215"/>
      <c r="D31" s="215"/>
      <c r="E31" s="215"/>
      <c r="F31" s="215"/>
      <c r="G31" s="215"/>
      <c r="H31" s="215"/>
      <c r="I31" s="215"/>
      <c r="J31" s="215"/>
      <c r="K31" s="215"/>
      <c r="L31" s="215"/>
      <c r="M31" s="215"/>
      <c r="N31" s="215"/>
      <c r="O31" s="215"/>
      <c r="P31" s="215"/>
      <c r="Q31" s="215"/>
      <c r="R31" s="215"/>
      <c r="S31" s="215"/>
      <c r="T31" s="215"/>
      <c r="U31" s="215"/>
      <c r="V31" s="215"/>
      <c r="W31" s="215"/>
      <c r="X31" s="215"/>
      <c r="Y31" s="215"/>
      <c r="Z31" s="215"/>
      <c r="AA31" s="215"/>
      <c r="AB31" s="215"/>
      <c r="AC31" s="215"/>
      <c r="AD31" s="604"/>
      <c r="AE31" s="604"/>
      <c r="AF31" s="604"/>
      <c r="AG31" s="215"/>
      <c r="AH31" s="215"/>
      <c r="AI31" s="215"/>
      <c r="AJ31" s="215"/>
      <c r="AK31" s="215"/>
      <c r="AL31" s="215"/>
      <c r="AM31" s="215"/>
      <c r="AN31" s="215"/>
      <c r="AO31" s="215"/>
      <c r="AP31" s="215"/>
      <c r="AQ31" s="215"/>
      <c r="AR31" s="215"/>
      <c r="AS31" s="215"/>
      <c r="AT31" s="215"/>
      <c r="AU31" s="215"/>
      <c r="AV31" s="215"/>
      <c r="AW31" s="215"/>
      <c r="AX31" s="215"/>
      <c r="AY31" s="215"/>
      <c r="AZ31" s="215"/>
      <c r="BA31" s="215"/>
      <c r="BB31" s="215"/>
      <c r="BF31" s="404"/>
      <c r="BG31" s="404"/>
      <c r="BH31" s="404"/>
      <c r="BI31" s="404"/>
      <c r="BJ31" s="56"/>
    </row>
    <row r="32" spans="1:62" s="2" customFormat="1">
      <c r="A32" s="3"/>
      <c r="B32" s="33"/>
      <c r="C32" s="3"/>
      <c r="D32" s="31"/>
      <c r="E32" s="31"/>
      <c r="F32" s="31"/>
      <c r="G32" s="31"/>
      <c r="H32" s="31"/>
      <c r="I32" s="31"/>
      <c r="J32" s="31"/>
      <c r="K32" s="31"/>
      <c r="L32" s="31"/>
      <c r="M32" s="31"/>
      <c r="N32" s="31"/>
      <c r="O32" s="31"/>
      <c r="P32" s="4"/>
      <c r="Q32" s="10"/>
      <c r="R32" s="10"/>
      <c r="S32" s="10"/>
      <c r="T32" s="31"/>
      <c r="U32" s="31"/>
      <c r="V32" s="31"/>
      <c r="W32" s="31"/>
      <c r="X32" s="31"/>
      <c r="Y32" s="31"/>
      <c r="Z32" s="31"/>
      <c r="AA32" s="31"/>
      <c r="AB32" s="31"/>
      <c r="AC32" s="32"/>
      <c r="AD32" s="31"/>
      <c r="AE32" s="31"/>
      <c r="AF32" s="31"/>
      <c r="AG32" s="31"/>
      <c r="AH32" s="31"/>
      <c r="AI32" s="31"/>
      <c r="AJ32" s="31"/>
      <c r="AK32" s="31"/>
      <c r="AL32" s="31"/>
      <c r="AM32" s="31"/>
      <c r="AN32" s="31"/>
      <c r="AO32" s="31"/>
      <c r="AP32" s="4"/>
      <c r="AQ32" s="17"/>
      <c r="AR32" s="17"/>
      <c r="AS32" s="17"/>
      <c r="AT32" s="31"/>
      <c r="AU32" s="31"/>
      <c r="AV32" s="31"/>
      <c r="AW32" s="31"/>
      <c r="AX32" s="31"/>
      <c r="AY32" s="31"/>
      <c r="AZ32" s="31"/>
      <c r="BA32" s="31"/>
      <c r="BB32" s="31"/>
      <c r="BC32" s="1"/>
      <c r="BD32" s="1"/>
      <c r="BE32" s="1"/>
      <c r="BF32" s="34"/>
      <c r="BG32" s="34"/>
      <c r="BH32" s="34"/>
      <c r="BI32" s="34"/>
      <c r="BJ32" s="13"/>
    </row>
    <row r="33" spans="1:62" s="2" customFormat="1">
      <c r="A33" s="3"/>
      <c r="B33" s="120" t="s">
        <v>114</v>
      </c>
      <c r="C33" s="3"/>
      <c r="D33" s="68">
        <v>1990</v>
      </c>
      <c r="E33" s="68">
        <v>2005</v>
      </c>
      <c r="F33" s="68">
        <v>2007</v>
      </c>
      <c r="G33" s="68">
        <v>2010</v>
      </c>
      <c r="H33" s="68">
        <v>2015</v>
      </c>
      <c r="I33" s="68">
        <v>2016</v>
      </c>
      <c r="J33" s="68">
        <v>2017</v>
      </c>
      <c r="K33" s="68">
        <v>2018</v>
      </c>
      <c r="L33" s="68">
        <v>2019</v>
      </c>
      <c r="M33" s="68">
        <v>2020</v>
      </c>
      <c r="N33" s="68">
        <v>2021</v>
      </c>
      <c r="O33" s="68">
        <v>2022</v>
      </c>
      <c r="P33" s="4"/>
      <c r="Q33" s="10"/>
      <c r="R33" s="10"/>
      <c r="S33" s="10"/>
      <c r="T33" s="31"/>
      <c r="U33" s="31"/>
      <c r="V33" s="31"/>
      <c r="W33" s="31"/>
      <c r="X33" s="31"/>
      <c r="Y33" s="31"/>
      <c r="Z33" s="31"/>
      <c r="AA33" s="31"/>
      <c r="AB33" s="31"/>
      <c r="AC33" s="32"/>
      <c r="AD33" s="31"/>
      <c r="AE33" s="31"/>
      <c r="AF33" s="31"/>
      <c r="AG33" s="31"/>
      <c r="AH33" s="31"/>
      <c r="AI33" s="31"/>
      <c r="AJ33" s="31"/>
      <c r="AK33" s="31"/>
      <c r="AL33" s="31"/>
      <c r="AM33" s="31"/>
      <c r="AN33" s="31"/>
      <c r="AO33" s="31"/>
      <c r="AP33" s="4"/>
      <c r="AQ33" s="17"/>
      <c r="AR33" s="17"/>
      <c r="AS33" s="17"/>
      <c r="AT33" s="31"/>
      <c r="AU33" s="31"/>
      <c r="AV33" s="31"/>
      <c r="AW33" s="31"/>
      <c r="AX33" s="31"/>
      <c r="AY33" s="31"/>
      <c r="AZ33" s="31"/>
      <c r="BA33" s="31"/>
      <c r="BB33" s="31"/>
      <c r="BC33" s="1"/>
      <c r="BD33" s="1"/>
      <c r="BE33" s="1"/>
      <c r="BF33" s="34"/>
      <c r="BG33" s="34"/>
      <c r="BH33" s="34"/>
      <c r="BI33" s="34"/>
      <c r="BJ33" s="13"/>
    </row>
    <row r="34" spans="1:62" s="2" customFormat="1">
      <c r="A34" s="3"/>
      <c r="B34" s="134" t="s">
        <v>87</v>
      </c>
      <c r="C34" s="3"/>
      <c r="D34" s="49">
        <f t="shared" ref="D34:N34" si="17">HLOOKUP(D$33,$AQ$45:$BB$60,ROWS($AQ$45:$AQ$60),0)</f>
        <v>1.4122800781525387E-4</v>
      </c>
      <c r="E34" s="49">
        <f t="shared" si="17"/>
        <v>6.6621614112270827E-2</v>
      </c>
      <c r="F34" s="49">
        <f t="shared" si="17"/>
        <v>7.6892383810602205E-2</v>
      </c>
      <c r="G34" s="49">
        <f>HLOOKUP(G$33,$AQ$45:$BB$60,ROWS($AQ$45:$AQ$60),0)</f>
        <v>9.3147427060443225E-2</v>
      </c>
      <c r="H34" s="49">
        <f t="shared" si="17"/>
        <v>0.10951186391998333</v>
      </c>
      <c r="I34" s="49">
        <f t="shared" si="17"/>
        <v>0.11045069997242704</v>
      </c>
      <c r="J34" s="49">
        <f t="shared" si="17"/>
        <v>0.11206184341630175</v>
      </c>
      <c r="K34" s="49">
        <f t="shared" si="17"/>
        <v>0.11273314490384584</v>
      </c>
      <c r="L34" s="49">
        <f t="shared" si="17"/>
        <v>0.11491205121151835</v>
      </c>
      <c r="M34" s="49">
        <f t="shared" si="17"/>
        <v>0.10797506944118317</v>
      </c>
      <c r="N34" s="49">
        <f t="shared" si="17"/>
        <v>0.11870725947460881</v>
      </c>
      <c r="O34" s="49">
        <f>HLOOKUP(O$33,$AQ$45:$BB$60,ROWS($AQ$45:$AQ$60),0)</f>
        <v>0.12524974508223266</v>
      </c>
      <c r="P34" s="4"/>
      <c r="Q34" s="10"/>
      <c r="R34" s="10"/>
      <c r="S34" s="10"/>
      <c r="T34" s="31"/>
      <c r="U34" s="31"/>
      <c r="V34" s="31"/>
      <c r="W34" s="31"/>
      <c r="X34" s="31"/>
      <c r="Y34" s="31"/>
      <c r="Z34" s="31"/>
      <c r="AA34" s="31"/>
      <c r="AB34" s="31"/>
      <c r="AC34" s="32"/>
      <c r="AD34" s="31"/>
      <c r="AE34" s="31"/>
      <c r="AF34" s="31"/>
      <c r="AG34" s="31"/>
      <c r="AH34" s="31"/>
      <c r="AI34" s="31"/>
      <c r="AJ34" s="31"/>
      <c r="AK34" s="31"/>
      <c r="AL34" s="31"/>
      <c r="AM34" s="31"/>
      <c r="AN34" s="31"/>
      <c r="AO34" s="31"/>
      <c r="AP34" s="4"/>
      <c r="AQ34" s="17"/>
      <c r="AR34" s="17"/>
      <c r="AS34" s="17"/>
      <c r="AT34" s="31"/>
      <c r="AU34" s="31"/>
      <c r="AV34" s="31"/>
      <c r="AW34" s="31"/>
      <c r="AX34" s="31"/>
      <c r="AY34" s="31"/>
      <c r="AZ34" s="31"/>
      <c r="BA34" s="31"/>
      <c r="BB34" s="31"/>
      <c r="BC34" s="1"/>
      <c r="BD34" s="1"/>
      <c r="BE34" s="1"/>
      <c r="BF34" s="34"/>
      <c r="BG34" s="34"/>
      <c r="BH34" s="34"/>
      <c r="BI34" s="34"/>
      <c r="BJ34" s="13"/>
    </row>
    <row r="35" spans="1:62" s="2" customFormat="1">
      <c r="A35" s="3"/>
      <c r="B35" s="134" t="s">
        <v>95</v>
      </c>
      <c r="C35" s="3"/>
      <c r="D35" s="49">
        <f t="shared" ref="D35:N35" si="18">HLOOKUP(D$33,$AQ$159:$BB$174,ROWS($AQ$159:$AQ$174),0)</f>
        <v>9.4074542673334136E-4</v>
      </c>
      <c r="E35" s="49">
        <f t="shared" si="18"/>
        <v>0.30218909458294496</v>
      </c>
      <c r="F35" s="49">
        <f t="shared" si="18"/>
        <v>0.34149170544226748</v>
      </c>
      <c r="G35" s="49">
        <f>HLOOKUP(G$33,$AQ$159:$BB$174,ROWS($AQ$159:$AQ$174),0)</f>
        <v>0.42639985748953274</v>
      </c>
      <c r="H35" s="49">
        <f t="shared" si="18"/>
        <v>0.51231671723730476</v>
      </c>
      <c r="I35" s="49">
        <f t="shared" si="18"/>
        <v>0.51599682768778032</v>
      </c>
      <c r="J35" s="49">
        <f t="shared" si="18"/>
        <v>0.51602974607650476</v>
      </c>
      <c r="K35" s="49">
        <f t="shared" si="18"/>
        <v>0.51976567127765516</v>
      </c>
      <c r="L35" s="49">
        <f t="shared" si="18"/>
        <v>0.52925859268634989</v>
      </c>
      <c r="M35" s="49">
        <f t="shared" si="18"/>
        <v>0.50683612243788767</v>
      </c>
      <c r="N35" s="49">
        <f t="shared" si="18"/>
        <v>0.53209227810197213</v>
      </c>
      <c r="O35" s="49">
        <f>HLOOKUP(O$33,$AQ$159:$BB$174,ROWS($AQ$159:$AQ$174),0)</f>
        <v>0.54780384113003588</v>
      </c>
      <c r="P35" s="4"/>
      <c r="Q35" s="10"/>
      <c r="R35" s="10"/>
      <c r="S35" s="10"/>
      <c r="T35" s="31"/>
      <c r="U35" s="31"/>
      <c r="V35" s="31"/>
      <c r="W35" s="31"/>
      <c r="X35" s="31"/>
      <c r="Y35" s="31"/>
      <c r="Z35" s="31"/>
      <c r="AA35" s="31"/>
      <c r="AB35" s="31"/>
      <c r="AC35" s="32"/>
      <c r="AD35" s="31"/>
      <c r="AE35" s="31"/>
      <c r="AF35" s="31"/>
      <c r="AG35" s="31"/>
      <c r="AH35" s="31"/>
      <c r="AI35" s="31"/>
      <c r="AJ35" s="31"/>
      <c r="AK35" s="31"/>
      <c r="AL35" s="31"/>
      <c r="AM35" s="31"/>
      <c r="AN35" s="31"/>
      <c r="AO35" s="31"/>
      <c r="AP35" s="4"/>
      <c r="AQ35" s="17"/>
      <c r="AR35" s="17"/>
      <c r="AS35" s="17"/>
      <c r="AT35" s="31"/>
      <c r="AU35" s="31"/>
      <c r="AV35" s="31"/>
      <c r="AW35" s="31"/>
      <c r="AX35" s="31"/>
      <c r="AY35" s="31"/>
      <c r="AZ35" s="31"/>
      <c r="BA35" s="31"/>
      <c r="BB35" s="31"/>
      <c r="BC35" s="1"/>
      <c r="BD35" s="1"/>
      <c r="BE35" s="1"/>
      <c r="BF35" s="34"/>
      <c r="BG35" s="34"/>
      <c r="BH35" s="34"/>
      <c r="BI35" s="34"/>
      <c r="BJ35" s="13"/>
    </row>
    <row r="36" spans="1:62" s="2" customFormat="1">
      <c r="A36" s="3"/>
      <c r="B36" s="134" t="s">
        <v>88</v>
      </c>
      <c r="C36" s="3"/>
      <c r="D36" s="49">
        <f t="shared" ref="D36:N36" si="19">HLOOKUP(D$33,$AQ$83:$BB$98,ROWS($AQ$83:$AQ$98),0)+HLOOKUP(D$33,$AQ$64:$BB$79,ROWS($AQ$64:$AQ$79),0)</f>
        <v>7.062069947264594E-5</v>
      </c>
      <c r="E36" s="49">
        <f t="shared" si="19"/>
        <v>2.9126779619577096E-2</v>
      </c>
      <c r="F36" s="49">
        <f t="shared" si="19"/>
        <v>3.2781689436498548E-2</v>
      </c>
      <c r="G36" s="49">
        <f>HLOOKUP(G$33,$AQ$83:$BB$98,ROWS($AQ$83:$AQ$98),0)+HLOOKUP(G$33,$AQ$64:$BB$79,ROWS($AQ$64:$AQ$79),0)</f>
        <v>3.8969311196646428E-2</v>
      </c>
      <c r="H36" s="49">
        <f t="shared" si="19"/>
        <v>4.6428138174094254E-2</v>
      </c>
      <c r="I36" s="49">
        <f t="shared" si="19"/>
        <v>4.6714842087598483E-2</v>
      </c>
      <c r="J36" s="49">
        <f t="shared" si="19"/>
        <v>4.7315610708196149E-2</v>
      </c>
      <c r="K36" s="49">
        <f t="shared" si="19"/>
        <v>4.8529522393548088E-2</v>
      </c>
      <c r="L36" s="49">
        <f t="shared" si="19"/>
        <v>4.9041017440785366E-2</v>
      </c>
      <c r="M36" s="49">
        <f t="shared" si="19"/>
        <v>4.1437717604926941E-2</v>
      </c>
      <c r="N36" s="49">
        <f t="shared" si="19"/>
        <v>4.7210778888706992E-2</v>
      </c>
      <c r="O36" s="49">
        <f>HLOOKUP(O$33,$AQ$83:$BB$98,ROWS($AQ$83:$AQ$98),0)+HLOOKUP(O$33,$AQ$64:$BB$79,ROWS($AQ$64:$AQ$79),0)</f>
        <v>5.2271877801618051E-2</v>
      </c>
      <c r="P36" s="4"/>
      <c r="Q36" s="10"/>
      <c r="R36" s="10"/>
      <c r="S36" s="10"/>
      <c r="T36" s="31"/>
      <c r="U36" s="31"/>
      <c r="V36" s="31"/>
      <c r="W36" s="31"/>
      <c r="X36" s="31"/>
      <c r="Y36" s="31"/>
      <c r="Z36" s="31"/>
      <c r="AA36" s="31"/>
      <c r="AB36" s="31"/>
      <c r="AC36" s="32"/>
      <c r="AD36" s="31"/>
      <c r="AE36" s="31"/>
      <c r="AF36" s="31"/>
      <c r="AG36" s="31"/>
      <c r="AH36" s="31"/>
      <c r="AI36" s="31"/>
      <c r="AJ36" s="31"/>
      <c r="AK36" s="31"/>
      <c r="AL36" s="31"/>
      <c r="AM36" s="31"/>
      <c r="AN36" s="31"/>
      <c r="AO36" s="31"/>
      <c r="AP36" s="4"/>
      <c r="AQ36" s="17"/>
      <c r="AR36" s="17"/>
      <c r="AS36" s="17"/>
      <c r="AT36" s="31"/>
      <c r="AU36" s="31"/>
      <c r="AV36" s="31"/>
      <c r="AW36" s="31"/>
      <c r="AX36" s="31"/>
      <c r="AY36" s="31"/>
      <c r="AZ36" s="31"/>
      <c r="BA36" s="31"/>
      <c r="BB36" s="31"/>
      <c r="BC36" s="1"/>
      <c r="BD36" s="1"/>
      <c r="BE36" s="1"/>
      <c r="BF36" s="34"/>
      <c r="BG36" s="34"/>
      <c r="BH36" s="34"/>
      <c r="BI36" s="34"/>
      <c r="BJ36" s="13"/>
    </row>
    <row r="37" spans="1:62" s="2" customFormat="1">
      <c r="A37" s="3"/>
      <c r="B37" s="134" t="s">
        <v>90</v>
      </c>
      <c r="C37" s="3"/>
      <c r="D37" s="49">
        <f t="shared" ref="D37:N37" si="20">HLOOKUP(D$33,$AQ$102:$BB$117,ROWS($AQ$102:$AQ$117),0)+HLOOKUP(D$33,$AQ$121:$BB$136,ROWS($AQ$121:$AQ$136),0)+HLOOKUP(D$33,$AQ$140:$BB$155,ROWS($AQ$140:$AQ$155),0)</f>
        <v>1.4255372968901471E-4</v>
      </c>
      <c r="E37" s="49">
        <f t="shared" si="20"/>
        <v>6.3878548801309928E-2</v>
      </c>
      <c r="F37" s="49">
        <f t="shared" si="20"/>
        <v>7.1689876694959284E-2</v>
      </c>
      <c r="G37" s="49">
        <f>HLOOKUP(G$33,$AQ$102:$BB$117,ROWS($AQ$102:$AQ$117),0)+HLOOKUP(G$33,$AQ$121:$BB$136,ROWS($AQ$121:$AQ$136),0)+HLOOKUP(G$33,$AQ$140:$BB$155,ROWS($AQ$140:$AQ$155),0)</f>
        <v>8.69542760177269E-2</v>
      </c>
      <c r="H37" s="49">
        <f t="shared" si="20"/>
        <v>0.1047891487911131</v>
      </c>
      <c r="I37" s="49">
        <f t="shared" si="20"/>
        <v>0.10619978937689842</v>
      </c>
      <c r="J37" s="49">
        <f t="shared" si="20"/>
        <v>0.1066757200379826</v>
      </c>
      <c r="K37" s="49">
        <f t="shared" si="20"/>
        <v>0.10889385388054505</v>
      </c>
      <c r="L37" s="49">
        <f t="shared" si="20"/>
        <v>0.11176356233577646</v>
      </c>
      <c r="M37" s="49">
        <f t="shared" si="20"/>
        <v>9.3747506491451027E-2</v>
      </c>
      <c r="N37" s="49">
        <f t="shared" si="20"/>
        <v>0.11082093498392227</v>
      </c>
      <c r="O37" s="49">
        <f>HLOOKUP(O$33,$AQ$102:$BB$117,ROWS($AQ$102:$AQ$117),0)+HLOOKUP(O$33,$AQ$121:$BB$136,ROWS($AQ$121:$AQ$136),0)+HLOOKUP(O$33,$AQ$140:$BB$155,ROWS($AQ$140:$AQ$155),0)</f>
        <v>0.11685237336192077</v>
      </c>
      <c r="P37" s="4"/>
      <c r="Q37" s="10"/>
      <c r="R37" s="10"/>
      <c r="S37" s="10"/>
      <c r="T37" s="31"/>
      <c r="U37" s="31"/>
      <c r="V37" s="31"/>
      <c r="W37" s="31"/>
      <c r="X37" s="31"/>
      <c r="Y37" s="31"/>
      <c r="Z37" s="31"/>
      <c r="AA37" s="31"/>
      <c r="AB37" s="31"/>
      <c r="AC37" s="32"/>
      <c r="AD37" s="31"/>
      <c r="AE37" s="31"/>
      <c r="AF37" s="31"/>
      <c r="AG37" s="31"/>
      <c r="AH37" s="31"/>
      <c r="AI37" s="31"/>
      <c r="AJ37" s="31"/>
      <c r="AK37" s="31"/>
      <c r="AL37" s="31"/>
      <c r="AM37" s="31"/>
      <c r="AN37" s="31"/>
      <c r="AO37" s="31"/>
      <c r="AP37" s="4"/>
      <c r="AQ37" s="17"/>
      <c r="AR37" s="17"/>
      <c r="AS37" s="17"/>
      <c r="AT37" s="31"/>
      <c r="AU37" s="31"/>
      <c r="AV37" s="31"/>
      <c r="AW37" s="31"/>
      <c r="AX37" s="31"/>
      <c r="AY37" s="31"/>
      <c r="AZ37" s="31"/>
      <c r="BA37" s="31"/>
      <c r="BB37" s="31"/>
      <c r="BC37" s="1"/>
      <c r="BD37" s="1"/>
      <c r="BE37" s="1"/>
      <c r="BF37" s="34"/>
      <c r="BG37" s="34"/>
      <c r="BH37" s="34"/>
      <c r="BI37" s="34"/>
      <c r="BJ37" s="13"/>
    </row>
    <row r="38" spans="1:62" s="2" customFormat="1">
      <c r="A38" s="3"/>
      <c r="B38" s="159" t="s">
        <v>49</v>
      </c>
      <c r="C38" s="3"/>
      <c r="D38" s="45">
        <f>SUM(D34:D37)</f>
        <v>1.2951478637102558E-3</v>
      </c>
      <c r="E38" s="45">
        <f>SUM(E34:E37)</f>
        <v>0.46181603711610286</v>
      </c>
      <c r="F38" s="45">
        <f t="shared" ref="F38:I38" si="21">SUM(F34:F37)</f>
        <v>0.52285565538432754</v>
      </c>
      <c r="G38" s="45">
        <f>SUM(G34:G37)</f>
        <v>0.64547087176434936</v>
      </c>
      <c r="H38" s="45">
        <f t="shared" si="21"/>
        <v>0.77304586812249554</v>
      </c>
      <c r="I38" s="45">
        <f t="shared" si="21"/>
        <v>0.7793621591247043</v>
      </c>
      <c r="J38" s="45">
        <f t="shared" ref="J38:L38" si="22">SUM(J34:J37)</f>
        <v>0.78208292023898529</v>
      </c>
      <c r="K38" s="45">
        <f t="shared" si="22"/>
        <v>0.78992219245559425</v>
      </c>
      <c r="L38" s="45">
        <f t="shared" si="22"/>
        <v>0.80497522367443008</v>
      </c>
      <c r="M38" s="45">
        <f t="shared" ref="M38:O38" si="23">SUM(M34:M37)</f>
        <v>0.74999641597544886</v>
      </c>
      <c r="N38" s="45">
        <f t="shared" si="23"/>
        <v>0.8088312514492102</v>
      </c>
      <c r="O38" s="45">
        <f t="shared" si="23"/>
        <v>0.84217783737580731</v>
      </c>
      <c r="P38" s="4"/>
      <c r="Q38" s="10"/>
      <c r="R38" s="10"/>
      <c r="S38" s="10"/>
      <c r="T38" s="31"/>
      <c r="U38" s="31"/>
      <c r="V38" s="31"/>
      <c r="W38" s="31"/>
      <c r="X38" s="31"/>
      <c r="Y38" s="31"/>
      <c r="Z38" s="31"/>
      <c r="AA38" s="31"/>
      <c r="AB38" s="31"/>
      <c r="AC38" s="32"/>
      <c r="AD38" s="31"/>
      <c r="AE38" s="31"/>
      <c r="AF38" s="31"/>
      <c r="AG38" s="31"/>
      <c r="AH38" s="31"/>
      <c r="AI38" s="31"/>
      <c r="AJ38" s="31"/>
      <c r="AK38" s="31"/>
      <c r="AL38" s="31"/>
      <c r="AM38" s="31"/>
      <c r="AN38" s="31"/>
      <c r="AO38" s="31"/>
      <c r="AP38" s="4"/>
      <c r="AQ38" s="17"/>
      <c r="AR38" s="17"/>
      <c r="AS38" s="17"/>
      <c r="AT38" s="31"/>
      <c r="AU38" s="31"/>
      <c r="AV38" s="31"/>
      <c r="AW38" s="31"/>
      <c r="AX38" s="31"/>
      <c r="AY38" s="31"/>
      <c r="AZ38" s="31"/>
      <c r="BA38" s="31"/>
      <c r="BB38" s="31"/>
      <c r="BC38" s="1"/>
      <c r="BD38" s="1"/>
      <c r="BE38" s="1"/>
      <c r="BF38" s="34"/>
      <c r="BG38" s="34"/>
      <c r="BH38" s="34"/>
      <c r="BI38" s="34"/>
      <c r="BJ38" s="13"/>
    </row>
    <row r="39" spans="1:62" s="2" customFormat="1" ht="12">
      <c r="A39" s="3"/>
      <c r="B39" s="396" t="s">
        <v>115</v>
      </c>
      <c r="C39" s="3"/>
      <c r="D39" s="397">
        <f>D38-D29</f>
        <v>0</v>
      </c>
      <c r="E39" s="397">
        <f>E38-E29</f>
        <v>0</v>
      </c>
      <c r="F39" s="397">
        <f t="shared" ref="F39:I39" si="24">F38-F29</f>
        <v>0</v>
      </c>
      <c r="G39" s="397">
        <f>G38-G29</f>
        <v>0</v>
      </c>
      <c r="H39" s="397">
        <f t="shared" si="24"/>
        <v>0</v>
      </c>
      <c r="I39" s="397">
        <f t="shared" si="24"/>
        <v>0</v>
      </c>
      <c r="J39" s="397">
        <f t="shared" ref="J39:L39" si="25">J38-J29</f>
        <v>0</v>
      </c>
      <c r="K39" s="397">
        <f t="shared" si="25"/>
        <v>0</v>
      </c>
      <c r="L39" s="397">
        <f t="shared" si="25"/>
        <v>0</v>
      </c>
      <c r="M39" s="397">
        <f t="shared" ref="M39:N39" si="26">M38-M29</f>
        <v>0</v>
      </c>
      <c r="N39" s="397">
        <f t="shared" si="26"/>
        <v>0</v>
      </c>
      <c r="O39" s="397">
        <f t="shared" ref="O39" si="27">O38-O29</f>
        <v>0</v>
      </c>
      <c r="P39" s="4"/>
      <c r="Q39" s="10"/>
      <c r="R39" s="10"/>
      <c r="S39" s="10"/>
      <c r="T39" s="31"/>
      <c r="U39" s="31"/>
      <c r="V39" s="31"/>
      <c r="W39" s="31"/>
      <c r="X39" s="31"/>
      <c r="Y39" s="31"/>
      <c r="Z39" s="31"/>
      <c r="AA39" s="31"/>
      <c r="AB39" s="31"/>
      <c r="AC39" s="32"/>
      <c r="AD39" s="31"/>
      <c r="AE39" s="31"/>
      <c r="AF39" s="31"/>
      <c r="AG39" s="31"/>
      <c r="AH39" s="31"/>
      <c r="AI39" s="31"/>
      <c r="AJ39" s="31"/>
      <c r="AK39" s="31"/>
      <c r="AL39" s="31"/>
      <c r="AM39" s="31"/>
      <c r="AN39" s="31"/>
      <c r="AO39" s="31"/>
      <c r="AP39" s="4"/>
      <c r="AQ39" s="17"/>
      <c r="AR39" s="17"/>
      <c r="AS39" s="17"/>
      <c r="AT39" s="31"/>
      <c r="AU39" s="31"/>
      <c r="AV39" s="31"/>
      <c r="AW39" s="31"/>
      <c r="AX39" s="31"/>
      <c r="AY39" s="31"/>
      <c r="AZ39" s="31"/>
      <c r="BA39" s="31"/>
      <c r="BB39" s="31"/>
      <c r="BC39" s="1"/>
      <c r="BD39" s="1"/>
      <c r="BE39" s="1"/>
      <c r="BF39" s="34"/>
      <c r="BG39" s="34"/>
      <c r="BH39" s="34"/>
      <c r="BI39" s="34"/>
      <c r="BJ39" s="13"/>
    </row>
    <row r="40" spans="1:62" s="2" customFormat="1" ht="12">
      <c r="A40" s="3"/>
      <c r="B40" s="396" t="s">
        <v>115</v>
      </c>
      <c r="C40" s="3"/>
      <c r="D40" s="397">
        <f t="shared" ref="D40:L40" si="28">D38-SUM(AQ60,AQ79,AQ98,AQ117,AQ136,AQ155,AQ174)</f>
        <v>0</v>
      </c>
      <c r="E40" s="397">
        <f t="shared" si="28"/>
        <v>0</v>
      </c>
      <c r="F40" s="397">
        <f t="shared" si="28"/>
        <v>0</v>
      </c>
      <c r="G40" s="397">
        <f>G38-SUM(AT60,AT79,AT98,AT117,AT136,AT155,AT174)</f>
        <v>0</v>
      </c>
      <c r="H40" s="397">
        <f t="shared" si="28"/>
        <v>0</v>
      </c>
      <c r="I40" s="397">
        <f t="shared" si="28"/>
        <v>0</v>
      </c>
      <c r="J40" s="397">
        <f t="shared" si="28"/>
        <v>0</v>
      </c>
      <c r="K40" s="397">
        <f t="shared" si="28"/>
        <v>0</v>
      </c>
      <c r="L40" s="397">
        <f t="shared" si="28"/>
        <v>0</v>
      </c>
      <c r="M40" s="397">
        <f t="shared" ref="M40" si="29">M38-SUM(AZ60,AZ79,AZ98,AZ117,AZ136,AZ155,AZ174)</f>
        <v>0</v>
      </c>
      <c r="N40" s="397">
        <f t="shared" ref="N40:O40" si="30">N38-SUM(BA60,BA79,BA98,BA117,BA136,BA155,BA174)</f>
        <v>0</v>
      </c>
      <c r="O40" s="397">
        <f t="shared" si="30"/>
        <v>0</v>
      </c>
      <c r="P40" s="4"/>
      <c r="Q40" s="10"/>
      <c r="R40" s="10"/>
      <c r="S40" s="10"/>
      <c r="T40" s="31"/>
      <c r="U40" s="31"/>
      <c r="V40" s="31"/>
      <c r="W40" s="31"/>
      <c r="X40" s="31"/>
      <c r="Y40" s="31"/>
      <c r="Z40" s="31"/>
      <c r="AA40" s="31"/>
      <c r="AB40" s="31"/>
      <c r="AC40" s="32"/>
      <c r="AD40" s="31"/>
      <c r="AE40" s="31"/>
      <c r="AF40" s="31"/>
      <c r="AG40" s="31"/>
      <c r="AH40" s="31"/>
      <c r="AI40" s="31"/>
      <c r="AJ40" s="31"/>
      <c r="AK40" s="31"/>
      <c r="AL40" s="31"/>
      <c r="AM40" s="31"/>
      <c r="AN40" s="31"/>
      <c r="AO40" s="31"/>
      <c r="AP40" s="4"/>
      <c r="AQ40" s="17"/>
      <c r="AR40" s="17"/>
      <c r="AS40" s="17"/>
      <c r="AT40" s="31"/>
      <c r="AU40" s="31"/>
      <c r="AV40" s="31"/>
      <c r="AW40" s="31"/>
      <c r="AX40" s="31"/>
      <c r="AY40" s="31"/>
      <c r="AZ40" s="31"/>
      <c r="BA40" s="31"/>
      <c r="BB40" s="31"/>
      <c r="BC40" s="1"/>
      <c r="BD40" s="1"/>
      <c r="BE40" s="1"/>
      <c r="BF40" s="34"/>
      <c r="BG40" s="34"/>
      <c r="BH40" s="34"/>
      <c r="BI40" s="34"/>
      <c r="BJ40" s="13"/>
    </row>
    <row r="41" spans="1:62" s="2" customFormat="1">
      <c r="A41" s="3"/>
      <c r="B41" s="33"/>
      <c r="C41" s="3"/>
      <c r="D41" s="31"/>
      <c r="E41" s="31"/>
      <c r="F41" s="31"/>
      <c r="G41" s="31"/>
      <c r="H41" s="31"/>
      <c r="I41" s="31"/>
      <c r="J41" s="31"/>
      <c r="K41" s="31"/>
      <c r="L41" s="31"/>
      <c r="M41" s="31"/>
      <c r="N41" s="31"/>
      <c r="O41" s="31"/>
      <c r="P41" s="4"/>
      <c r="Q41" s="10"/>
      <c r="R41" s="10"/>
      <c r="S41" s="10"/>
      <c r="T41" s="31"/>
      <c r="U41" s="31"/>
      <c r="V41" s="31"/>
      <c r="W41" s="31"/>
      <c r="X41" s="31"/>
      <c r="Y41" s="31"/>
      <c r="Z41" s="31"/>
      <c r="AA41" s="31"/>
      <c r="AB41" s="31"/>
      <c r="AC41" s="32"/>
      <c r="AD41" s="31"/>
      <c r="AE41" s="31"/>
      <c r="AF41" s="31"/>
      <c r="AG41" s="31"/>
      <c r="AH41" s="31"/>
      <c r="AI41" s="31"/>
      <c r="AJ41" s="31"/>
      <c r="AK41" s="31"/>
      <c r="AL41" s="31"/>
      <c r="AM41" s="31"/>
      <c r="AN41" s="31"/>
      <c r="AO41" s="31"/>
      <c r="AP41" s="4"/>
      <c r="AQ41" s="17"/>
      <c r="AR41" s="17"/>
      <c r="AS41" s="17"/>
      <c r="AT41" s="31"/>
      <c r="AU41" s="31"/>
      <c r="AV41" s="31"/>
      <c r="AW41" s="31"/>
      <c r="AX41" s="31"/>
      <c r="AY41" s="31"/>
      <c r="AZ41" s="31"/>
      <c r="BA41" s="31"/>
      <c r="BB41" s="31"/>
      <c r="BC41" s="1"/>
      <c r="BD41" s="1"/>
      <c r="BE41" s="1"/>
      <c r="BF41" s="34"/>
      <c r="BG41" s="34"/>
      <c r="BH41" s="34"/>
      <c r="BI41" s="34"/>
      <c r="BJ41" s="13"/>
    </row>
    <row r="42" spans="1:62" s="42" customFormat="1">
      <c r="A42" s="526" t="s">
        <v>116</v>
      </c>
      <c r="B42" s="223"/>
      <c r="C42" s="223"/>
      <c r="D42" s="223"/>
      <c r="E42" s="223"/>
      <c r="F42" s="223"/>
      <c r="G42" s="223"/>
      <c r="H42" s="223"/>
      <c r="I42" s="223"/>
      <c r="J42" s="223"/>
      <c r="K42" s="223"/>
      <c r="L42" s="223"/>
      <c r="M42" s="223"/>
      <c r="N42" s="223"/>
      <c r="O42" s="223"/>
      <c r="P42" s="223"/>
      <c r="Q42" s="223"/>
      <c r="R42" s="223"/>
      <c r="S42" s="223"/>
      <c r="T42" s="223"/>
      <c r="U42" s="223"/>
      <c r="V42" s="223"/>
      <c r="W42" s="223"/>
      <c r="X42" s="223"/>
      <c r="Y42" s="223"/>
      <c r="Z42" s="223"/>
      <c r="AA42" s="223"/>
      <c r="AB42" s="223"/>
      <c r="AC42" s="223"/>
      <c r="AD42" s="598"/>
      <c r="AE42" s="598"/>
      <c r="AF42" s="598"/>
      <c r="AG42" s="223"/>
      <c r="AH42" s="223"/>
      <c r="AI42" s="223"/>
      <c r="AJ42" s="223"/>
      <c r="AK42" s="223"/>
      <c r="AL42" s="223"/>
      <c r="AM42" s="223"/>
      <c r="AN42" s="223"/>
      <c r="AO42" s="223"/>
      <c r="AP42" s="223"/>
      <c r="AQ42" s="223"/>
      <c r="AR42" s="223"/>
      <c r="AS42" s="223"/>
      <c r="AT42" s="223"/>
      <c r="AU42" s="223"/>
      <c r="AV42" s="223"/>
      <c r="AW42" s="223"/>
      <c r="AX42" s="223"/>
      <c r="AY42" s="223"/>
      <c r="AZ42" s="223"/>
      <c r="BA42" s="223"/>
      <c r="BB42" s="223"/>
      <c r="BF42" s="404"/>
      <c r="BG42" s="404"/>
      <c r="BH42" s="404"/>
      <c r="BI42" s="404"/>
      <c r="BJ42" s="56"/>
    </row>
    <row r="43" spans="1:62" s="42" customFormat="1" ht="13.35" customHeight="1">
      <c r="A43" s="504" t="s">
        <v>87</v>
      </c>
      <c r="D43" s="599" t="s">
        <v>154</v>
      </c>
      <c r="E43" s="599"/>
      <c r="F43" s="599"/>
      <c r="G43" s="599"/>
      <c r="H43" s="599"/>
      <c r="I43" s="599"/>
      <c r="J43" s="599"/>
      <c r="K43" s="599"/>
      <c r="L43" s="599"/>
      <c r="M43" s="599"/>
      <c r="N43" s="599"/>
      <c r="O43" s="599"/>
      <c r="P43" s="403" t="s">
        <v>155</v>
      </c>
      <c r="Q43" s="599" t="s">
        <v>143</v>
      </c>
      <c r="R43" s="599"/>
      <c r="S43" s="599"/>
      <c r="T43" s="599"/>
      <c r="U43" s="599"/>
      <c r="V43" s="599"/>
      <c r="W43" s="599"/>
      <c r="X43" s="599"/>
      <c r="Y43" s="599"/>
      <c r="Z43" s="599"/>
      <c r="AA43" s="599"/>
      <c r="AB43" s="599"/>
      <c r="AC43" s="44" t="s">
        <v>156</v>
      </c>
      <c r="AD43" s="599" t="s">
        <v>157</v>
      </c>
      <c r="AE43" s="599"/>
      <c r="AF43" s="599"/>
      <c r="AG43" s="599"/>
      <c r="AH43" s="599"/>
      <c r="AI43" s="599"/>
      <c r="AJ43" s="599"/>
      <c r="AK43" s="599"/>
      <c r="AL43" s="599"/>
      <c r="AM43" s="599"/>
      <c r="AN43" s="599"/>
      <c r="AO43" s="599"/>
      <c r="AP43" s="47" t="s">
        <v>158</v>
      </c>
      <c r="AQ43" s="599" t="s">
        <v>159</v>
      </c>
      <c r="AR43" s="599"/>
      <c r="AS43" s="599"/>
      <c r="AT43" s="599"/>
      <c r="AU43" s="599"/>
      <c r="AV43" s="599"/>
      <c r="AW43" s="599"/>
      <c r="AX43" s="599"/>
      <c r="AY43" s="599"/>
      <c r="AZ43" s="599"/>
      <c r="BA43" s="599"/>
      <c r="BB43" s="599"/>
    </row>
    <row r="44" spans="1:62" s="42" customFormat="1">
      <c r="A44" s="218"/>
      <c r="AD44" s="599" t="s">
        <v>160</v>
      </c>
      <c r="AE44" s="599"/>
      <c r="AF44" s="599"/>
      <c r="AG44" s="599"/>
      <c r="AH44" s="599"/>
      <c r="AI44" s="599"/>
      <c r="AJ44" s="599"/>
      <c r="AK44" s="599"/>
      <c r="AL44" s="599"/>
      <c r="AM44" s="599"/>
      <c r="AN44" s="599"/>
      <c r="AO44" s="599"/>
      <c r="AQ44" s="602" t="s">
        <v>161</v>
      </c>
      <c r="AR44" s="602"/>
      <c r="AS44" s="602"/>
      <c r="AT44" s="602"/>
      <c r="AU44" s="602"/>
      <c r="AV44" s="602"/>
      <c r="AW44" s="602"/>
      <c r="AX44" s="602"/>
      <c r="AY44" s="602"/>
      <c r="AZ44" s="602"/>
      <c r="BA44" s="602"/>
      <c r="BB44" s="602"/>
      <c r="BF44" s="404"/>
      <c r="BG44" s="404"/>
      <c r="BH44" s="404"/>
      <c r="BI44" s="404"/>
      <c r="BJ44" s="56"/>
    </row>
    <row r="45" spans="1:62" s="42" customFormat="1">
      <c r="A45" s="218"/>
      <c r="B45" s="43"/>
      <c r="D45" s="149">
        <v>1990</v>
      </c>
      <c r="E45" s="149">
        <v>2005</v>
      </c>
      <c r="F45" s="149">
        <v>2007</v>
      </c>
      <c r="G45" s="149">
        <v>2010</v>
      </c>
      <c r="H45" s="149">
        <v>2015</v>
      </c>
      <c r="I45" s="149">
        <v>2016</v>
      </c>
      <c r="J45" s="149">
        <v>2017</v>
      </c>
      <c r="K45" s="149">
        <v>2018</v>
      </c>
      <c r="L45" s="149">
        <v>2019</v>
      </c>
      <c r="M45" s="149">
        <v>2020</v>
      </c>
      <c r="N45" s="149">
        <v>2021</v>
      </c>
      <c r="O45" s="149">
        <v>2022</v>
      </c>
      <c r="P45" s="404"/>
      <c r="Q45" s="149">
        <v>1990</v>
      </c>
      <c r="R45" s="149">
        <v>2005</v>
      </c>
      <c r="S45" s="149">
        <v>2007</v>
      </c>
      <c r="T45" s="149">
        <v>2010</v>
      </c>
      <c r="U45" s="149">
        <v>2015</v>
      </c>
      <c r="V45" s="149">
        <v>2016</v>
      </c>
      <c r="W45" s="149">
        <v>2017</v>
      </c>
      <c r="X45" s="149">
        <v>2018</v>
      </c>
      <c r="Y45" s="149">
        <v>2019</v>
      </c>
      <c r="Z45" s="149">
        <v>2020</v>
      </c>
      <c r="AA45" s="149">
        <v>2021</v>
      </c>
      <c r="AB45" s="149">
        <v>2022</v>
      </c>
      <c r="AC45" s="44"/>
      <c r="AD45" s="149">
        <v>1990</v>
      </c>
      <c r="AE45" s="149">
        <v>2005</v>
      </c>
      <c r="AF45" s="149">
        <v>2007</v>
      </c>
      <c r="AG45" s="149">
        <v>2010</v>
      </c>
      <c r="AH45" s="149">
        <v>2015</v>
      </c>
      <c r="AI45" s="149">
        <v>2016</v>
      </c>
      <c r="AJ45" s="149">
        <v>2017</v>
      </c>
      <c r="AK45" s="149">
        <v>2018</v>
      </c>
      <c r="AL45" s="149">
        <v>2019</v>
      </c>
      <c r="AM45" s="149">
        <v>2020</v>
      </c>
      <c r="AN45" s="149">
        <v>2021</v>
      </c>
      <c r="AO45" s="149">
        <v>2022</v>
      </c>
      <c r="AP45" s="404"/>
      <c r="AQ45" s="149">
        <v>1990</v>
      </c>
      <c r="AR45" s="149">
        <v>2005</v>
      </c>
      <c r="AS45" s="149">
        <v>2007</v>
      </c>
      <c r="AT45" s="149">
        <v>2010</v>
      </c>
      <c r="AU45" s="149">
        <v>2015</v>
      </c>
      <c r="AV45" s="149">
        <v>2016</v>
      </c>
      <c r="AW45" s="149">
        <v>2017</v>
      </c>
      <c r="AX45" s="149">
        <v>2018</v>
      </c>
      <c r="AY45" s="149">
        <v>2019</v>
      </c>
      <c r="AZ45" s="149">
        <v>2020</v>
      </c>
      <c r="BA45" s="149">
        <v>2021</v>
      </c>
      <c r="BB45" s="149">
        <v>2022</v>
      </c>
      <c r="BF45" s="404"/>
      <c r="BG45" s="404"/>
      <c r="BH45" s="404"/>
      <c r="BI45" s="404"/>
      <c r="BJ45" s="56"/>
    </row>
    <row r="46" spans="1:62" s="42" customFormat="1">
      <c r="B46" s="90" t="s">
        <v>162</v>
      </c>
      <c r="D46" s="70">
        <f>VLOOKUP(D$45,'ODS Subs Data'!$A$168:$W$200,'ODS Subs Data'!$J$165,FALSE)</f>
        <v>108535.40892996932</v>
      </c>
      <c r="E46" s="70">
        <f>VLOOKUP(E$45,'ODS Subs Data'!$A$168:$W$200,'ODS Subs Data'!$J$165,FALSE)</f>
        <v>165080.92023310516</v>
      </c>
      <c r="F46" s="70">
        <f>VLOOKUP(F$45,'ODS Subs Data'!$A$168:$W$200,'ODS Subs Data'!$J$165,FALSE)</f>
        <v>171603.77654771705</v>
      </c>
      <c r="G46" s="70">
        <f>VLOOKUP(G$45,'ODS Subs Data'!$A$168:$W$200,'ODS Subs Data'!$J$165,FALSE)</f>
        <v>166769.85500142846</v>
      </c>
      <c r="H46" s="70">
        <f>VLOOKUP(H$45,'ODS Subs Data'!$A$168:$W$200,'ODS Subs Data'!$J$165,FALSE)</f>
        <v>188375.19631089168</v>
      </c>
      <c r="I46" s="70">
        <f>VLOOKUP(I$45,'ODS Subs Data'!$A$168:$W$200,'ODS Subs Data'!$J$165,FALSE)</f>
        <v>190584.5479419273</v>
      </c>
      <c r="J46" s="70">
        <f>VLOOKUP(J$45,'ODS Subs Data'!$A$168:$W$200,'ODS Subs Data'!$J$165,FALSE)</f>
        <v>195266.95946469519</v>
      </c>
      <c r="K46" s="70">
        <f>VLOOKUP(K$45,'ODS Subs Data'!$A$168:$W$200,'ODS Subs Data'!$J$165,FALSE)</f>
        <v>197969.67167375877</v>
      </c>
      <c r="L46" s="70">
        <f>VLOOKUP(L$45,'ODS Subs Data'!$A$168:$W$200,'ODS Subs Data'!$J$165,FALSE)</f>
        <v>202643.16012979718</v>
      </c>
      <c r="M46" s="70">
        <f>VLOOKUP(M$45,'ODS Subs Data'!$A$168:$W$200,'ODS Subs Data'!$J$165,FALSE)</f>
        <v>197572.41228558082</v>
      </c>
      <c r="N46" s="70">
        <f>VLOOKUP(N$45,'ODS Subs Data'!$A$168:$W$200,'ODS Subs Data'!$J$165,FALSE)</f>
        <v>197132.29305552517</v>
      </c>
      <c r="O46" s="70">
        <f>VLOOKUP(O$45,'ODS Subs Data'!$A$168:$W$200,'ODS Subs Data'!$J$165,FALSE)</f>
        <v>202945.05854489133</v>
      </c>
      <c r="P46" s="403"/>
      <c r="Q46" s="226">
        <f>VLOOKUP(Q45,'ODS Subs Data'!$A$89:$C$121,2,FALSE)+VLOOKUP(Q45,'ODS Subs Data'!$A$89:$C$121,3,FALSE)</f>
        <v>188170927</v>
      </c>
      <c r="R46" s="226">
        <f>VLOOKUP(R45,'ODS Subs Data'!$A$89:$C$121,2,FALSE)+VLOOKUP(R45,'ODS Subs Data'!$A$89:$C$121,3,FALSE)</f>
        <v>240386921</v>
      </c>
      <c r="S46" s="226">
        <f>VLOOKUP(S45,'ODS Subs Data'!$A$89:$C$121,2,FALSE)+VLOOKUP(S45,'ODS Subs Data'!$A$89:$C$121,3,FALSE)</f>
        <v>246430169</v>
      </c>
      <c r="T46" s="226">
        <f>VLOOKUP(T45,'ODS Subs Data'!$A$89:$C$121,2,FALSE)+VLOOKUP(T45,'ODS Subs Data'!$A$89:$C$121,3,FALSE)</f>
        <v>241214494</v>
      </c>
      <c r="U46" s="226">
        <f>VLOOKUP(U45,'ODS Subs Data'!$A$89:$C$121,2,FALSE)+VLOOKUP(U45,'ODS Subs Data'!$A$89:$C$121,3,FALSE)</f>
        <v>254120376</v>
      </c>
      <c r="V46" s="226">
        <f>VLOOKUP(V45,'ODS Subs Data'!$A$89:$C$121,2,FALSE)+VLOOKUP(V45,'ODS Subs Data'!$A$89:$C$121,3,FALSE)</f>
        <v>259143542</v>
      </c>
      <c r="W46" s="226">
        <f>VLOOKUP(W45,'ODS Subs Data'!$A$89:$C$121,2,FALSE)+VLOOKUP(W45,'ODS Subs Data'!$A$89:$C$121,3,FALSE)</f>
        <v>262782463</v>
      </c>
      <c r="X46" s="226">
        <f>VLOOKUP(X45,'ODS Subs Data'!$A$89:$C$121,2,FALSE)+VLOOKUP(X45,'ODS Subs Data'!$A$89:$C$121,3,FALSE)</f>
        <v>263943762.85966885</v>
      </c>
      <c r="Y46" s="226">
        <f>VLOOKUP(Y45,'ODS Subs Data'!$A$89:$C$121,2,FALSE)+VLOOKUP(Y45,'ODS Subs Data'!$A$89:$C$121,3,FALSE)</f>
        <v>266899827.15515292</v>
      </c>
      <c r="Z46" s="226">
        <f>VLOOKUP(Z45,'ODS Subs Data'!$A$89:$C$121,2,FALSE)+VLOOKUP(Z45,'ODS Subs Data'!$A$89:$C$121,3,FALSE)</f>
        <v>266578628</v>
      </c>
      <c r="AA46" s="226">
        <f>VLOOKUP(AA45,'ODS Subs Data'!$A$89:$C$121,2,FALSE)+VLOOKUP(AA45,'ODS Subs Data'!$A$89:$C$121,3,FALSE)</f>
        <v>271534359.57747412</v>
      </c>
      <c r="AB46" s="226">
        <f>VLOOKUP(AB45,'ODS Subs Data'!$A$89:$C$121,2,FALSE)+VLOOKUP(AB45,'ODS Subs Data'!$A$89:$C$121,3,FALSE)</f>
        <v>272879203.49339122</v>
      </c>
      <c r="AC46" s="227"/>
      <c r="AD46" s="70">
        <f>VLOOKUP($B46,'ODS Subs Data'!$A$46:$AH$54,INDEX('ODS Subs Data'!$A$43:$AH$43,MATCH(AD45,'ODS Subs Data'!$A$45:$AH$45,0)),FALSE)</f>
        <v>0</v>
      </c>
      <c r="AE46" s="70">
        <f>VLOOKUP($B46,'ODS Subs Data'!$A$46:$AH$54,INDEX('ODS Subs Data'!$A$43:$AH$43,MATCH(AE45,'ODS Subs Data'!$A$45:$AH$45,0)),FALSE)</f>
        <v>61.533466841699997</v>
      </c>
      <c r="AF46" s="70">
        <f>VLOOKUP($B46,'ODS Subs Data'!$A$46:$AH$54,INDEX('ODS Subs Data'!$A$43:$AH$43,MATCH(AF45,'ODS Subs Data'!$A$45:$AH$45,0)),FALSE)</f>
        <v>62.910223398300005</v>
      </c>
      <c r="AG46" s="70">
        <f>VLOOKUP($B46,'ODS Subs Data'!$A$46:$AH$54,INDEX('ODS Subs Data'!$A$43:$AH$43,MATCH(AG45,'ODS Subs Data'!$A$45:$AH$45,0)),FALSE)</f>
        <v>59.223563384900004</v>
      </c>
      <c r="AH46" s="70">
        <f>VLOOKUP($B46,'ODS Subs Data'!$A$46:$AH$54,INDEX('ODS Subs Data'!$A$43:$AH$43,MATCH(AH45,'ODS Subs Data'!$A$45:$AH$45,0)),FALSE)</f>
        <v>37.220865681900008</v>
      </c>
      <c r="AI46" s="70">
        <f>VLOOKUP($B46,'ODS Subs Data'!$A$46:$AH$54,INDEX('ODS Subs Data'!$A$43:$AH$43,MATCH(AI45,'ODS Subs Data'!$A$45:$AH$45,0)),FALSE)</f>
        <v>34.005905660899998</v>
      </c>
      <c r="AJ46" s="70">
        <f>VLOOKUP($B46,'ODS Subs Data'!$A$46:$AH$54,INDEX('ODS Subs Data'!$A$43:$AH$43,MATCH(AJ45,'ODS Subs Data'!$A$45:$AH$45,0)),FALSE)</f>
        <v>30.674008980899998</v>
      </c>
      <c r="AK46" s="70">
        <f>VLOOKUP($B46,'ODS Subs Data'!$A$46:$AH$54,INDEX('ODS Subs Data'!$A$43:$AH$43,MATCH(AK45,'ODS Subs Data'!$A$45:$AH$45,0)),FALSE)</f>
        <v>28.664453929199993</v>
      </c>
      <c r="AL46" s="70">
        <f>VLOOKUP($B46,'ODS Subs Data'!$A$46:$AH$54,INDEX('ODS Subs Data'!$A$43:$AH$43,MATCH(AL45,'ODS Subs Data'!$A$45:$AH$45,0)),FALSE)</f>
        <v>26.643254329600001</v>
      </c>
      <c r="AM46" s="70">
        <f>VLOOKUP($B46,'ODS Subs Data'!$A$46:$AH$54,INDEX('ODS Subs Data'!$A$43:$AH$43,MATCH(AM45,'ODS Subs Data'!$A$45:$AH$45,0)),FALSE)</f>
        <v>24.630521789999996</v>
      </c>
      <c r="AN46" s="70">
        <f>VLOOKUP($B46,'ODS Subs Data'!$A$46:$AH$54,INDEX('ODS Subs Data'!$A$43:$AH$43,MATCH(AN45,'ODS Subs Data'!$A$45:$AH$45,0)),FALSE)</f>
        <v>22.854063608300002</v>
      </c>
      <c r="AO46" s="70">
        <f>VLOOKUP($B46,'ODS Subs Data'!$A$46:$AH$54,INDEX('ODS Subs Data'!$A$43:$AH$43,MATCH(AO45,'ODS Subs Data'!$A$45:$AH$45,0)),FALSE)</f>
        <v>20.792943220800002</v>
      </c>
      <c r="AP46" s="403"/>
      <c r="AQ46" s="228">
        <f t="shared" ref="AQ46:BB46" si="31">D46/Q46*AD46</f>
        <v>0</v>
      </c>
      <c r="AR46" s="228">
        <f t="shared" si="31"/>
        <v>4.2256880237511341E-2</v>
      </c>
      <c r="AS46" s="228">
        <f t="shared" si="31"/>
        <v>4.3808077405525919E-2</v>
      </c>
      <c r="AT46" s="228">
        <f>G46/T46*AG46</f>
        <v>4.0945736363452861E-2</v>
      </c>
      <c r="AU46" s="228">
        <f t="shared" si="31"/>
        <v>2.7591206931353057E-2</v>
      </c>
      <c r="AV46" s="228">
        <f t="shared" si="31"/>
        <v>2.5009306069214924E-2</v>
      </c>
      <c r="AW46" s="228">
        <f t="shared" si="31"/>
        <v>2.279307530614437E-2</v>
      </c>
      <c r="AX46" s="228">
        <f t="shared" si="31"/>
        <v>2.1499627312990814E-2</v>
      </c>
      <c r="AY46" s="228">
        <f t="shared" si="31"/>
        <v>2.022883757940196E-2</v>
      </c>
      <c r="AZ46" s="228">
        <f t="shared" si="31"/>
        <v>1.8254695218488638E-2</v>
      </c>
      <c r="BA46" s="228">
        <f t="shared" si="31"/>
        <v>1.6591911136960791E-2</v>
      </c>
      <c r="BB46" s="228">
        <f t="shared" si="31"/>
        <v>1.5464077237267575E-2</v>
      </c>
      <c r="BE46" s="67"/>
      <c r="BF46" s="403"/>
      <c r="BG46" s="229"/>
      <c r="BH46" s="403"/>
      <c r="BI46" s="229"/>
    </row>
    <row r="47" spans="1:62" s="42" customFormat="1">
      <c r="D47" s="72"/>
      <c r="E47" s="72"/>
      <c r="F47" s="72"/>
      <c r="G47" s="72"/>
      <c r="H47" s="72"/>
      <c r="I47" s="72"/>
      <c r="J47" s="72"/>
      <c r="K47" s="72"/>
      <c r="L47" s="72"/>
      <c r="M47" s="72"/>
      <c r="N47" s="72"/>
      <c r="O47" s="72"/>
      <c r="P47" s="403"/>
      <c r="Q47" s="230"/>
      <c r="R47" s="230"/>
      <c r="S47" s="230"/>
      <c r="T47" s="72"/>
      <c r="U47" s="72"/>
      <c r="V47" s="72"/>
      <c r="W47" s="72"/>
      <c r="X47" s="72"/>
      <c r="Y47" s="72"/>
      <c r="Z47" s="72"/>
      <c r="AA47" s="72"/>
      <c r="AB47" s="72"/>
      <c r="AC47" s="231"/>
      <c r="AD47" s="72"/>
      <c r="AE47" s="72"/>
      <c r="AF47" s="72"/>
      <c r="AG47" s="72"/>
      <c r="AH47" s="72"/>
      <c r="AI47" s="72"/>
      <c r="AJ47" s="72"/>
      <c r="AK47" s="72"/>
      <c r="AL47" s="72"/>
      <c r="AM47" s="72"/>
      <c r="AN47" s="72"/>
      <c r="AO47" s="72"/>
      <c r="AP47" s="403"/>
      <c r="AQ47" s="230"/>
      <c r="AR47" s="230"/>
      <c r="AS47" s="230"/>
      <c r="AT47" s="72"/>
      <c r="AU47" s="72"/>
      <c r="AV47" s="72"/>
      <c r="AW47" s="72"/>
      <c r="AX47" s="72"/>
      <c r="AY47" s="72"/>
      <c r="AZ47" s="72"/>
      <c r="BA47" s="72"/>
      <c r="BB47" s="72"/>
      <c r="BE47" s="67"/>
      <c r="BF47" s="403"/>
      <c r="BG47" s="229"/>
      <c r="BH47" s="403"/>
      <c r="BI47" s="229"/>
    </row>
    <row r="48" spans="1:62" s="42" customFormat="1" ht="13.35" customHeight="1">
      <c r="D48" s="603" t="s">
        <v>163</v>
      </c>
      <c r="E48" s="603"/>
      <c r="F48" s="603"/>
      <c r="G48" s="603"/>
      <c r="H48" s="603"/>
      <c r="I48" s="603"/>
      <c r="J48" s="603"/>
      <c r="K48" s="603"/>
      <c r="L48" s="603"/>
      <c r="M48" s="603"/>
      <c r="N48" s="603"/>
      <c r="O48" s="603"/>
      <c r="P48" s="403" t="s">
        <v>155</v>
      </c>
      <c r="Q48" s="603" t="s">
        <v>147</v>
      </c>
      <c r="R48" s="603"/>
      <c r="S48" s="603"/>
      <c r="T48" s="603"/>
      <c r="U48" s="603"/>
      <c r="V48" s="603"/>
      <c r="W48" s="603"/>
      <c r="X48" s="603"/>
      <c r="Y48" s="603"/>
      <c r="Z48" s="603"/>
      <c r="AA48" s="603"/>
      <c r="AB48" s="603"/>
      <c r="AC48" s="231" t="s">
        <v>156</v>
      </c>
      <c r="AD48" s="599" t="s">
        <v>157</v>
      </c>
      <c r="AE48" s="599"/>
      <c r="AF48" s="599"/>
      <c r="AG48" s="599"/>
      <c r="AH48" s="599"/>
      <c r="AI48" s="599"/>
      <c r="AJ48" s="599"/>
      <c r="AK48" s="599"/>
      <c r="AL48" s="599"/>
      <c r="AM48" s="599"/>
      <c r="AN48" s="599"/>
      <c r="AO48" s="599"/>
      <c r="AP48" s="47" t="s">
        <v>158</v>
      </c>
      <c r="AQ48" s="599" t="s">
        <v>159</v>
      </c>
      <c r="AR48" s="599"/>
      <c r="AS48" s="599"/>
      <c r="AT48" s="599"/>
      <c r="AU48" s="599"/>
      <c r="AV48" s="599"/>
      <c r="AW48" s="599"/>
      <c r="AX48" s="599"/>
      <c r="AY48" s="599"/>
      <c r="AZ48" s="599"/>
      <c r="BA48" s="599"/>
      <c r="BB48" s="599"/>
      <c r="BE48" s="414"/>
      <c r="BF48" s="403"/>
      <c r="BG48" s="229"/>
      <c r="BH48" s="403"/>
      <c r="BI48" s="229"/>
    </row>
    <row r="49" spans="1:62" s="42" customFormat="1">
      <c r="D49" s="149">
        <v>1990</v>
      </c>
      <c r="E49" s="149">
        <v>2005</v>
      </c>
      <c r="F49" s="149">
        <v>2007</v>
      </c>
      <c r="G49" s="149">
        <v>2010</v>
      </c>
      <c r="H49" s="149">
        <v>2015</v>
      </c>
      <c r="I49" s="149">
        <v>2016</v>
      </c>
      <c r="J49" s="149">
        <v>2017</v>
      </c>
      <c r="K49" s="149">
        <v>2018</v>
      </c>
      <c r="L49" s="149">
        <v>2019</v>
      </c>
      <c r="M49" s="149">
        <v>2020</v>
      </c>
      <c r="N49" s="149">
        <v>2021</v>
      </c>
      <c r="O49" s="149">
        <v>2022</v>
      </c>
      <c r="P49" s="404"/>
      <c r="Q49" s="149">
        <v>1990</v>
      </c>
      <c r="R49" s="149">
        <v>2005</v>
      </c>
      <c r="S49" s="149">
        <v>2007</v>
      </c>
      <c r="T49" s="149">
        <v>2010</v>
      </c>
      <c r="U49" s="149">
        <v>2015</v>
      </c>
      <c r="V49" s="149">
        <v>2016</v>
      </c>
      <c r="W49" s="149">
        <v>2017</v>
      </c>
      <c r="X49" s="149">
        <v>2018</v>
      </c>
      <c r="Y49" s="149">
        <v>2019</v>
      </c>
      <c r="Z49" s="149">
        <v>2020</v>
      </c>
      <c r="AA49" s="149">
        <v>2021</v>
      </c>
      <c r="AB49" s="149">
        <v>2022</v>
      </c>
      <c r="AC49" s="44"/>
      <c r="AD49" s="149">
        <v>1990</v>
      </c>
      <c r="AE49" s="149">
        <v>2005</v>
      </c>
      <c r="AF49" s="149">
        <v>2007</v>
      </c>
      <c r="AG49" s="149">
        <v>2010</v>
      </c>
      <c r="AH49" s="149">
        <v>2015</v>
      </c>
      <c r="AI49" s="149">
        <v>2016</v>
      </c>
      <c r="AJ49" s="149">
        <v>2017</v>
      </c>
      <c r="AK49" s="149">
        <v>2018</v>
      </c>
      <c r="AL49" s="149">
        <v>2019</v>
      </c>
      <c r="AM49" s="149">
        <v>2020</v>
      </c>
      <c r="AN49" s="149">
        <v>2021</v>
      </c>
      <c r="AO49" s="149">
        <v>2022</v>
      </c>
      <c r="AP49" s="404"/>
      <c r="AQ49" s="149">
        <v>1990</v>
      </c>
      <c r="AR49" s="149">
        <v>2005</v>
      </c>
      <c r="AS49" s="149">
        <v>2007</v>
      </c>
      <c r="AT49" s="149">
        <v>2010</v>
      </c>
      <c r="AU49" s="149">
        <v>2015</v>
      </c>
      <c r="AV49" s="149">
        <v>2016</v>
      </c>
      <c r="AW49" s="149">
        <v>2017</v>
      </c>
      <c r="AX49" s="149">
        <v>2018</v>
      </c>
      <c r="AY49" s="149">
        <v>2019</v>
      </c>
      <c r="AZ49" s="149">
        <v>2020</v>
      </c>
      <c r="BA49" s="149">
        <v>2021</v>
      </c>
      <c r="BB49" s="149">
        <v>2022</v>
      </c>
      <c r="BE49" s="67"/>
      <c r="BF49" s="403"/>
      <c r="BG49" s="229"/>
      <c r="BH49" s="403"/>
      <c r="BI49" s="229"/>
    </row>
    <row r="50" spans="1:62" s="42" customFormat="1">
      <c r="B50" s="90" t="s">
        <v>164</v>
      </c>
      <c r="D50" s="70">
        <f>(VLOOKUP(D49,'ODS Subs Data'!$A$206:$I$229,'ODS Subs Data'!$G$204,FALSE)/VLOOKUP(D49,'ODS Subs Data'!$A$206:$I$229,'ODS Subs Data'!$D$204,FALSE))*VLOOKUP(D49,'ODS Subs Data'!$A$206:$I$229,'ODS Subs Data'!$C$204,FALSE)</f>
        <v>46590.758791650034</v>
      </c>
      <c r="E50" s="70">
        <f>(VLOOKUP(E49,'ODS Subs Data'!$A$206:$I$229,'ODS Subs Data'!$G$204,FALSE)/VLOOKUP(E49,'ODS Subs Data'!$A$206:$I$229,'ODS Subs Data'!$D$204,FALSE))*VLOOKUP(E49,'ODS Subs Data'!$A$206:$I$229,'ODS Subs Data'!$C$204,FALSE)</f>
        <v>60569.294432735769</v>
      </c>
      <c r="F50" s="70">
        <f>(VLOOKUP(F49,'ODS Subs Data'!$A$206:$I$229,'ODS Subs Data'!$G$204,FALSE)/VLOOKUP(F49,'ODS Subs Data'!$A$206:$I$229,'ODS Subs Data'!$D$204,FALSE))*VLOOKUP(F49,'ODS Subs Data'!$A$206:$I$229,'ODS Subs Data'!$C$204,FALSE)</f>
        <v>65247.548210298868</v>
      </c>
      <c r="G50" s="70">
        <f>(VLOOKUP(G49,'ODS Subs Data'!$A$206:$I$229,'ODS Subs Data'!$G$204,FALSE)/VLOOKUP(G49,'ODS Subs Data'!$A$206:$I$229,'ODS Subs Data'!$D$204,FALSE))*VLOOKUP(G49,'ODS Subs Data'!$A$206:$I$229,'ODS Subs Data'!$C$204,FALSE)</f>
        <v>70401.374814085735</v>
      </c>
      <c r="H50" s="70">
        <f>(VLOOKUP(H49,'ODS Subs Data'!$A$206:$I$229,'ODS Subs Data'!$G$204,FALSE)/VLOOKUP(H49,'ODS Subs Data'!$A$206:$I$229,'ODS Subs Data'!$D$204,FALSE))*VLOOKUP(H49,'ODS Subs Data'!$A$206:$I$229,'ODS Subs Data'!$C$204,FALSE)</f>
        <v>80398.642581111999</v>
      </c>
      <c r="I50" s="70">
        <f>(VLOOKUP(I49,'ODS Subs Data'!$A$206:$I$229,'ODS Subs Data'!$G$204,FALSE)/VLOOKUP(I49,'ODS Subs Data'!$A$206:$I$229,'ODS Subs Data'!$D$204,FALSE))*VLOOKUP(I49,'ODS Subs Data'!$A$206:$I$229,'ODS Subs Data'!$C$204,FALSE)</f>
        <v>79616.90849744853</v>
      </c>
      <c r="J50" s="70">
        <f>(VLOOKUP(J49,'ODS Subs Data'!$A$206:$I$229,'ODS Subs Data'!$G$204,FALSE)/VLOOKUP(J49,'ODS Subs Data'!$A$206:$I$229,'ODS Subs Data'!$D$204,FALSE))*VLOOKUP(J49,'ODS Subs Data'!$A$206:$I$229,'ODS Subs Data'!$C$204,FALSE)</f>
        <v>80094.333396429967</v>
      </c>
      <c r="K50" s="70">
        <f>(VLOOKUP(K49,'ODS Subs Data'!$A$206:$I$229,'ODS Subs Data'!$G$204,FALSE)/VLOOKUP(K49,'ODS Subs Data'!$A$206:$I$229,'ODS Subs Data'!$D$204,FALSE))*VLOOKUP(K49,'ODS Subs Data'!$A$206:$I$229,'ODS Subs Data'!$C$204,FALSE)</f>
        <v>79024.649711921869</v>
      </c>
      <c r="L50" s="70">
        <f>(VLOOKUP(L49,'ODS Subs Data'!$A$206:$I$229,'ODS Subs Data'!$G$204,FALSE)/VLOOKUP(L49,'ODS Subs Data'!$A$206:$I$229,'ODS Subs Data'!$D$204,FALSE))*VLOOKUP(L49,'ODS Subs Data'!$A$206:$I$229,'ODS Subs Data'!$C$204,FALSE)</f>
        <v>77825.664200339786</v>
      </c>
      <c r="M50" s="70">
        <f>(VLOOKUP(M49,'ODS Subs Data'!$A$206:$I$229,'ODS Subs Data'!$G$204,FALSE)/VLOOKUP(M49,'ODS Subs Data'!$A$206:$I$229,'ODS Subs Data'!$D$204,FALSE))*VLOOKUP(M49,'ODS Subs Data'!$A$206:$I$229,'ODS Subs Data'!$C$204,FALSE)</f>
        <v>70830.659765148826</v>
      </c>
      <c r="N50" s="70">
        <f>(VLOOKUP(N49,'ODS Subs Data'!$A$206:$I$229,'ODS Subs Data'!$G$204,FALSE)/VLOOKUP(N49,'ODS Subs Data'!$A$206:$I$229,'ODS Subs Data'!$D$204,FALSE))*VLOOKUP(N49,'ODS Subs Data'!$A$206:$I$229,'ODS Subs Data'!$C$204,FALSE)</f>
        <v>75652.365719579611</v>
      </c>
      <c r="O50" s="70">
        <f>(VLOOKUP(O49,'ODS Subs Data'!$A$206:$I$229,'ODS Subs Data'!$G$204,FALSE)/VLOOKUP(O49,'ODS Subs Data'!$A$206:$I$229,'ODS Subs Data'!$D$204,FALSE))*VLOOKUP(O49,'ODS Subs Data'!$A$206:$I$229,'ODS Subs Data'!$C$204,FALSE)</f>
        <v>76906.213890407715</v>
      </c>
      <c r="P50" s="403"/>
      <c r="Q50" s="70">
        <f>VLOOKUP(Q49,'ODS Subs Data'!$A$206:$I$229,'ODS Subs Data'!$B$204,FALSE)</f>
        <v>66133333.333333284</v>
      </c>
      <c r="R50" s="70">
        <f>VLOOKUP(R49,'ODS Subs Data'!$A$206:$I$229,'ODS Subs Data'!$B$204,FALSE)</f>
        <v>88133333.333333313</v>
      </c>
      <c r="S50" s="70">
        <f>VLOOKUP(S49,'ODS Subs Data'!$A$206:$I$229,'ODS Subs Data'!$B$204,FALSE)</f>
        <v>91066666.666666657</v>
      </c>
      <c r="T50" s="70">
        <f>VLOOKUP(T49,'ODS Subs Data'!$A$206:$I$229,'ODS Subs Data'!$B$204,FALSE)</f>
        <v>95466666.666666672</v>
      </c>
      <c r="U50" s="70">
        <f>VLOOKUP(U49,'ODS Subs Data'!$A$206:$I$229,'ODS Subs Data'!$B$204,FALSE)</f>
        <v>102800000</v>
      </c>
      <c r="V50" s="70">
        <f>VLOOKUP(V49,'ODS Subs Data'!$A$206:$I$229,'ODS Subs Data'!$B$204,FALSE)</f>
        <v>104024000</v>
      </c>
      <c r="W50" s="70">
        <f>VLOOKUP(W49,'ODS Subs Data'!$A$206:$I$229,'ODS Subs Data'!$B$204,FALSE)</f>
        <v>105248000</v>
      </c>
      <c r="X50" s="70">
        <f>VLOOKUP(X49,'ODS Subs Data'!$A$206:$I$229,'ODS Subs Data'!$B$204,FALSE)</f>
        <v>106472000</v>
      </c>
      <c r="Y50" s="70">
        <f>VLOOKUP(Y49,'ODS Subs Data'!$A$206:$I$229,'ODS Subs Data'!$B$204,FALSE)</f>
        <v>107696000</v>
      </c>
      <c r="Z50" s="70">
        <f>VLOOKUP(Z49,'ODS Subs Data'!$A$206:$I$229,'ODS Subs Data'!$B$204,FALSE)</f>
        <v>108920000</v>
      </c>
      <c r="AA50" s="70">
        <f>VLOOKUP(AA49,'ODS Subs Data'!$A$206:$I$229,'ODS Subs Data'!$B$204,FALSE)</f>
        <v>110144000</v>
      </c>
      <c r="AB50" s="70">
        <f>VLOOKUP(AB49,'ODS Subs Data'!$A$206:$I$229,'ODS Subs Data'!$B$204,FALSE)</f>
        <v>111368000</v>
      </c>
      <c r="AC50" s="227"/>
      <c r="AD50" s="48">
        <f>HLOOKUP(AD49,'ODS Subs Data'!$A$45:$AH$49,ROWS('ODS Subs Data'!$A$45:$A$48),FALSE)</f>
        <v>1.5331524000000001E-2</v>
      </c>
      <c r="AE50" s="48">
        <f>HLOOKUP(AE49,'ODS Subs Data'!$A$45:$AH$49,ROWS('ODS Subs Data'!$A$45:$A$48),FALSE)</f>
        <v>2.9636769795000002</v>
      </c>
      <c r="AF50" s="48">
        <f>HLOOKUP(AF49,'ODS Subs Data'!$A$45:$AH$49,ROWS('ODS Subs Data'!$A$45:$A$48),FALSE)</f>
        <v>4.9444058864999993</v>
      </c>
      <c r="AG50" s="48">
        <f>HLOOKUP(AG49,'ODS Subs Data'!$A$45:$AH$49,ROWS('ODS Subs Data'!$A$45:$A$48),FALSE)</f>
        <v>9.4590427961999985</v>
      </c>
      <c r="AH50" s="48">
        <f>HLOOKUP(AH49,'ODS Subs Data'!$A$45:$AH$49,ROWS('ODS Subs Data'!$A$45:$A$48),FALSE)</f>
        <v>22.076133818999999</v>
      </c>
      <c r="AI50" s="48">
        <f>HLOOKUP(AI49,'ODS Subs Data'!$A$45:$AH$49,ROWS('ODS Subs Data'!$A$45:$A$48),FALSE)</f>
        <v>25.363225943400003</v>
      </c>
      <c r="AJ50" s="48">
        <f>HLOOKUP(AJ49,'ODS Subs Data'!$A$45:$AH$49,ROWS('ODS Subs Data'!$A$45:$A$48),FALSE)</f>
        <v>28.835006181299995</v>
      </c>
      <c r="AK50" s="48">
        <f>HLOOKUP(AK49,'ODS Subs Data'!$A$45:$AH$49,ROWS('ODS Subs Data'!$A$45:$A$48),FALSE)</f>
        <v>32.43467263334</v>
      </c>
      <c r="AL50" s="48">
        <f>HLOOKUP(AL49,'ODS Subs Data'!$A$45:$AH$49,ROWS('ODS Subs Data'!$A$45:$A$48),FALSE)</f>
        <v>35.986680838900007</v>
      </c>
      <c r="AM50" s="48">
        <f>HLOOKUP(AM49,'ODS Subs Data'!$A$45:$AH$49,ROWS('ODS Subs Data'!$A$45:$A$48),FALSE)</f>
        <v>40.1213199269</v>
      </c>
      <c r="AN50" s="48">
        <f>HLOOKUP(AN49,'ODS Subs Data'!$A$45:$AH$49,ROWS('ODS Subs Data'!$A$45:$A$48),FALSE)</f>
        <v>48.790876858400004</v>
      </c>
      <c r="AO50" s="48">
        <f>HLOOKUP(AO49,'ODS Subs Data'!$A$45:$AH$49,ROWS('ODS Subs Data'!$A$45:$A$48),FALSE)</f>
        <v>54.039902339999998</v>
      </c>
      <c r="AP50" s="403"/>
      <c r="AQ50" s="228">
        <f t="shared" ref="AQ50:BB50" si="32">D50/Q50*AD50</f>
        <v>1.0801018194441442E-5</v>
      </c>
      <c r="AR50" s="228">
        <f t="shared" si="32"/>
        <v>2.0367756078841517E-3</v>
      </c>
      <c r="AS50" s="228">
        <f t="shared" si="32"/>
        <v>3.5425735151979605E-3</v>
      </c>
      <c r="AT50" s="228">
        <f t="shared" si="32"/>
        <v>6.9755197340546828E-3</v>
      </c>
      <c r="AU50" s="228">
        <f t="shared" si="32"/>
        <v>1.7265478526134047E-2</v>
      </c>
      <c r="AV50" s="228">
        <f t="shared" si="32"/>
        <v>1.9412266776280385E-2</v>
      </c>
      <c r="AW50" s="228">
        <f t="shared" si="32"/>
        <v>2.1943605565646479E-2</v>
      </c>
      <c r="AX50" s="228">
        <f t="shared" si="32"/>
        <v>2.4073358661155536E-2</v>
      </c>
      <c r="AY50" s="228">
        <f t="shared" si="32"/>
        <v>2.6005490813521707E-2</v>
      </c>
      <c r="AZ50" s="228">
        <f t="shared" si="32"/>
        <v>2.6090888368260557E-2</v>
      </c>
      <c r="BA50" s="228">
        <f t="shared" si="32"/>
        <v>3.3511995749842489E-2</v>
      </c>
      <c r="BB50" s="228">
        <f t="shared" si="32"/>
        <v>3.7317759930830981E-2</v>
      </c>
      <c r="BE50" s="67"/>
      <c r="BF50" s="403"/>
      <c r="BG50" s="229"/>
      <c r="BH50" s="403"/>
      <c r="BI50" s="229"/>
    </row>
    <row r="51" spans="1:62" s="42" customFormat="1">
      <c r="D51" s="72"/>
      <c r="E51" s="72"/>
      <c r="F51" s="72"/>
      <c r="G51" s="72"/>
      <c r="H51" s="72"/>
      <c r="I51" s="72"/>
      <c r="J51" s="72"/>
      <c r="K51" s="72"/>
      <c r="L51" s="72"/>
      <c r="M51" s="72"/>
      <c r="N51" s="72"/>
      <c r="O51" s="72"/>
      <c r="P51" s="403"/>
      <c r="Q51" s="230"/>
      <c r="R51" s="230"/>
      <c r="S51" s="230"/>
      <c r="T51" s="72"/>
      <c r="U51" s="72"/>
      <c r="V51" s="72"/>
      <c r="W51" s="72"/>
      <c r="X51" s="72"/>
      <c r="Y51" s="72"/>
      <c r="Z51" s="72"/>
      <c r="AA51" s="72"/>
      <c r="AB51" s="72"/>
      <c r="AC51" s="231"/>
      <c r="AD51" s="72"/>
      <c r="AE51" s="72"/>
      <c r="AF51" s="72"/>
      <c r="AG51" s="72"/>
      <c r="AH51" s="72"/>
      <c r="AI51" s="72"/>
      <c r="AJ51" s="72"/>
      <c r="AK51" s="72"/>
      <c r="AL51" s="72"/>
      <c r="AM51" s="72"/>
      <c r="AN51" s="72"/>
      <c r="AO51" s="72"/>
      <c r="AP51" s="403"/>
      <c r="AQ51" s="230"/>
      <c r="AR51" s="230"/>
      <c r="AS51" s="230"/>
      <c r="AT51" s="72"/>
      <c r="AU51" s="72"/>
      <c r="AV51" s="72"/>
      <c r="AW51" s="72"/>
      <c r="AX51" s="72"/>
      <c r="AY51" s="72"/>
      <c r="AZ51" s="72"/>
      <c r="BA51" s="72"/>
      <c r="BB51" s="72"/>
      <c r="BE51" s="67"/>
      <c r="BF51" s="403"/>
      <c r="BG51" s="229"/>
      <c r="BH51" s="403"/>
      <c r="BI51" s="229"/>
    </row>
    <row r="52" spans="1:62" s="42" customFormat="1" ht="13.35" customHeight="1">
      <c r="B52" s="129"/>
      <c r="D52" s="599" t="s">
        <v>165</v>
      </c>
      <c r="E52" s="599"/>
      <c r="F52" s="599"/>
      <c r="G52" s="599"/>
      <c r="H52" s="599"/>
      <c r="I52" s="599"/>
      <c r="J52" s="599"/>
      <c r="K52" s="599"/>
      <c r="L52" s="599"/>
      <c r="M52" s="599"/>
      <c r="N52" s="599"/>
      <c r="O52" s="599"/>
      <c r="P52" s="403" t="s">
        <v>155</v>
      </c>
      <c r="Q52" s="599" t="s">
        <v>152</v>
      </c>
      <c r="R52" s="599"/>
      <c r="S52" s="599"/>
      <c r="T52" s="599"/>
      <c r="U52" s="599"/>
      <c r="V52" s="599"/>
      <c r="W52" s="599"/>
      <c r="X52" s="599"/>
      <c r="Y52" s="599"/>
      <c r="Z52" s="599"/>
      <c r="AA52" s="599"/>
      <c r="AB52" s="599"/>
      <c r="AC52" s="44" t="s">
        <v>156</v>
      </c>
      <c r="AD52" s="599" t="s">
        <v>157</v>
      </c>
      <c r="AE52" s="599"/>
      <c r="AF52" s="599"/>
      <c r="AG52" s="599"/>
      <c r="AH52" s="599"/>
      <c r="AI52" s="599"/>
      <c r="AJ52" s="599"/>
      <c r="AK52" s="599"/>
      <c r="AL52" s="599"/>
      <c r="AM52" s="599"/>
      <c r="AN52" s="599"/>
      <c r="AO52" s="599"/>
      <c r="AP52" s="47" t="s">
        <v>158</v>
      </c>
      <c r="AQ52" s="599" t="s">
        <v>159</v>
      </c>
      <c r="AR52" s="599"/>
      <c r="AS52" s="599"/>
      <c r="AT52" s="599"/>
      <c r="AU52" s="599"/>
      <c r="AV52" s="599"/>
      <c r="AW52" s="599"/>
      <c r="AX52" s="599"/>
      <c r="AY52" s="599"/>
      <c r="AZ52" s="599"/>
      <c r="BA52" s="599"/>
      <c r="BB52" s="599"/>
      <c r="BE52" s="67"/>
      <c r="BF52" s="403"/>
      <c r="BG52" s="229"/>
      <c r="BH52" s="403"/>
      <c r="BI52" s="229"/>
    </row>
    <row r="53" spans="1:62" s="42" customFormat="1">
      <c r="B53" s="129"/>
      <c r="O53" s="566"/>
      <c r="AD53" s="600" t="s">
        <v>161</v>
      </c>
      <c r="AE53" s="600"/>
      <c r="AF53" s="600"/>
      <c r="AG53" s="600"/>
      <c r="AH53" s="600"/>
      <c r="AI53" s="600"/>
      <c r="AJ53" s="600"/>
      <c r="AK53" s="600"/>
      <c r="AL53" s="600"/>
      <c r="AM53" s="600"/>
      <c r="AN53" s="600"/>
      <c r="AO53" s="600"/>
      <c r="AQ53" s="600" t="s">
        <v>161</v>
      </c>
      <c r="AR53" s="600"/>
      <c r="AS53" s="600"/>
      <c r="AT53" s="600"/>
      <c r="AU53" s="600"/>
      <c r="AV53" s="600"/>
      <c r="AW53" s="600"/>
      <c r="AX53" s="600"/>
      <c r="AY53" s="600"/>
      <c r="AZ53" s="600"/>
      <c r="BA53" s="600"/>
      <c r="BB53" s="600"/>
      <c r="BE53" s="67"/>
      <c r="BF53" s="403"/>
      <c r="BG53" s="229"/>
      <c r="BH53" s="403"/>
      <c r="BI53" s="229"/>
    </row>
    <row r="54" spans="1:62" s="42" customFormat="1">
      <c r="B54" s="134" t="s">
        <v>166</v>
      </c>
      <c r="D54" s="70">
        <f>INDEX('ODS Subs Data'!$G$206:$G$229,MATCH(D49,'ODS Subs Data'!$A$206:$A$229,0))</f>
        <v>137103</v>
      </c>
      <c r="E54" s="70">
        <f>INDEX('ODS Subs Data'!$G$206:$G$229,MATCH(E49,'ODS Subs Data'!$A$206:$A$229,0))</f>
        <v>188612</v>
      </c>
      <c r="F54" s="70">
        <f>INDEX('ODS Subs Data'!$G$206:$G$229,MATCH(F49,'ODS Subs Data'!$A$206:$A$229,0))</f>
        <v>196723</v>
      </c>
      <c r="G54" s="70">
        <f>INDEX('ODS Subs Data'!$G$206:$G$229,MATCH(G49,'ODS Subs Data'!$A$206:$A$229,0))</f>
        <v>202410</v>
      </c>
      <c r="H54" s="70">
        <f>INDEX('ODS Subs Data'!$G$206:$G$229,MATCH(H49,'ODS Subs Data'!$A$206:$A$229,0))</f>
        <v>218770</v>
      </c>
      <c r="I54" s="70">
        <f>INDEX('ODS Subs Data'!$G$206:$G$229,MATCH(I49,'ODS Subs Data'!$A$206:$A$229,0))</f>
        <v>221095</v>
      </c>
      <c r="J54" s="70">
        <f>INDEX('ODS Subs Data'!$G$206:$G$229,MATCH(J49,'ODS Subs Data'!$A$206:$A$229,0))</f>
        <v>226372</v>
      </c>
      <c r="K54" s="70">
        <f>INDEX('ODS Subs Data'!$G$206:$G$229,MATCH(K49,'ODS Subs Data'!$A$206:$A$229,0))</f>
        <v>226774</v>
      </c>
      <c r="L54" s="70">
        <f>INDEX('ODS Subs Data'!$G$206:$G$229,MATCH(L49,'ODS Subs Data'!$A$206:$A$229,0))</f>
        <v>226688</v>
      </c>
      <c r="M54" s="70">
        <f>INDEX('ODS Subs Data'!$G$206:$G$229,MATCH(M49,'ODS Subs Data'!$A$206:$A$229,0))</f>
        <v>207869</v>
      </c>
      <c r="N54" s="70">
        <f>INDEX('ODS Subs Data'!$G$206:$G$229,MATCH(N49,'ODS Subs Data'!$A$206:$A$229,0))</f>
        <v>225471</v>
      </c>
      <c r="O54" s="70">
        <f>INDEX('ODS Subs Data'!$G$206:$G$229,MATCH(O49,'ODS Subs Data'!$A$206:$A$229,0))</f>
        <v>233808</v>
      </c>
      <c r="P54" s="403"/>
      <c r="Q54" s="226">
        <f t="shared" ref="Q54:AB54" si="33">D25</f>
        <v>249622814</v>
      </c>
      <c r="R54" s="226">
        <f t="shared" si="33"/>
        <v>295516599</v>
      </c>
      <c r="S54" s="226">
        <f t="shared" si="33"/>
        <v>301231207</v>
      </c>
      <c r="T54" s="226">
        <f t="shared" si="33"/>
        <v>309327143</v>
      </c>
      <c r="U54" s="226">
        <f t="shared" si="33"/>
        <v>320738994</v>
      </c>
      <c r="V54" s="226">
        <f t="shared" si="33"/>
        <v>323071755</v>
      </c>
      <c r="W54" s="226">
        <f t="shared" si="33"/>
        <v>325122128</v>
      </c>
      <c r="X54" s="226">
        <f t="shared" si="33"/>
        <v>326838199</v>
      </c>
      <c r="Y54" s="226">
        <f t="shared" si="33"/>
        <v>328329953</v>
      </c>
      <c r="Z54" s="226">
        <f t="shared" si="33"/>
        <v>331511512</v>
      </c>
      <c r="AA54" s="226">
        <f t="shared" si="33"/>
        <v>332031554</v>
      </c>
      <c r="AB54" s="226">
        <f t="shared" si="33"/>
        <v>333287557</v>
      </c>
      <c r="AC54" s="227"/>
      <c r="AD54" s="70">
        <f>VLOOKUP($B54,'ODS Subs Data'!$A$46:$AH$54,'ODS Subs Data'!$B$43,FALSE)</f>
        <v>3.5485200000000001E-4</v>
      </c>
      <c r="AE54" s="70">
        <f>VLOOKUP($B54,'ODS Subs Data'!$A$46:$AH$54,'ODS Subs Data'!$Q$43,FALSE)</f>
        <v>18.4710840109</v>
      </c>
      <c r="AF54" s="70">
        <f>VLOOKUP($B54,'ODS Subs Data'!$A$46:$AH$54,'ODS Subs Data'!$S$43,FALSE)</f>
        <v>26.201877207300001</v>
      </c>
      <c r="AG54" s="70">
        <f>VLOOKUP($B54,'ODS Subs Data'!$A$46:$AH$54,'ODS Subs Data'!$V$43,FALSE)</f>
        <v>42.267351500799997</v>
      </c>
      <c r="AH54" s="70">
        <f>VLOOKUP($B54,'ODS Subs Data'!$A$46:$AH$54,'ODS Subs Data'!$AA$43,FALSE)</f>
        <v>58.965182780299997</v>
      </c>
      <c r="AI54" s="70">
        <f>VLOOKUP($B54,'ODS Subs Data'!$A$46:$AH$54,'ODS Subs Data'!$AB$43,FALSE)</f>
        <v>60.648990855000008</v>
      </c>
      <c r="AJ54" s="70">
        <f>VLOOKUP($B54,'ODS Subs Data'!$A$46:$AH$54,'ODS Subs Data'!$AC$43,FALSE)</f>
        <v>60.933447877739994</v>
      </c>
      <c r="AK54" s="70">
        <f>VLOOKUP($B54,'ODS Subs Data'!$A$46:$AH$54,'ODS Subs Data'!$AD$43,FALSE)</f>
        <v>61.568224540540008</v>
      </c>
      <c r="AL54" s="70">
        <f>VLOOKUP($B54,'ODS Subs Data'!$A$46:$AH$54,'ODS Subs Data'!$AE$43,FALSE)</f>
        <v>63.839829161980006</v>
      </c>
      <c r="AM54" s="70">
        <f>VLOOKUP($B54,'ODS Subs Data'!$A$46:$AH$54,'ODS Subs Data'!$AF$43,FALSE)</f>
        <v>65.861211760999993</v>
      </c>
      <c r="AN54" s="70">
        <f>VLOOKUP($B54,'ODS Subs Data'!$A$46:$AH$54,'ODS Subs Data'!$AG$43,FALSE)</f>
        <v>67.901135420939994</v>
      </c>
      <c r="AO54" s="70">
        <f>VLOOKUP($B54,'ODS Subs Data'!$A$46:$AH$54,'ODS Subs Data'!$AH$43,FALSE)</f>
        <v>69.80410859541999</v>
      </c>
      <c r="AP54" s="403"/>
      <c r="AQ54" s="228">
        <f t="shared" ref="AQ54:BB58" si="34">D54/Q54*AD54</f>
        <v>1.9489914794406571E-7</v>
      </c>
      <c r="AR54" s="228">
        <f t="shared" si="34"/>
        <v>1.1789077531525973E-2</v>
      </c>
      <c r="AS54" s="228">
        <f t="shared" si="34"/>
        <v>1.711148038473875E-2</v>
      </c>
      <c r="AT54" s="228">
        <f t="shared" si="34"/>
        <v>2.7657885222432382E-2</v>
      </c>
      <c r="AU54" s="228">
        <f t="shared" si="34"/>
        <v>4.0219035658776901E-2</v>
      </c>
      <c r="AV54" s="228">
        <f t="shared" si="34"/>
        <v>4.1505295419855655E-2</v>
      </c>
      <c r="AW54" s="228">
        <f t="shared" si="34"/>
        <v>4.2425984807099186E-2</v>
      </c>
      <c r="AX54" s="228">
        <f t="shared" si="34"/>
        <v>4.27186069274492E-2</v>
      </c>
      <c r="AY54" s="228">
        <f t="shared" si="34"/>
        <v>4.4076768082962334E-2</v>
      </c>
      <c r="AZ54" s="228">
        <f t="shared" si="34"/>
        <v>4.1297221158182004E-2</v>
      </c>
      <c r="BA54" s="228">
        <f t="shared" si="34"/>
        <v>4.6109283048727238E-2</v>
      </c>
      <c r="BB54" s="228">
        <f t="shared" si="34"/>
        <v>4.8969001931500118E-2</v>
      </c>
      <c r="BE54" s="414"/>
      <c r="BF54" s="403"/>
      <c r="BG54" s="229"/>
      <c r="BH54" s="403"/>
      <c r="BI54" s="229"/>
    </row>
    <row r="55" spans="1:62" s="42" customFormat="1">
      <c r="B55" s="219" t="s">
        <v>167</v>
      </c>
      <c r="D55" s="70">
        <f>D54</f>
        <v>137103</v>
      </c>
      <c r="E55" s="70">
        <f>E54</f>
        <v>188612</v>
      </c>
      <c r="F55" s="70">
        <f t="shared" ref="F55:H55" si="35">F54</f>
        <v>196723</v>
      </c>
      <c r="G55" s="70">
        <f t="shared" si="35"/>
        <v>202410</v>
      </c>
      <c r="H55" s="70">
        <f t="shared" si="35"/>
        <v>218770</v>
      </c>
      <c r="I55" s="70">
        <f>I54</f>
        <v>221095</v>
      </c>
      <c r="J55" s="70">
        <f>J54</f>
        <v>226372</v>
      </c>
      <c r="K55" s="70">
        <f t="shared" ref="K55:L55" si="36">K54</f>
        <v>226774</v>
      </c>
      <c r="L55" s="70">
        <f t="shared" si="36"/>
        <v>226688</v>
      </c>
      <c r="M55" s="70">
        <f t="shared" ref="M55:N55" si="37">M54</f>
        <v>207869</v>
      </c>
      <c r="N55" s="70">
        <f t="shared" si="37"/>
        <v>225471</v>
      </c>
      <c r="O55" s="70">
        <f t="shared" ref="O55" si="38">O54</f>
        <v>233808</v>
      </c>
      <c r="P55" s="403"/>
      <c r="Q55" s="226">
        <f>Q54</f>
        <v>249622814</v>
      </c>
      <c r="R55" s="226">
        <f>R54</f>
        <v>295516599</v>
      </c>
      <c r="S55" s="226">
        <f t="shared" ref="S55:W55" si="39">S54</f>
        <v>301231207</v>
      </c>
      <c r="T55" s="226">
        <f t="shared" si="39"/>
        <v>309327143</v>
      </c>
      <c r="U55" s="226">
        <f t="shared" si="39"/>
        <v>320738994</v>
      </c>
      <c r="V55" s="226">
        <f>V54</f>
        <v>323071755</v>
      </c>
      <c r="W55" s="226">
        <f t="shared" si="39"/>
        <v>325122128</v>
      </c>
      <c r="X55" s="226">
        <f t="shared" ref="X55:Y55" si="40">X54</f>
        <v>326838199</v>
      </c>
      <c r="Y55" s="226">
        <f t="shared" si="40"/>
        <v>328329953</v>
      </c>
      <c r="Z55" s="226">
        <f t="shared" ref="Z55:AA55" si="41">Z54</f>
        <v>331511512</v>
      </c>
      <c r="AA55" s="226">
        <f t="shared" si="41"/>
        <v>332031554</v>
      </c>
      <c r="AB55" s="226">
        <f t="shared" ref="AB55" si="42">AB54</f>
        <v>333287557</v>
      </c>
      <c r="AC55" s="227"/>
      <c r="AD55" s="70">
        <f>VLOOKUP($B55,'ODS Subs Data'!$A$46:$AH$54,'ODS Subs Data'!$B$43,FALSE)</f>
        <v>0.23051244000000001</v>
      </c>
      <c r="AE55" s="70">
        <f>VLOOKUP($B55,'ODS Subs Data'!$A$46:$AH$54,'ODS Subs Data'!$Q$43,FALSE)</f>
        <v>10.175936419999999</v>
      </c>
      <c r="AF55" s="70">
        <f>VLOOKUP($B55,'ODS Subs Data'!$A$46:$AH$54,'ODS Subs Data'!$S$43,FALSE)</f>
        <v>11.7735906</v>
      </c>
      <c r="AG55" s="70">
        <f>VLOOKUP($B55,'ODS Subs Data'!$A$46:$AH$54,'ODS Subs Data'!$V$43,FALSE)</f>
        <v>15.597268</v>
      </c>
      <c r="AH55" s="70">
        <f>VLOOKUP($B55,'ODS Subs Data'!$A$46:$AH$54,'ODS Subs Data'!$AA$43,FALSE)</f>
        <v>19.694944899999996</v>
      </c>
      <c r="AI55" s="70">
        <f>VLOOKUP($B55,'ODS Subs Data'!$A$46:$AH$54,'ODS Subs Data'!$AB$43,FALSE)</f>
        <v>18.665525850000002</v>
      </c>
      <c r="AJ55" s="70">
        <f>VLOOKUP($B55,'ODS Subs Data'!$A$46:$AH$54,'ODS Subs Data'!$AC$43,FALSE)</f>
        <v>17.711663850000001</v>
      </c>
      <c r="AK55" s="70">
        <f>VLOOKUP($B55,'ODS Subs Data'!$A$46:$AH$54,'ODS Subs Data'!$AD$43,FALSE)</f>
        <v>16.695425880000002</v>
      </c>
      <c r="AL55" s="70">
        <f>VLOOKUP($B55,'ODS Subs Data'!$A$46:$AH$54,'ODS Subs Data'!$AE$43,FALSE)</f>
        <v>17.014575400000002</v>
      </c>
      <c r="AM55" s="70">
        <f>VLOOKUP($B55,'ODS Subs Data'!$A$46:$AH$54,'ODS Subs Data'!$AF$43,FALSE)</f>
        <v>17.339892519999999</v>
      </c>
      <c r="AN55" s="70">
        <f>VLOOKUP($B55,'ODS Subs Data'!$A$46:$AH$54,'ODS Subs Data'!$AG$43,FALSE)</f>
        <v>17.671530189999999</v>
      </c>
      <c r="AO55" s="70">
        <f>VLOOKUP($B55,'ODS Subs Data'!$A$46:$AH$54,'ODS Subs Data'!$AH$43,FALSE)</f>
        <v>17.037062899999999</v>
      </c>
      <c r="AP55" s="403"/>
      <c r="AQ55" s="228">
        <f t="shared" si="34"/>
        <v>1.2660680550344248E-4</v>
      </c>
      <c r="AR55" s="228">
        <f t="shared" si="34"/>
        <v>6.494740825198248E-3</v>
      </c>
      <c r="AS55" s="228">
        <f t="shared" si="34"/>
        <v>7.6888981280209788E-3</v>
      </c>
      <c r="AT55" s="228">
        <f t="shared" si="34"/>
        <v>1.0206162269697748E-2</v>
      </c>
      <c r="AU55" s="228">
        <f t="shared" si="34"/>
        <v>1.3433549323201404E-2</v>
      </c>
      <c r="AV55" s="228">
        <f t="shared" si="34"/>
        <v>1.2773801404600505E-2</v>
      </c>
      <c r="AW55" s="228">
        <f t="shared" si="34"/>
        <v>1.2332057475497947E-2</v>
      </c>
      <c r="AX55" s="228">
        <f t="shared" si="34"/>
        <v>1.1583984124545737E-2</v>
      </c>
      <c r="AY55" s="228">
        <f t="shared" si="34"/>
        <v>1.1747329273595701E-2</v>
      </c>
      <c r="AZ55" s="228">
        <f t="shared" si="34"/>
        <v>1.0872702720018603E-2</v>
      </c>
      <c r="BA55" s="228">
        <f t="shared" si="34"/>
        <v>1.2000117264365453E-2</v>
      </c>
      <c r="BB55" s="228">
        <f t="shared" si="34"/>
        <v>1.1951846142648524E-2</v>
      </c>
    </row>
    <row r="56" spans="1:62" s="42" customFormat="1">
      <c r="B56" s="134" t="s">
        <v>168</v>
      </c>
      <c r="D56" s="70">
        <f>D54</f>
        <v>137103</v>
      </c>
      <c r="E56" s="70">
        <f>E54</f>
        <v>188612</v>
      </c>
      <c r="F56" s="70">
        <f t="shared" ref="F56:H56" si="43">F54</f>
        <v>196723</v>
      </c>
      <c r="G56" s="70">
        <f t="shared" si="43"/>
        <v>202410</v>
      </c>
      <c r="H56" s="70">
        <f t="shared" si="43"/>
        <v>218770</v>
      </c>
      <c r="I56" s="70">
        <f>I54</f>
        <v>221095</v>
      </c>
      <c r="J56" s="70">
        <f t="shared" ref="J56:L56" si="44">J54</f>
        <v>226372</v>
      </c>
      <c r="K56" s="70">
        <f t="shared" si="44"/>
        <v>226774</v>
      </c>
      <c r="L56" s="70">
        <f t="shared" si="44"/>
        <v>226688</v>
      </c>
      <c r="M56" s="70">
        <f t="shared" ref="M56:N56" si="45">M54</f>
        <v>207869</v>
      </c>
      <c r="N56" s="70">
        <f t="shared" si="45"/>
        <v>225471</v>
      </c>
      <c r="O56" s="70">
        <f t="shared" ref="O56" si="46">O54</f>
        <v>233808</v>
      </c>
      <c r="P56" s="403"/>
      <c r="Q56" s="226">
        <f>Q54</f>
        <v>249622814</v>
      </c>
      <c r="R56" s="226">
        <f>R54</f>
        <v>295516599</v>
      </c>
      <c r="S56" s="226">
        <f t="shared" ref="S56:W56" si="47">S54</f>
        <v>301231207</v>
      </c>
      <c r="T56" s="226">
        <f t="shared" si="47"/>
        <v>309327143</v>
      </c>
      <c r="U56" s="226">
        <f t="shared" si="47"/>
        <v>320738994</v>
      </c>
      <c r="V56" s="226">
        <f>V54</f>
        <v>323071755</v>
      </c>
      <c r="W56" s="226">
        <f t="shared" si="47"/>
        <v>325122128</v>
      </c>
      <c r="X56" s="226">
        <f t="shared" ref="X56:Y56" si="48">X54</f>
        <v>326838199</v>
      </c>
      <c r="Y56" s="226">
        <f t="shared" si="48"/>
        <v>328329953</v>
      </c>
      <c r="Z56" s="226">
        <f t="shared" ref="Z56:AA56" si="49">Z54</f>
        <v>331511512</v>
      </c>
      <c r="AA56" s="226">
        <f t="shared" si="49"/>
        <v>332031554</v>
      </c>
      <c r="AB56" s="226">
        <f t="shared" ref="AB56" si="50">AB54</f>
        <v>333287557</v>
      </c>
      <c r="AC56" s="227"/>
      <c r="AD56" s="70">
        <f>VLOOKUP($B56,'ODS Subs Data'!$A$46:$AH$54,'ODS Subs Data'!$B$43,FALSE)</f>
        <v>6.6005399999999994E-3</v>
      </c>
      <c r="AE56" s="70">
        <f>VLOOKUP($B56,'ODS Subs Data'!$A$46:$AH$54,'ODS Subs Data'!$Q$43,FALSE)</f>
        <v>3.4888586672000002</v>
      </c>
      <c r="AF56" s="70">
        <f>VLOOKUP($B56,'ODS Subs Data'!$A$46:$AH$54,'ODS Subs Data'!$S$43,FALSE)</f>
        <v>4.2187536218000004</v>
      </c>
      <c r="AG56" s="70">
        <f>VLOOKUP($B56,'ODS Subs Data'!$A$46:$AH$54,'ODS Subs Data'!$V$43,FALSE)</f>
        <v>7.8990071527999977</v>
      </c>
      <c r="AH56" s="70">
        <f>VLOOKUP($B56,'ODS Subs Data'!$A$46:$AH$54,'ODS Subs Data'!$AA$43,FALSE)</f>
        <v>12.148485258799999</v>
      </c>
      <c r="AI56" s="70">
        <f>VLOOKUP($B56,'ODS Subs Data'!$A$46:$AH$54,'ODS Subs Data'!$AB$43,FALSE)</f>
        <v>13.061289361200002</v>
      </c>
      <c r="AJ56" s="70">
        <f>VLOOKUP($B56,'ODS Subs Data'!$A$46:$AH$54,'ODS Subs Data'!$AC$43,FALSE)</f>
        <v>13.815900991199996</v>
      </c>
      <c r="AK56" s="70">
        <f>VLOOKUP($B56,'ODS Subs Data'!$A$46:$AH$54,'ODS Subs Data'!$AD$43,FALSE)</f>
        <v>14.173388369400003</v>
      </c>
      <c r="AL56" s="70">
        <f>VLOOKUP($B56,'ODS Subs Data'!$A$46:$AH$54,'ODS Subs Data'!$AE$43,FALSE)</f>
        <v>14.1360476226</v>
      </c>
      <c r="AM56" s="70">
        <f>VLOOKUP($B56,'ODS Subs Data'!$A$46:$AH$54,'ODS Subs Data'!$AF$43,FALSE)</f>
        <v>13.699476005200001</v>
      </c>
      <c r="AN56" s="70">
        <f>VLOOKUP($B56,'ODS Subs Data'!$A$46:$AH$54,'ODS Subs Data'!$AG$43,FALSE)</f>
        <v>10.779920445200004</v>
      </c>
      <c r="AO56" s="70">
        <f>VLOOKUP($B56,'ODS Subs Data'!$A$46:$AH$54,'ODS Subs Data'!$AH$43,FALSE)</f>
        <v>11.687077275200004</v>
      </c>
      <c r="AP56" s="403"/>
      <c r="AQ56" s="228">
        <f t="shared" si="34"/>
        <v>3.6252849694259109E-6</v>
      </c>
      <c r="AR56" s="228">
        <f t="shared" si="34"/>
        <v>2.226746697697094E-3</v>
      </c>
      <c r="AS56" s="228">
        <f t="shared" si="34"/>
        <v>2.7551125164178673E-3</v>
      </c>
      <c r="AT56" s="228">
        <f t="shared" si="34"/>
        <v>5.1687608862641824E-3</v>
      </c>
      <c r="AU56" s="228">
        <f t="shared" si="34"/>
        <v>8.286251967441401E-3</v>
      </c>
      <c r="AV56" s="228">
        <f t="shared" si="34"/>
        <v>8.9385275147761348E-3</v>
      </c>
      <c r="AW56" s="228">
        <f t="shared" si="34"/>
        <v>9.6195640647994459E-3</v>
      </c>
      <c r="AX56" s="228">
        <f t="shared" si="34"/>
        <v>9.8340891117268594E-3</v>
      </c>
      <c r="AY56" s="228">
        <f t="shared" si="34"/>
        <v>9.7599147875245748E-3</v>
      </c>
      <c r="AZ56" s="228">
        <f t="shared" si="34"/>
        <v>8.5900376748452682E-3</v>
      </c>
      <c r="BA56" s="228">
        <f t="shared" si="34"/>
        <v>7.320266442808295E-3</v>
      </c>
      <c r="BB56" s="228">
        <f t="shared" si="34"/>
        <v>8.1987224130301468E-3</v>
      </c>
      <c r="BE56" s="67"/>
      <c r="BF56" s="403"/>
      <c r="BG56" s="229"/>
      <c r="BH56" s="403"/>
      <c r="BI56" s="229"/>
    </row>
    <row r="57" spans="1:62" s="42" customFormat="1">
      <c r="B57" s="134" t="s">
        <v>169</v>
      </c>
      <c r="D57" s="70">
        <f>D54</f>
        <v>137103</v>
      </c>
      <c r="E57" s="70">
        <f>E54</f>
        <v>188612</v>
      </c>
      <c r="F57" s="70">
        <f t="shared" ref="F57:H57" si="51">F54</f>
        <v>196723</v>
      </c>
      <c r="G57" s="70">
        <f t="shared" si="51"/>
        <v>202410</v>
      </c>
      <c r="H57" s="70">
        <f t="shared" si="51"/>
        <v>218770</v>
      </c>
      <c r="I57" s="70">
        <f>I54</f>
        <v>221095</v>
      </c>
      <c r="J57" s="70">
        <f t="shared" ref="J57:L57" si="52">J54</f>
        <v>226372</v>
      </c>
      <c r="K57" s="70">
        <f t="shared" si="52"/>
        <v>226774</v>
      </c>
      <c r="L57" s="70">
        <f t="shared" si="52"/>
        <v>226688</v>
      </c>
      <c r="M57" s="70">
        <f t="shared" ref="M57:N57" si="53">M54</f>
        <v>207869</v>
      </c>
      <c r="N57" s="70">
        <f t="shared" si="53"/>
        <v>225471</v>
      </c>
      <c r="O57" s="70">
        <f t="shared" ref="O57" si="54">O54</f>
        <v>233808</v>
      </c>
      <c r="P57" s="403"/>
      <c r="Q57" s="226">
        <f>Q54</f>
        <v>249622814</v>
      </c>
      <c r="R57" s="226">
        <f>R54</f>
        <v>295516599</v>
      </c>
      <c r="S57" s="226">
        <f t="shared" ref="S57:W57" si="55">S54</f>
        <v>301231207</v>
      </c>
      <c r="T57" s="226">
        <f t="shared" si="55"/>
        <v>309327143</v>
      </c>
      <c r="U57" s="226">
        <f t="shared" si="55"/>
        <v>320738994</v>
      </c>
      <c r="V57" s="226">
        <f>V54</f>
        <v>323071755</v>
      </c>
      <c r="W57" s="226">
        <f t="shared" si="55"/>
        <v>325122128</v>
      </c>
      <c r="X57" s="226">
        <f t="shared" ref="X57:Y57" si="56">X54</f>
        <v>326838199</v>
      </c>
      <c r="Y57" s="226">
        <f t="shared" si="56"/>
        <v>328329953</v>
      </c>
      <c r="Z57" s="226">
        <f t="shared" ref="Z57" si="57">Z54</f>
        <v>331511512</v>
      </c>
      <c r="AA57" s="226">
        <f>AA54</f>
        <v>332031554</v>
      </c>
      <c r="AB57" s="226">
        <f>AB54</f>
        <v>333287557</v>
      </c>
      <c r="AC57" s="227"/>
      <c r="AD57" s="70">
        <f>VLOOKUP($B57,'ODS Subs Data'!$A$46:$AH$54,'ODS Subs Data'!$B$43,FALSE)</f>
        <v>0</v>
      </c>
      <c r="AE57" s="70">
        <f>VLOOKUP($B57,'ODS Subs Data'!$A$46:$AH$54,'ODS Subs Data'!$Q$43,FALSE)</f>
        <v>1.6416810000000002</v>
      </c>
      <c r="AF57" s="70">
        <f>VLOOKUP($B57,'ODS Subs Data'!$A$46:$AH$54,'ODS Subs Data'!$S$43,FALSE)</f>
        <v>1.6456378</v>
      </c>
      <c r="AG57" s="70">
        <f>VLOOKUP($B57,'ODS Subs Data'!$A$46:$AH$54,'ODS Subs Data'!$V$43,FALSE)</f>
        <v>1.6802280000000001</v>
      </c>
      <c r="AH57" s="70">
        <f>VLOOKUP($B57,'ODS Subs Data'!$A$46:$AH$54,'ODS Subs Data'!$AA$43,FALSE)</f>
        <v>1.8550949999999999</v>
      </c>
      <c r="AI57" s="70">
        <f>VLOOKUP($B57,'ODS Subs Data'!$A$46:$AH$54,'ODS Subs Data'!$AB$43,FALSE)</f>
        <v>1.8922034999999999</v>
      </c>
      <c r="AJ57" s="70">
        <f>VLOOKUP($B57,'ODS Subs Data'!$A$46:$AH$54,'ODS Subs Data'!$AC$43,FALSE)</f>
        <v>1.9300545</v>
      </c>
      <c r="AK57" s="70">
        <f>VLOOKUP($B57,'ODS Subs Data'!$A$46:$AH$54,'ODS Subs Data'!$AD$43,FALSE)</f>
        <v>1.968648</v>
      </c>
      <c r="AL57" s="70">
        <f>VLOOKUP($B57,'ODS Subs Data'!$A$46:$AH$54,'ODS Subs Data'!$AE$43,FALSE)</f>
        <v>2.0080334999999998</v>
      </c>
      <c r="AM57" s="70">
        <f>VLOOKUP($B57,'ODS Subs Data'!$A$46:$AH$54,'ODS Subs Data'!$AF$43,FALSE)</f>
        <v>2.0481945000000001</v>
      </c>
      <c r="AN57" s="70">
        <f>VLOOKUP($B57,'ODS Subs Data'!$A$46:$AH$54,'ODS Subs Data'!$AG$43,FALSE)</f>
        <v>2.0891640000000002</v>
      </c>
      <c r="AO57" s="70">
        <f>VLOOKUP($B57,'ODS Subs Data'!$A$46:$AH$54,'ODS Subs Data'!$AH$43,FALSE)</f>
        <v>2.1309420000000001</v>
      </c>
      <c r="AP57" s="403"/>
      <c r="AQ57" s="228">
        <f t="shared" si="34"/>
        <v>0</v>
      </c>
      <c r="AR57" s="228">
        <f t="shared" si="34"/>
        <v>1.0477947357941813E-3</v>
      </c>
      <c r="AS57" s="228">
        <f t="shared" si="34"/>
        <v>1.0747054003916667E-3</v>
      </c>
      <c r="AT57" s="228">
        <f t="shared" si="34"/>
        <v>1.0994668821545997E-3</v>
      </c>
      <c r="AU57" s="228">
        <f t="shared" si="34"/>
        <v>1.2653252044246294E-3</v>
      </c>
      <c r="AV57" s="228">
        <f t="shared" si="34"/>
        <v>1.2949344111883132E-3</v>
      </c>
      <c r="AW57" s="228">
        <f t="shared" si="34"/>
        <v>1.3438343922072262E-3</v>
      </c>
      <c r="AX57" s="228">
        <f t="shared" si="34"/>
        <v>1.3659302459685871E-3</v>
      </c>
      <c r="AY57" s="228">
        <f t="shared" si="34"/>
        <v>1.3864013742541485E-3</v>
      </c>
      <c r="AZ57" s="228">
        <f t="shared" si="34"/>
        <v>1.2842876555083252E-3</v>
      </c>
      <c r="BA57" s="228">
        <f t="shared" si="34"/>
        <v>1.4186781062501068E-3</v>
      </c>
      <c r="BB57" s="228">
        <f t="shared" si="34"/>
        <v>1.4948991544139767E-3</v>
      </c>
      <c r="BE57" s="151"/>
      <c r="BG57" s="151"/>
      <c r="BI57" s="151"/>
    </row>
    <row r="58" spans="1:62" s="42" customFormat="1">
      <c r="B58" s="134" t="s">
        <v>170</v>
      </c>
      <c r="D58" s="70">
        <f>D54</f>
        <v>137103</v>
      </c>
      <c r="E58" s="70">
        <f>E54</f>
        <v>188612</v>
      </c>
      <c r="F58" s="70">
        <f t="shared" ref="F58:H58" si="58">F54</f>
        <v>196723</v>
      </c>
      <c r="G58" s="70">
        <f t="shared" si="58"/>
        <v>202410</v>
      </c>
      <c r="H58" s="70">
        <f t="shared" si="58"/>
        <v>218770</v>
      </c>
      <c r="I58" s="70">
        <f>I54</f>
        <v>221095</v>
      </c>
      <c r="J58" s="70">
        <f t="shared" ref="J58:L58" si="59">J54</f>
        <v>226372</v>
      </c>
      <c r="K58" s="70">
        <f t="shared" si="59"/>
        <v>226774</v>
      </c>
      <c r="L58" s="70">
        <f t="shared" si="59"/>
        <v>226688</v>
      </c>
      <c r="M58" s="70">
        <f t="shared" ref="M58:N58" si="60">M54</f>
        <v>207869</v>
      </c>
      <c r="N58" s="70">
        <f t="shared" si="60"/>
        <v>225471</v>
      </c>
      <c r="O58" s="70">
        <f t="shared" ref="O58" si="61">O54</f>
        <v>233808</v>
      </c>
      <c r="P58" s="403"/>
      <c r="Q58" s="226">
        <f>Q54</f>
        <v>249622814</v>
      </c>
      <c r="R58" s="226">
        <f>R54</f>
        <v>295516599</v>
      </c>
      <c r="S58" s="226">
        <f t="shared" ref="S58:W58" si="62">S54</f>
        <v>301231207</v>
      </c>
      <c r="T58" s="226">
        <f t="shared" si="62"/>
        <v>309327143</v>
      </c>
      <c r="U58" s="226">
        <f t="shared" si="62"/>
        <v>320738994</v>
      </c>
      <c r="V58" s="226">
        <f>V54</f>
        <v>323071755</v>
      </c>
      <c r="W58" s="226">
        <f t="shared" si="62"/>
        <v>325122128</v>
      </c>
      <c r="X58" s="226">
        <f t="shared" ref="X58:Y58" si="63">X54</f>
        <v>326838199</v>
      </c>
      <c r="Y58" s="226">
        <f t="shared" si="63"/>
        <v>328329953</v>
      </c>
      <c r="Z58" s="226">
        <f t="shared" ref="Z58" si="64">Z54</f>
        <v>331511512</v>
      </c>
      <c r="AA58" s="226">
        <f>AA54</f>
        <v>332031554</v>
      </c>
      <c r="AB58" s="226">
        <f>AB54</f>
        <v>333287557</v>
      </c>
      <c r="AC58" s="227"/>
      <c r="AD58" s="70">
        <f>VLOOKUP($B58,'ODS Subs Data'!$A$46:$AH$54,'ODS Subs Data'!$B$43,FALSE)</f>
        <v>0</v>
      </c>
      <c r="AE58" s="70">
        <f>VLOOKUP($B58,'ODS Subs Data'!$A$46:$AH$54,'ODS Subs Data'!$Q$43,FALSE)</f>
        <v>1.2058041080000002</v>
      </c>
      <c r="AF58" s="70">
        <f>VLOOKUP($B58,'ODS Subs Data'!$A$46:$AH$54,'ODS Subs Data'!$S$43,FALSE)</f>
        <v>1.3957860959999999</v>
      </c>
      <c r="AG58" s="70">
        <f>VLOOKUP($B58,'ODS Subs Data'!$A$46:$AH$54,'ODS Subs Data'!$V$43,FALSE)</f>
        <v>1.6717140079999999</v>
      </c>
      <c r="AH58" s="70">
        <f>VLOOKUP($B58,'ODS Subs Data'!$A$46:$AH$54,'ODS Subs Data'!$AA$43,FALSE)</f>
        <v>2.1273369799999995</v>
      </c>
      <c r="AI58" s="70">
        <f>VLOOKUP($B58,'ODS Subs Data'!$A$46:$AH$54,'ODS Subs Data'!$AB$43,FALSE)</f>
        <v>2.2160628099999999</v>
      </c>
      <c r="AJ58" s="70">
        <f>VLOOKUP($B58,'ODS Subs Data'!$A$46:$AH$54,'ODS Subs Data'!$AC$43,FALSE)</f>
        <v>2.30331245</v>
      </c>
      <c r="AK58" s="70">
        <f>VLOOKUP($B58,'ODS Subs Data'!$A$46:$AH$54,'ODS Subs Data'!$AD$43,FALSE)</f>
        <v>2.3889430579999997</v>
      </c>
      <c r="AL58" s="70">
        <f>VLOOKUP($B58,'ODS Subs Data'!$A$46:$AH$54,'ODS Subs Data'!$AE$43,FALSE)</f>
        <v>2.4728295379999996</v>
      </c>
      <c r="AM58" s="70">
        <f>VLOOKUP($B58,'ODS Subs Data'!$A$46:$AH$54,'ODS Subs Data'!$AF$43,FALSE)</f>
        <v>2.52815089</v>
      </c>
      <c r="AN58" s="70">
        <f>VLOOKUP($B58,'ODS Subs Data'!$A$46:$AH$54,'ODS Subs Data'!$AG$43,FALSE)</f>
        <v>2.5844474119999998</v>
      </c>
      <c r="AO58" s="70">
        <f>VLOOKUP($B58,'ODS Subs Data'!$A$46:$AH$54,'ODS Subs Data'!$AH$43,FALSE)</f>
        <v>2.6420306999999998</v>
      </c>
      <c r="AP58" s="403"/>
      <c r="AQ58" s="228">
        <f t="shared" si="34"/>
        <v>0</v>
      </c>
      <c r="AR58" s="228">
        <f t="shared" si="34"/>
        <v>7.6959847665983739E-4</v>
      </c>
      <c r="AS58" s="228">
        <f t="shared" si="34"/>
        <v>9.1153646030906746E-4</v>
      </c>
      <c r="AT58" s="228">
        <f t="shared" si="34"/>
        <v>1.0938957023867769E-3</v>
      </c>
      <c r="AU58" s="228">
        <f t="shared" si="34"/>
        <v>1.4510163086518875E-3</v>
      </c>
      <c r="AV58" s="228">
        <f t="shared" si="34"/>
        <v>1.5165683765111253E-3</v>
      </c>
      <c r="AW58" s="228">
        <f t="shared" si="34"/>
        <v>1.6037218049071086E-3</v>
      </c>
      <c r="AX58" s="228">
        <f t="shared" si="34"/>
        <v>1.6575485200091067E-3</v>
      </c>
      <c r="AY58" s="228">
        <f t="shared" si="34"/>
        <v>1.7073093002579144E-3</v>
      </c>
      <c r="AZ58" s="228">
        <f t="shared" si="34"/>
        <v>1.5852366458797666E-3</v>
      </c>
      <c r="BA58" s="228">
        <f t="shared" si="34"/>
        <v>1.7550077256544478E-3</v>
      </c>
      <c r="BB58" s="228">
        <f t="shared" si="34"/>
        <v>1.8534382725413298E-3</v>
      </c>
    </row>
    <row r="59" spans="1:62" s="42" customFormat="1">
      <c r="B59" s="56"/>
      <c r="Q59" s="403"/>
      <c r="R59" s="403"/>
    </row>
    <row r="60" spans="1:62" s="43" customFormat="1">
      <c r="A60" s="232"/>
      <c r="B60" s="220" t="s">
        <v>171</v>
      </c>
      <c r="C60" s="232"/>
      <c r="D60" s="233"/>
      <c r="E60" s="233"/>
      <c r="F60" s="233"/>
      <c r="G60" s="233"/>
      <c r="H60" s="233"/>
      <c r="I60" s="233"/>
      <c r="J60" s="233"/>
      <c r="K60" s="233"/>
      <c r="L60" s="233"/>
      <c r="M60" s="233"/>
      <c r="N60" s="233"/>
      <c r="O60" s="233"/>
      <c r="P60" s="234"/>
      <c r="Q60" s="235"/>
      <c r="R60" s="235"/>
      <c r="S60" s="235"/>
      <c r="T60" s="233"/>
      <c r="U60" s="233"/>
      <c r="V60" s="233"/>
      <c r="W60" s="233"/>
      <c r="X60" s="233"/>
      <c r="Y60" s="233"/>
      <c r="Z60" s="233"/>
      <c r="AA60" s="233"/>
      <c r="AB60" s="233"/>
      <c r="AC60" s="236"/>
      <c r="AD60" s="233"/>
      <c r="AE60" s="233"/>
      <c r="AF60" s="233"/>
      <c r="AG60" s="233"/>
      <c r="AH60" s="233"/>
      <c r="AI60" s="233"/>
      <c r="AJ60" s="233"/>
      <c r="AK60" s="233"/>
      <c r="AL60" s="233"/>
      <c r="AM60" s="233"/>
      <c r="AN60" s="233"/>
      <c r="AO60" s="233"/>
      <c r="AP60" s="234"/>
      <c r="AQ60" s="237">
        <f t="shared" ref="AQ60:AW60" si="65">SUM(AQ54:AQ58,AQ46,AQ50)</f>
        <v>1.4122800781525387E-4</v>
      </c>
      <c r="AR60" s="237">
        <f t="shared" si="65"/>
        <v>6.6621614112270827E-2</v>
      </c>
      <c r="AS60" s="237">
        <f t="shared" si="65"/>
        <v>7.6892383810602205E-2</v>
      </c>
      <c r="AT60" s="237">
        <f>SUM(AT54:AT58,AT46,AT50)</f>
        <v>9.3147427060443225E-2</v>
      </c>
      <c r="AU60" s="237">
        <f t="shared" si="65"/>
        <v>0.10951186391998333</v>
      </c>
      <c r="AV60" s="237">
        <f t="shared" si="65"/>
        <v>0.11045069997242704</v>
      </c>
      <c r="AW60" s="237">
        <f t="shared" si="65"/>
        <v>0.11206184341630175</v>
      </c>
      <c r="AX60" s="237">
        <f t="shared" ref="AX60:AY60" si="66">SUM(AX54:AX58,AX46,AX50)</f>
        <v>0.11273314490384584</v>
      </c>
      <c r="AY60" s="237">
        <f t="shared" si="66"/>
        <v>0.11491205121151835</v>
      </c>
      <c r="AZ60" s="237">
        <f t="shared" ref="AZ60:BB60" si="67">SUM(AZ54:AZ58,AZ46,AZ50)</f>
        <v>0.10797506944118317</v>
      </c>
      <c r="BA60" s="237">
        <f t="shared" si="67"/>
        <v>0.11870725947460881</v>
      </c>
      <c r="BB60" s="237">
        <f t="shared" si="67"/>
        <v>0.12524974508223266</v>
      </c>
    </row>
    <row r="61" spans="1:62" s="222" customFormat="1">
      <c r="B61" s="221"/>
      <c r="Q61" s="405"/>
      <c r="R61" s="405"/>
      <c r="AQ61" s="238"/>
      <c r="AR61" s="238"/>
    </row>
    <row r="62" spans="1:62" s="42" customFormat="1" ht="13.35" customHeight="1">
      <c r="A62" s="216" t="s">
        <v>88</v>
      </c>
      <c r="D62" s="601" t="s">
        <v>154</v>
      </c>
      <c r="E62" s="601"/>
      <c r="F62" s="601"/>
      <c r="G62" s="601"/>
      <c r="H62" s="601"/>
      <c r="I62" s="601"/>
      <c r="J62" s="601"/>
      <c r="K62" s="601"/>
      <c r="L62" s="601"/>
      <c r="M62" s="601"/>
      <c r="N62" s="601"/>
      <c r="O62" s="601"/>
      <c r="P62" s="403" t="s">
        <v>155</v>
      </c>
      <c r="Q62" s="601" t="s">
        <v>143</v>
      </c>
      <c r="R62" s="601"/>
      <c r="S62" s="601"/>
      <c r="T62" s="601"/>
      <c r="U62" s="601"/>
      <c r="V62" s="601"/>
      <c r="W62" s="601"/>
      <c r="X62" s="601"/>
      <c r="Y62" s="601"/>
      <c r="Z62" s="601"/>
      <c r="AA62" s="601"/>
      <c r="AB62" s="601"/>
      <c r="AC62" s="44" t="s">
        <v>156</v>
      </c>
      <c r="AD62" s="601" t="s">
        <v>157</v>
      </c>
      <c r="AE62" s="601"/>
      <c r="AF62" s="601"/>
      <c r="AG62" s="601"/>
      <c r="AH62" s="601"/>
      <c r="AI62" s="601"/>
      <c r="AJ62" s="601"/>
      <c r="AK62" s="601"/>
      <c r="AL62" s="601"/>
      <c r="AM62" s="601"/>
      <c r="AN62" s="601"/>
      <c r="AO62" s="601"/>
      <c r="AP62" s="47" t="s">
        <v>158</v>
      </c>
      <c r="AQ62" s="601" t="s">
        <v>159</v>
      </c>
      <c r="AR62" s="601"/>
      <c r="AS62" s="601"/>
      <c r="AT62" s="601"/>
      <c r="AU62" s="601"/>
      <c r="AV62" s="601"/>
      <c r="AW62" s="601"/>
      <c r="AX62" s="601"/>
      <c r="AY62" s="601"/>
      <c r="AZ62" s="601"/>
      <c r="BA62" s="601"/>
      <c r="BB62" s="601"/>
    </row>
    <row r="63" spans="1:62" s="42" customFormat="1">
      <c r="A63" s="218"/>
      <c r="AD63" s="602" t="s">
        <v>160</v>
      </c>
      <c r="AE63" s="602"/>
      <c r="AF63" s="602"/>
      <c r="AG63" s="602"/>
      <c r="AH63" s="602"/>
      <c r="AI63" s="602"/>
      <c r="AJ63" s="602"/>
      <c r="AK63" s="602"/>
      <c r="AL63" s="602"/>
      <c r="AM63" s="602"/>
      <c r="AN63" s="602"/>
      <c r="AO63" s="602"/>
      <c r="AQ63" s="602" t="s">
        <v>161</v>
      </c>
      <c r="AR63" s="602"/>
      <c r="AS63" s="602"/>
      <c r="AT63" s="602"/>
      <c r="AU63" s="602"/>
      <c r="AV63" s="602"/>
      <c r="AW63" s="602"/>
      <c r="AX63" s="602"/>
      <c r="AY63" s="602"/>
      <c r="AZ63" s="602"/>
      <c r="BA63" s="602"/>
      <c r="BB63" s="602"/>
      <c r="BF63" s="404"/>
      <c r="BG63" s="404"/>
      <c r="BH63" s="404"/>
      <c r="BI63" s="404"/>
      <c r="BJ63" s="56"/>
    </row>
    <row r="64" spans="1:62" s="42" customFormat="1">
      <c r="A64" s="218"/>
      <c r="B64" s="43"/>
      <c r="D64" s="149">
        <v>1990</v>
      </c>
      <c r="E64" s="149">
        <v>2005</v>
      </c>
      <c r="F64" s="149">
        <v>2007</v>
      </c>
      <c r="G64" s="149">
        <v>2010</v>
      </c>
      <c r="H64" s="149">
        <v>2015</v>
      </c>
      <c r="I64" s="149">
        <v>2016</v>
      </c>
      <c r="J64" s="149">
        <v>2017</v>
      </c>
      <c r="K64" s="149">
        <v>2018</v>
      </c>
      <c r="L64" s="149">
        <v>2019</v>
      </c>
      <c r="M64" s="149">
        <v>2020</v>
      </c>
      <c r="N64" s="149">
        <v>2021</v>
      </c>
      <c r="O64" s="149">
        <v>2022</v>
      </c>
      <c r="P64" s="404"/>
      <c r="Q64" s="149">
        <v>1990</v>
      </c>
      <c r="R64" s="149">
        <v>2005</v>
      </c>
      <c r="S64" s="149">
        <v>2007</v>
      </c>
      <c r="T64" s="149">
        <v>2010</v>
      </c>
      <c r="U64" s="149">
        <v>2015</v>
      </c>
      <c r="V64" s="149">
        <v>2016</v>
      </c>
      <c r="W64" s="149">
        <v>2017</v>
      </c>
      <c r="X64" s="149">
        <v>2018</v>
      </c>
      <c r="Y64" s="149">
        <v>2019</v>
      </c>
      <c r="Z64" s="149">
        <v>2020</v>
      </c>
      <c r="AA64" s="149">
        <v>2021</v>
      </c>
      <c r="AB64" s="149">
        <v>2022</v>
      </c>
      <c r="AC64" s="44"/>
      <c r="AD64" s="149">
        <v>1990</v>
      </c>
      <c r="AE64" s="149">
        <v>2005</v>
      </c>
      <c r="AF64" s="149">
        <v>2007</v>
      </c>
      <c r="AG64" s="149">
        <v>2010</v>
      </c>
      <c r="AH64" s="149">
        <v>2015</v>
      </c>
      <c r="AI64" s="149">
        <v>2016</v>
      </c>
      <c r="AJ64" s="149">
        <v>2017</v>
      </c>
      <c r="AK64" s="149">
        <v>2018</v>
      </c>
      <c r="AL64" s="149">
        <v>2019</v>
      </c>
      <c r="AM64" s="149">
        <v>2020</v>
      </c>
      <c r="AN64" s="149">
        <v>2021</v>
      </c>
      <c r="AO64" s="149">
        <v>2022</v>
      </c>
      <c r="AP64" s="404"/>
      <c r="AQ64" s="149">
        <v>1990</v>
      </c>
      <c r="AR64" s="149">
        <v>2005</v>
      </c>
      <c r="AS64" s="149">
        <v>2007</v>
      </c>
      <c r="AT64" s="149">
        <v>2010</v>
      </c>
      <c r="AU64" s="149">
        <v>2015</v>
      </c>
      <c r="AV64" s="149">
        <v>2016</v>
      </c>
      <c r="AW64" s="149">
        <v>2017</v>
      </c>
      <c r="AX64" s="149">
        <v>2018</v>
      </c>
      <c r="AY64" s="149">
        <v>2019</v>
      </c>
      <c r="AZ64" s="149">
        <v>2020</v>
      </c>
      <c r="BA64" s="149">
        <v>2021</v>
      </c>
      <c r="BB64" s="149">
        <v>2022</v>
      </c>
      <c r="BF64" s="404"/>
      <c r="BG64" s="404"/>
      <c r="BH64" s="404"/>
      <c r="BI64" s="404"/>
      <c r="BJ64" s="56"/>
    </row>
    <row r="65" spans="1:61" s="42" customFormat="1">
      <c r="B65" s="90" t="s">
        <v>162</v>
      </c>
      <c r="D65" s="70">
        <f>VLOOKUP(D$45,'ODS Subs Data'!$A$168:$W$200,'ODS Subs Data'!$S$165,FALSE)</f>
        <v>54585.008299634625</v>
      </c>
      <c r="E65" s="70">
        <f>VLOOKUP(E$45,'ODS Subs Data'!$A$168:$W$200,'ODS Subs Data'!$S$165,FALSE)</f>
        <v>73475.892374824529</v>
      </c>
      <c r="F65" s="70">
        <f>VLOOKUP(F$45,'ODS Subs Data'!$A$168:$W$200,'ODS Subs Data'!$S$165,FALSE)</f>
        <v>73384.404497610929</v>
      </c>
      <c r="G65" s="70">
        <f>VLOOKUP(G$45,'ODS Subs Data'!$A$168:$W$200,'ODS Subs Data'!$S$165,FALSE)</f>
        <v>71174.819877537258</v>
      </c>
      <c r="H65" s="70">
        <f>VLOOKUP(H$45,'ODS Subs Data'!$A$168:$W$200,'ODS Subs Data'!$S$165,FALSE)</f>
        <v>79132.06272654637</v>
      </c>
      <c r="I65" s="70">
        <f>VLOOKUP(I$45,'ODS Subs Data'!$A$168:$W$200,'ODS Subs Data'!$S$165,FALSE)</f>
        <v>79050.682006484945</v>
      </c>
      <c r="J65" s="70">
        <f>VLOOKUP(J$45,'ODS Subs Data'!$A$168:$W$200,'ODS Subs Data'!$S$165,FALSE)</f>
        <v>80967.222244983757</v>
      </c>
      <c r="K65" s="70">
        <f>VLOOKUP(K$45,'ODS Subs Data'!$A$168:$W$200,'ODS Subs Data'!$S$165,FALSE)</f>
        <v>82345.251779805403</v>
      </c>
      <c r="L65" s="70">
        <f>VLOOKUP(L$45,'ODS Subs Data'!$A$168:$W$200,'ODS Subs Data'!$S$165,FALSE)</f>
        <v>83282.483946223292</v>
      </c>
      <c r="M65" s="70">
        <f>VLOOKUP(M$45,'ODS Subs Data'!$A$168:$W$200,'ODS Subs Data'!$S$165,FALSE)</f>
        <v>79486.802740002677</v>
      </c>
      <c r="N65" s="70">
        <f>VLOOKUP(N$45,'ODS Subs Data'!$A$168:$W$200,'ODS Subs Data'!$S$165,FALSE)</f>
        <v>78472.694078879038</v>
      </c>
      <c r="O65" s="70">
        <f>VLOOKUP(O$45,'ODS Subs Data'!$A$168:$W$200,'ODS Subs Data'!$S$165,FALSE)</f>
        <v>80789.562225281246</v>
      </c>
      <c r="P65" s="403"/>
      <c r="Q65" s="226">
        <f>VLOOKUP(Q64,'ODS Subs Data'!$A$89:$C$121,2,FALSE)+VLOOKUP(Q64,'ODS Subs Data'!$A$89:$C$121,3,FALSE)</f>
        <v>188170927</v>
      </c>
      <c r="R65" s="226">
        <f>VLOOKUP(R64,'ODS Subs Data'!$A$89:$C$121,2,FALSE)+VLOOKUP(R64,'ODS Subs Data'!$A$89:$C$121,3,FALSE)</f>
        <v>240386921</v>
      </c>
      <c r="S65" s="226">
        <f>VLOOKUP(S64,'ODS Subs Data'!$A$89:$C$121,2,FALSE)+VLOOKUP(S64,'ODS Subs Data'!$A$89:$C$121,3,FALSE)</f>
        <v>246430169</v>
      </c>
      <c r="T65" s="226">
        <f>VLOOKUP(T64,'ODS Subs Data'!$A$89:$C$121,2,FALSE)+VLOOKUP(T64,'ODS Subs Data'!$A$89:$C$121,3,FALSE)</f>
        <v>241214494</v>
      </c>
      <c r="U65" s="226">
        <f>VLOOKUP(U64,'ODS Subs Data'!$A$89:$C$121,2,FALSE)+VLOOKUP(U64,'ODS Subs Data'!$A$89:$C$121,3,FALSE)</f>
        <v>254120376</v>
      </c>
      <c r="V65" s="226">
        <f>VLOOKUP(V64,'ODS Subs Data'!$A$89:$C$121,2,FALSE)+VLOOKUP(V64,'ODS Subs Data'!$A$89:$C$121,3,FALSE)</f>
        <v>259143542</v>
      </c>
      <c r="W65" s="226">
        <f>VLOOKUP(W64,'ODS Subs Data'!$A$89:$C$121,2,FALSE)+VLOOKUP(W64,'ODS Subs Data'!$A$89:$C$121,3,FALSE)</f>
        <v>262782463</v>
      </c>
      <c r="X65" s="226">
        <f>VLOOKUP(X64,'ODS Subs Data'!$A$89:$C$121,2,FALSE)+VLOOKUP(X64,'ODS Subs Data'!$A$89:$C$121,3,FALSE)</f>
        <v>263943762.85966885</v>
      </c>
      <c r="Y65" s="226">
        <f>VLOOKUP(Y64,'ODS Subs Data'!$A$89:$C$121,2,FALSE)+VLOOKUP(Y64,'ODS Subs Data'!$A$89:$C$121,3,FALSE)</f>
        <v>266899827.15515292</v>
      </c>
      <c r="Z65" s="226">
        <f>VLOOKUP(Z64,'ODS Subs Data'!$A$89:$C$121,2,FALSE)+VLOOKUP(Z64,'ODS Subs Data'!$A$89:$C$121,3,FALSE)</f>
        <v>266578628</v>
      </c>
      <c r="AA65" s="226">
        <f>VLOOKUP(AA64,'ODS Subs Data'!$A$89:$C$121,2,FALSE)+VLOOKUP(AA64,'ODS Subs Data'!$A$89:$C$121,3,FALSE)</f>
        <v>271534359.57747412</v>
      </c>
      <c r="AB65" s="226">
        <f>VLOOKUP(AB64,'ODS Subs Data'!$A$89:$C$121,2,FALSE)+VLOOKUP(AB64,'ODS Subs Data'!$A$89:$C$121,3,FALSE)</f>
        <v>272879203.49339122</v>
      </c>
      <c r="AC65" s="227"/>
      <c r="AD65" s="70">
        <f>VLOOKUP($B65,'ODS Subs Data'!$A$46:$AH$54,INDEX('ODS Subs Data'!$A$43:$AH$43,MATCH(AD64,'ODS Subs Data'!$A$45:$AH$45,0)),FALSE)</f>
        <v>0</v>
      </c>
      <c r="AE65" s="70">
        <f>VLOOKUP($B65,'ODS Subs Data'!$A$46:$AH$54,INDEX('ODS Subs Data'!$A$43:$AH$43,MATCH(AE64,'ODS Subs Data'!$A$45:$AH$45,0)),FALSE)</f>
        <v>61.533466841699997</v>
      </c>
      <c r="AF65" s="70">
        <f>VLOOKUP($B65,'ODS Subs Data'!$A$46:$AH$54,INDEX('ODS Subs Data'!$A$43:$AH$43,MATCH(AF64,'ODS Subs Data'!$A$45:$AH$45,0)),FALSE)</f>
        <v>62.910223398300005</v>
      </c>
      <c r="AG65" s="70">
        <f>VLOOKUP($B65,'ODS Subs Data'!$A$46:$AH$54,INDEX('ODS Subs Data'!$A$43:$AH$43,MATCH(AG64,'ODS Subs Data'!$A$45:$AH$45,0)),FALSE)</f>
        <v>59.223563384900004</v>
      </c>
      <c r="AH65" s="70">
        <f>VLOOKUP($B65,'ODS Subs Data'!$A$46:$AH$54,INDEX('ODS Subs Data'!$A$43:$AH$43,MATCH(AH64,'ODS Subs Data'!$A$45:$AH$45,0)),FALSE)</f>
        <v>37.220865681900008</v>
      </c>
      <c r="AI65" s="70">
        <f>VLOOKUP($B65,'ODS Subs Data'!$A$46:$AH$54,INDEX('ODS Subs Data'!$A$43:$AH$43,MATCH(AI64,'ODS Subs Data'!$A$45:$AH$45,0)),FALSE)</f>
        <v>34.005905660899998</v>
      </c>
      <c r="AJ65" s="70">
        <f>VLOOKUP($B65,'ODS Subs Data'!$A$46:$AH$54,INDEX('ODS Subs Data'!$A$43:$AH$43,MATCH(AJ64,'ODS Subs Data'!$A$45:$AH$45,0)),FALSE)</f>
        <v>30.674008980899998</v>
      </c>
      <c r="AK65" s="70">
        <f>VLOOKUP($B65,'ODS Subs Data'!$A$46:$AH$54,INDEX('ODS Subs Data'!$A$43:$AH$43,MATCH(AK64,'ODS Subs Data'!$A$45:$AH$45,0)),FALSE)</f>
        <v>28.664453929199993</v>
      </c>
      <c r="AL65" s="70">
        <f>VLOOKUP($B65,'ODS Subs Data'!$A$46:$AH$54,INDEX('ODS Subs Data'!$A$43:$AH$43,MATCH(AL64,'ODS Subs Data'!$A$45:$AH$45,0)),FALSE)</f>
        <v>26.643254329600001</v>
      </c>
      <c r="AM65" s="70">
        <f>VLOOKUP($B65,'ODS Subs Data'!$A$46:$AH$54,INDEX('ODS Subs Data'!$A$43:$AH$43,MATCH(AM64,'ODS Subs Data'!$A$45:$AH$45,0)),FALSE)</f>
        <v>24.630521789999996</v>
      </c>
      <c r="AN65" s="70">
        <f>VLOOKUP($B65,'ODS Subs Data'!$A$46:$AH$54,INDEX('ODS Subs Data'!$A$43:$AH$43,MATCH(AN64,'ODS Subs Data'!$A$45:$AH$45,0)),FALSE)</f>
        <v>22.854063608300002</v>
      </c>
      <c r="AO65" s="70">
        <f>VLOOKUP($B65,'ODS Subs Data'!$A$46:$AH$54,INDEX('ODS Subs Data'!$A$43:$AH$43,MATCH(AO64,'ODS Subs Data'!$A$45:$AH$45,0)),FALSE)</f>
        <v>20.792943220800002</v>
      </c>
      <c r="AP65" s="403"/>
      <c r="AQ65" s="228">
        <f t="shared" ref="AQ65:BB65" si="68">D65/Q65*AD65</f>
        <v>0</v>
      </c>
      <c r="AR65" s="228">
        <f t="shared" si="68"/>
        <v>1.8808121374916994E-2</v>
      </c>
      <c r="AS65" s="228">
        <f t="shared" si="68"/>
        <v>1.873402635574184E-2</v>
      </c>
      <c r="AT65" s="228">
        <f t="shared" si="68"/>
        <v>1.7475013157485342E-2</v>
      </c>
      <c r="AU65" s="228">
        <f t="shared" si="68"/>
        <v>1.1590427828882437E-2</v>
      </c>
      <c r="AV65" s="228">
        <f t="shared" si="68"/>
        <v>1.037336301725139E-2</v>
      </c>
      <c r="AW65" s="228">
        <f t="shared" si="68"/>
        <v>9.4511227041096657E-3</v>
      </c>
      <c r="AX65" s="228">
        <f t="shared" si="68"/>
        <v>8.9427446602917127E-3</v>
      </c>
      <c r="AY65" s="228">
        <f t="shared" si="68"/>
        <v>8.3136674333257124E-3</v>
      </c>
      <c r="AZ65" s="228">
        <f t="shared" si="68"/>
        <v>7.3441799951985175E-3</v>
      </c>
      <c r="BA65" s="228">
        <f t="shared" si="68"/>
        <v>6.6047624498941923E-3</v>
      </c>
      <c r="BB65" s="228">
        <f t="shared" si="68"/>
        <v>6.156030795597971E-3</v>
      </c>
      <c r="BE65" s="67"/>
      <c r="BF65" s="403"/>
      <c r="BG65" s="229"/>
      <c r="BH65" s="403"/>
      <c r="BI65" s="229"/>
    </row>
    <row r="66" spans="1:61" s="42" customFormat="1">
      <c r="D66" s="72"/>
      <c r="E66" s="72"/>
      <c r="F66" s="72"/>
      <c r="G66" s="72"/>
      <c r="H66" s="72"/>
      <c r="I66" s="72"/>
      <c r="J66" s="72"/>
      <c r="K66" s="72"/>
      <c r="L66" s="72"/>
      <c r="M66" s="72"/>
      <c r="N66" s="72"/>
      <c r="O66" s="72"/>
      <c r="P66" s="403"/>
      <c r="Q66" s="230"/>
      <c r="R66" s="230"/>
      <c r="S66" s="230"/>
      <c r="T66" s="72"/>
      <c r="U66" s="72"/>
      <c r="V66" s="72"/>
      <c r="W66" s="72"/>
      <c r="X66" s="72"/>
      <c r="Y66" s="72"/>
      <c r="Z66" s="72"/>
      <c r="AA66" s="72"/>
      <c r="AB66" s="72"/>
      <c r="AC66" s="231"/>
      <c r="AD66" s="72"/>
      <c r="AE66" s="72"/>
      <c r="AF66" s="72"/>
      <c r="AG66" s="72"/>
      <c r="AH66" s="72"/>
      <c r="AI66" s="72"/>
      <c r="AJ66" s="72"/>
      <c r="AK66" s="72"/>
      <c r="AL66" s="72"/>
      <c r="AM66" s="72"/>
      <c r="AN66" s="72"/>
      <c r="AO66" s="72"/>
      <c r="AP66" s="403"/>
      <c r="AQ66" s="230"/>
      <c r="AR66" s="230"/>
      <c r="AS66" s="230"/>
      <c r="AT66" s="72"/>
      <c r="AU66" s="72"/>
      <c r="AV66" s="72"/>
      <c r="AW66" s="72"/>
      <c r="AX66" s="72"/>
      <c r="AY66" s="72"/>
      <c r="AZ66" s="72"/>
      <c r="BA66" s="72"/>
      <c r="BB66" s="72"/>
      <c r="BE66" s="67"/>
      <c r="BF66" s="403"/>
      <c r="BG66" s="229"/>
      <c r="BH66" s="403"/>
      <c r="BI66" s="229"/>
    </row>
    <row r="67" spans="1:61" s="42" customFormat="1" ht="13.35" customHeight="1">
      <c r="D67" s="603" t="s">
        <v>163</v>
      </c>
      <c r="E67" s="603"/>
      <c r="F67" s="603"/>
      <c r="G67" s="603"/>
      <c r="H67" s="603"/>
      <c r="I67" s="603"/>
      <c r="J67" s="603"/>
      <c r="K67" s="603"/>
      <c r="L67" s="603"/>
      <c r="M67" s="603"/>
      <c r="N67" s="603"/>
      <c r="O67" s="603"/>
      <c r="P67" s="403" t="s">
        <v>155</v>
      </c>
      <c r="Q67" s="599" t="s">
        <v>147</v>
      </c>
      <c r="R67" s="599"/>
      <c r="S67" s="599"/>
      <c r="T67" s="599"/>
      <c r="U67" s="599"/>
      <c r="V67" s="599"/>
      <c r="W67" s="599"/>
      <c r="X67" s="599"/>
      <c r="Y67" s="599"/>
      <c r="Z67" s="599"/>
      <c r="AA67" s="599"/>
      <c r="AB67" s="599"/>
      <c r="AC67" s="231" t="s">
        <v>156</v>
      </c>
      <c r="AD67" s="599" t="s">
        <v>157</v>
      </c>
      <c r="AE67" s="599"/>
      <c r="AF67" s="599"/>
      <c r="AG67" s="599"/>
      <c r="AH67" s="599"/>
      <c r="AI67" s="599"/>
      <c r="AJ67" s="599"/>
      <c r="AK67" s="599"/>
      <c r="AL67" s="599"/>
      <c r="AM67" s="599"/>
      <c r="AN67" s="599"/>
      <c r="AO67" s="599"/>
      <c r="AP67" s="47" t="s">
        <v>158</v>
      </c>
      <c r="AQ67" s="599" t="s">
        <v>159</v>
      </c>
      <c r="AR67" s="599"/>
      <c r="AS67" s="599"/>
      <c r="AT67" s="599"/>
      <c r="AU67" s="599"/>
      <c r="AV67" s="599"/>
      <c r="AW67" s="599"/>
      <c r="AX67" s="599"/>
      <c r="AY67" s="599"/>
      <c r="AZ67" s="599"/>
      <c r="BA67" s="599"/>
      <c r="BB67" s="599"/>
      <c r="BE67" s="414"/>
      <c r="BF67" s="403"/>
      <c r="BG67" s="229"/>
      <c r="BH67" s="403"/>
      <c r="BI67" s="229"/>
    </row>
    <row r="68" spans="1:61" s="42" customFormat="1">
      <c r="D68" s="149">
        <v>1990</v>
      </c>
      <c r="E68" s="149">
        <v>2005</v>
      </c>
      <c r="F68" s="149">
        <v>2007</v>
      </c>
      <c r="G68" s="149">
        <v>2010</v>
      </c>
      <c r="H68" s="149">
        <v>2015</v>
      </c>
      <c r="I68" s="149">
        <v>2016</v>
      </c>
      <c r="J68" s="149">
        <v>2017</v>
      </c>
      <c r="K68" s="149">
        <v>2018</v>
      </c>
      <c r="L68" s="149">
        <v>2019</v>
      </c>
      <c r="M68" s="149">
        <v>2020</v>
      </c>
      <c r="N68" s="149">
        <v>2021</v>
      </c>
      <c r="O68" s="149">
        <v>2022</v>
      </c>
      <c r="P68" s="404"/>
      <c r="Q68" s="149">
        <v>1990</v>
      </c>
      <c r="R68" s="149">
        <v>2005</v>
      </c>
      <c r="S68" s="149">
        <v>2007</v>
      </c>
      <c r="T68" s="149">
        <v>2010</v>
      </c>
      <c r="U68" s="149">
        <v>2015</v>
      </c>
      <c r="V68" s="149">
        <v>2016</v>
      </c>
      <c r="W68" s="149">
        <v>2017</v>
      </c>
      <c r="X68" s="149">
        <v>2018</v>
      </c>
      <c r="Y68" s="149">
        <v>2019</v>
      </c>
      <c r="Z68" s="149">
        <v>2020</v>
      </c>
      <c r="AA68" s="149">
        <v>2021</v>
      </c>
      <c r="AB68" s="149">
        <v>2022</v>
      </c>
      <c r="AC68" s="44"/>
      <c r="AD68" s="149">
        <v>1990</v>
      </c>
      <c r="AE68" s="149">
        <v>2005</v>
      </c>
      <c r="AF68" s="149">
        <v>2007</v>
      </c>
      <c r="AG68" s="149">
        <v>2010</v>
      </c>
      <c r="AH68" s="149">
        <v>2015</v>
      </c>
      <c r="AI68" s="149">
        <v>2016</v>
      </c>
      <c r="AJ68" s="149">
        <v>2017</v>
      </c>
      <c r="AK68" s="149">
        <v>2018</v>
      </c>
      <c r="AL68" s="149">
        <v>2019</v>
      </c>
      <c r="AM68" s="149">
        <v>2020</v>
      </c>
      <c r="AN68" s="149">
        <v>2021</v>
      </c>
      <c r="AO68" s="149">
        <v>2022</v>
      </c>
      <c r="AP68" s="404"/>
      <c r="AQ68" s="149">
        <v>1990</v>
      </c>
      <c r="AR68" s="149">
        <v>2005</v>
      </c>
      <c r="AS68" s="149">
        <v>2007</v>
      </c>
      <c r="AT68" s="149">
        <v>2010</v>
      </c>
      <c r="AU68" s="149">
        <v>2015</v>
      </c>
      <c r="AV68" s="149">
        <v>2016</v>
      </c>
      <c r="AW68" s="149">
        <v>2017</v>
      </c>
      <c r="AX68" s="149">
        <v>2018</v>
      </c>
      <c r="AY68" s="149">
        <v>2019</v>
      </c>
      <c r="AZ68" s="149">
        <v>2020</v>
      </c>
      <c r="BA68" s="149">
        <v>2021</v>
      </c>
      <c r="BB68" s="149">
        <v>2022</v>
      </c>
      <c r="BE68" s="67"/>
      <c r="BF68" s="403"/>
      <c r="BG68" s="229"/>
      <c r="BH68" s="403"/>
      <c r="BI68" s="229"/>
    </row>
    <row r="69" spans="1:61" s="42" customFormat="1">
      <c r="B69" s="90" t="s">
        <v>164</v>
      </c>
      <c r="D69" s="70">
        <f>(VLOOKUP(D68,'ODS Subs Data'!$A$206:$N$229,'ODS Subs Data'!$J$204,FALSE)/VLOOKUP(D68,'ODS Subs Data'!$A$206:$N$229,'ODS Subs Data'!$D$204,FALSE))*VLOOKUP(D68,'ODS Subs Data'!$A$206:$N$229,'ODS Subs Data'!$C$204,FALSE)</f>
        <v>23220.115871767306</v>
      </c>
      <c r="E69" s="70">
        <f>(VLOOKUP(E68,'ODS Subs Data'!$A$206:$N$229,'ODS Subs Data'!$J$204,FALSE)/VLOOKUP(E68,'ODS Subs Data'!$A$206:$N$229,'ODS Subs Data'!$D$204,FALSE))*VLOOKUP(E68,'ODS Subs Data'!$A$206:$N$229,'ODS Subs Data'!$C$204,FALSE)</f>
        <v>25493.934741021039</v>
      </c>
      <c r="F69" s="70">
        <f>(VLOOKUP(F68,'ODS Subs Data'!$A$206:$N$229,'ODS Subs Data'!$J$204,FALSE)/VLOOKUP(F68,'ODS Subs Data'!$A$206:$N$229,'ODS Subs Data'!$D$204,FALSE))*VLOOKUP(F68,'ODS Subs Data'!$A$206:$N$229,'ODS Subs Data'!$C$204,FALSE)</f>
        <v>27563.526525951223</v>
      </c>
      <c r="G69" s="70">
        <f>(VLOOKUP(G68,'ODS Subs Data'!$A$206:$N$229,'ODS Subs Data'!$J$204,FALSE)/VLOOKUP(G68,'ODS Subs Data'!$A$206:$N$229,'ODS Subs Data'!$D$204,FALSE))*VLOOKUP(G68,'ODS Subs Data'!$A$206:$N$229,'ODS Subs Data'!$C$204,FALSE)</f>
        <v>28868.702527275986</v>
      </c>
      <c r="H69" s="70">
        <f>(VLOOKUP(H68,'ODS Subs Data'!$A$206:$N$229,'ODS Subs Data'!$J$204,FALSE)/VLOOKUP(H68,'ODS Subs Data'!$A$206:$N$229,'ODS Subs Data'!$D$204,FALSE))*VLOOKUP(H68,'ODS Subs Data'!$A$206:$N$229,'ODS Subs Data'!$C$204,FALSE)</f>
        <v>34086.933855591589</v>
      </c>
      <c r="I69" s="70">
        <f>(VLOOKUP(I68,'ODS Subs Data'!$A$206:$N$229,'ODS Subs Data'!$J$204,FALSE)/VLOOKUP(I68,'ODS Subs Data'!$A$206:$N$229,'ODS Subs Data'!$D$204,FALSE))*VLOOKUP(I68,'ODS Subs Data'!$A$206:$N$229,'ODS Subs Data'!$C$204,FALSE)</f>
        <v>33765.205297405766</v>
      </c>
      <c r="J69" s="70">
        <f>(VLOOKUP(J68,'ODS Subs Data'!$A$206:$N$229,'ODS Subs Data'!$J$204,FALSE)/VLOOKUP(J68,'ODS Subs Data'!$A$206:$N$229,'ODS Subs Data'!$D$204,FALSE))*VLOOKUP(J68,'ODS Subs Data'!$A$206:$N$229,'ODS Subs Data'!$C$204,FALSE)</f>
        <v>33876.584051197635</v>
      </c>
      <c r="K69" s="70">
        <f>(VLOOKUP(K68,'ODS Subs Data'!$A$206:$N$229,'ODS Subs Data'!$J$204,FALSE)/VLOOKUP(K68,'ODS Subs Data'!$A$206:$N$229,'ODS Subs Data'!$D$204,FALSE))*VLOOKUP(K68,'ODS Subs Data'!$A$206:$N$229,'ODS Subs Data'!$C$204,FALSE)</f>
        <v>34193.774066784645</v>
      </c>
      <c r="L69" s="70">
        <f>(VLOOKUP(L68,'ODS Subs Data'!$A$206:$N$229,'ODS Subs Data'!$J$204,FALSE)/VLOOKUP(L68,'ODS Subs Data'!$A$206:$N$229,'ODS Subs Data'!$D$204,FALSE))*VLOOKUP(L68,'ODS Subs Data'!$A$206:$N$229,'ODS Subs Data'!$C$204,FALSE)</f>
        <v>33384.606878527324</v>
      </c>
      <c r="M69" s="70">
        <f>(VLOOKUP(M68,'ODS Subs Data'!$A$206:$N$229,'ODS Subs Data'!$J$204,FALSE)/VLOOKUP(M68,'ODS Subs Data'!$A$206:$N$229,'ODS Subs Data'!$D$204,FALSE))*VLOOKUP(M68,'ODS Subs Data'!$A$206:$N$229,'ODS Subs Data'!$C$204,FALSE)</f>
        <v>26841.166239360704</v>
      </c>
      <c r="N69" s="70">
        <f>(VLOOKUP(N68,'ODS Subs Data'!$A$206:$N$229,'ODS Subs Data'!$J$204,FALSE)/VLOOKUP(N68,'ODS Subs Data'!$A$206:$N$229,'ODS Subs Data'!$D$204,FALSE))*VLOOKUP(N68,'ODS Subs Data'!$A$206:$N$229,'ODS Subs Data'!$C$204,FALSE)</f>
        <v>30003.586902772044</v>
      </c>
      <c r="O69" s="70">
        <f>(VLOOKUP(O68,'ODS Subs Data'!$A$206:$N$229,'ODS Subs Data'!$J$204,FALSE)/VLOOKUP(O68,'ODS Subs Data'!$A$206:$N$229,'ODS Subs Data'!$D$204,FALSE))*VLOOKUP(O68,'ODS Subs Data'!$A$206:$N$229,'ODS Subs Data'!$C$204,FALSE)</f>
        <v>32221.52754427035</v>
      </c>
      <c r="P69" s="403"/>
      <c r="Q69" s="70">
        <f>VLOOKUP(Q68,'ODS Subs Data'!$A$206:$I$229,'ODS Subs Data'!$B$204,FALSE)</f>
        <v>66133333.333333284</v>
      </c>
      <c r="R69" s="70">
        <f>VLOOKUP(R68,'ODS Subs Data'!$A$206:$I$229,'ODS Subs Data'!$B$204,FALSE)</f>
        <v>88133333.333333313</v>
      </c>
      <c r="S69" s="70">
        <f>VLOOKUP(S68,'ODS Subs Data'!$A$206:$I$229,'ODS Subs Data'!$B$204,FALSE)</f>
        <v>91066666.666666657</v>
      </c>
      <c r="T69" s="70">
        <f>VLOOKUP(T68,'ODS Subs Data'!$A$206:$I$229,'ODS Subs Data'!$B$204,FALSE)</f>
        <v>95466666.666666672</v>
      </c>
      <c r="U69" s="70">
        <f>VLOOKUP(U68,'ODS Subs Data'!$A$206:$I$229,'ODS Subs Data'!$B$204,FALSE)</f>
        <v>102800000</v>
      </c>
      <c r="V69" s="70">
        <f>VLOOKUP(V68,'ODS Subs Data'!$A$206:$I$229,'ODS Subs Data'!$B$204,FALSE)</f>
        <v>104024000</v>
      </c>
      <c r="W69" s="70">
        <f>VLOOKUP(W68,'ODS Subs Data'!$A$206:$I$229,'ODS Subs Data'!$B$204,FALSE)</f>
        <v>105248000</v>
      </c>
      <c r="X69" s="70">
        <f>VLOOKUP(X68,'ODS Subs Data'!$A$206:$I$229,'ODS Subs Data'!$B$204,FALSE)</f>
        <v>106472000</v>
      </c>
      <c r="Y69" s="70">
        <f>VLOOKUP(Y68,'ODS Subs Data'!$A$206:$I$229,'ODS Subs Data'!$B$204,FALSE)</f>
        <v>107696000</v>
      </c>
      <c r="Z69" s="70">
        <f>VLOOKUP(Z68,'ODS Subs Data'!$A$206:$I$229,'ODS Subs Data'!$B$204,FALSE)</f>
        <v>108920000</v>
      </c>
      <c r="AA69" s="70">
        <f>VLOOKUP(AA68,'ODS Subs Data'!$A$206:$I$229,'ODS Subs Data'!$B$204,FALSE)</f>
        <v>110144000</v>
      </c>
      <c r="AB69" s="70">
        <f>VLOOKUP(AB68,'ODS Subs Data'!$A$206:$I$229,'ODS Subs Data'!$B$204,FALSE)</f>
        <v>111368000</v>
      </c>
      <c r="AC69" s="227"/>
      <c r="AD69" s="48">
        <f>HLOOKUP(AD68,'ODS Subs Data'!$A$45:$AH$49,ROWS('ODS Subs Data'!$A$45:$A$48),FALSE)</f>
        <v>1.5331524000000001E-2</v>
      </c>
      <c r="AE69" s="48">
        <f>HLOOKUP(AE68,'ODS Subs Data'!$A$45:$AH$49,ROWS('ODS Subs Data'!$A$45:$A$48),FALSE)</f>
        <v>2.9636769795000002</v>
      </c>
      <c r="AF69" s="48">
        <f>HLOOKUP(AF68,'ODS Subs Data'!$A$45:$AH$49,ROWS('ODS Subs Data'!$A$45:$A$48),FALSE)</f>
        <v>4.9444058864999993</v>
      </c>
      <c r="AG69" s="48">
        <f>HLOOKUP(AG68,'ODS Subs Data'!$A$45:$AH$49,ROWS('ODS Subs Data'!$A$45:$A$48),FALSE)</f>
        <v>9.4590427961999985</v>
      </c>
      <c r="AH69" s="48">
        <f>HLOOKUP(AH68,'ODS Subs Data'!$A$45:$AH$49,ROWS('ODS Subs Data'!$A$45:$A$48),FALSE)</f>
        <v>22.076133818999999</v>
      </c>
      <c r="AI69" s="48">
        <f>HLOOKUP(AI68,'ODS Subs Data'!$A$45:$AH$49,ROWS('ODS Subs Data'!$A$45:$A$48),FALSE)</f>
        <v>25.363225943400003</v>
      </c>
      <c r="AJ69" s="48">
        <f>HLOOKUP(AJ68,'ODS Subs Data'!$A$45:$AH$49,ROWS('ODS Subs Data'!$A$45:$A$48),FALSE)</f>
        <v>28.835006181299995</v>
      </c>
      <c r="AK69" s="48">
        <f>HLOOKUP(AK68,'ODS Subs Data'!$A$45:$AH$49,ROWS('ODS Subs Data'!$A$45:$A$48),FALSE)</f>
        <v>32.43467263334</v>
      </c>
      <c r="AL69" s="48">
        <f>HLOOKUP(AL68,'ODS Subs Data'!$A$45:$AH$49,ROWS('ODS Subs Data'!$A$45:$A$48),FALSE)</f>
        <v>35.986680838900007</v>
      </c>
      <c r="AM69" s="48">
        <f>HLOOKUP(AM68,'ODS Subs Data'!$A$45:$AH$49,ROWS('ODS Subs Data'!$A$45:$A$48),FALSE)</f>
        <v>40.1213199269</v>
      </c>
      <c r="AN69" s="48">
        <f>HLOOKUP(AN68,'ODS Subs Data'!$A$45:$AH$49,ROWS('ODS Subs Data'!$A$45:$A$48),FALSE)</f>
        <v>48.790876858400004</v>
      </c>
      <c r="AO69" s="48">
        <f>HLOOKUP(AO68,'ODS Subs Data'!$A$45:$AH$49,ROWS('ODS Subs Data'!$A$45:$A$48),FALSE)</f>
        <v>54.039902339999998</v>
      </c>
      <c r="AP69" s="403"/>
      <c r="AQ69" s="228">
        <f t="shared" ref="AQ69:BB69" si="69">D69/Q69*AD69</f>
        <v>5.3830609441146416E-6</v>
      </c>
      <c r="AR69" s="228">
        <f t="shared" si="69"/>
        <v>8.5728957082646792E-4</v>
      </c>
      <c r="AS69" s="228">
        <f t="shared" si="69"/>
        <v>1.496543881489152E-3</v>
      </c>
      <c r="AT69" s="228">
        <f t="shared" si="69"/>
        <v>2.8603731774749018E-3</v>
      </c>
      <c r="AU69" s="228">
        <f t="shared" si="69"/>
        <v>7.3201139423681076E-3</v>
      </c>
      <c r="AV69" s="228">
        <f t="shared" si="69"/>
        <v>8.2326629526204443E-3</v>
      </c>
      <c r="AW69" s="228">
        <f t="shared" si="69"/>
        <v>9.2812358478794148E-3</v>
      </c>
      <c r="AX69" s="228">
        <f t="shared" si="69"/>
        <v>1.0416483845091208E-2</v>
      </c>
      <c r="AY69" s="228">
        <f t="shared" si="69"/>
        <v>1.1155485743850361E-2</v>
      </c>
      <c r="AZ69" s="228">
        <f t="shared" si="69"/>
        <v>9.8871007886567937E-3</v>
      </c>
      <c r="BA69" s="228">
        <f t="shared" si="69"/>
        <v>1.3290794903793706E-2</v>
      </c>
      <c r="BB69" s="228">
        <f t="shared" si="69"/>
        <v>1.5635085497970599E-2</v>
      </c>
      <c r="BE69" s="67"/>
      <c r="BF69" s="403"/>
      <c r="BG69" s="229"/>
      <c r="BH69" s="403"/>
      <c r="BI69" s="229"/>
    </row>
    <row r="70" spans="1:61" s="42" customFormat="1">
      <c r="D70" s="72"/>
      <c r="E70" s="72"/>
      <c r="F70" s="72"/>
      <c r="G70" s="72"/>
      <c r="H70" s="72"/>
      <c r="I70" s="72"/>
      <c r="J70" s="72"/>
      <c r="K70" s="72"/>
      <c r="L70" s="72"/>
      <c r="M70" s="72"/>
      <c r="N70" s="72"/>
      <c r="O70" s="72"/>
      <c r="P70" s="403"/>
      <c r="Q70" s="230"/>
      <c r="R70" s="230"/>
      <c r="S70" s="230"/>
      <c r="T70" s="72"/>
      <c r="U70" s="72"/>
      <c r="V70" s="72"/>
      <c r="W70" s="72"/>
      <c r="X70" s="72"/>
      <c r="Y70" s="72"/>
      <c r="Z70" s="72"/>
      <c r="AA70" s="72"/>
      <c r="AB70" s="72"/>
      <c r="AC70" s="231"/>
      <c r="AD70" s="72"/>
      <c r="AE70" s="72"/>
      <c r="AF70" s="72"/>
      <c r="AG70" s="72"/>
      <c r="AH70" s="72"/>
      <c r="AI70" s="72"/>
      <c r="AJ70" s="72"/>
      <c r="AK70" s="72"/>
      <c r="AL70" s="72"/>
      <c r="AM70" s="72"/>
      <c r="AN70" s="72"/>
      <c r="AO70" s="72"/>
      <c r="AP70" s="403"/>
      <c r="AQ70" s="230"/>
      <c r="AR70" s="230"/>
      <c r="AS70" s="230"/>
      <c r="AT70" s="72"/>
      <c r="AU70" s="72"/>
      <c r="AV70" s="72"/>
      <c r="AW70" s="72"/>
      <c r="AX70" s="72"/>
      <c r="AY70" s="72"/>
      <c r="AZ70" s="72"/>
      <c r="BA70" s="72"/>
      <c r="BB70" s="72"/>
      <c r="BE70" s="67"/>
      <c r="BF70" s="403"/>
      <c r="BG70" s="229"/>
      <c r="BH70" s="403"/>
      <c r="BI70" s="229"/>
    </row>
    <row r="71" spans="1:61" s="42" customFormat="1" ht="13.35" customHeight="1">
      <c r="B71" s="129"/>
      <c r="D71" s="599" t="s">
        <v>165</v>
      </c>
      <c r="E71" s="599"/>
      <c r="F71" s="599"/>
      <c r="G71" s="599"/>
      <c r="H71" s="599"/>
      <c r="I71" s="599"/>
      <c r="J71" s="599"/>
      <c r="K71" s="599"/>
      <c r="L71" s="599"/>
      <c r="M71" s="599"/>
      <c r="N71" s="599"/>
      <c r="O71" s="599"/>
      <c r="P71" s="403" t="s">
        <v>155</v>
      </c>
      <c r="Q71" s="599" t="s">
        <v>152</v>
      </c>
      <c r="R71" s="599"/>
      <c r="S71" s="599"/>
      <c r="T71" s="599"/>
      <c r="U71" s="599"/>
      <c r="V71" s="599"/>
      <c r="W71" s="599"/>
      <c r="X71" s="599"/>
      <c r="Y71" s="599"/>
      <c r="Z71" s="599"/>
      <c r="AA71" s="599"/>
      <c r="AB71" s="599"/>
      <c r="AC71" s="44" t="s">
        <v>156</v>
      </c>
      <c r="AD71" s="599" t="s">
        <v>157</v>
      </c>
      <c r="AE71" s="599"/>
      <c r="AF71" s="599"/>
      <c r="AG71" s="599"/>
      <c r="AH71" s="599"/>
      <c r="AI71" s="599"/>
      <c r="AJ71" s="599"/>
      <c r="AK71" s="599"/>
      <c r="AL71" s="599"/>
      <c r="AM71" s="599"/>
      <c r="AN71" s="599"/>
      <c r="AO71" s="599"/>
      <c r="AP71" s="47" t="s">
        <v>158</v>
      </c>
      <c r="AQ71" s="599" t="s">
        <v>159</v>
      </c>
      <c r="AR71" s="599"/>
      <c r="AS71" s="599"/>
      <c r="AT71" s="599"/>
      <c r="AU71" s="599"/>
      <c r="AV71" s="599"/>
      <c r="AW71" s="599"/>
      <c r="AX71" s="599"/>
      <c r="AY71" s="599"/>
      <c r="AZ71" s="599"/>
      <c r="BA71" s="599"/>
      <c r="BB71" s="599"/>
      <c r="BE71" s="67"/>
      <c r="BF71" s="403"/>
      <c r="BG71" s="229"/>
      <c r="BH71" s="403"/>
      <c r="BI71" s="229"/>
    </row>
    <row r="72" spans="1:61" s="42" customFormat="1">
      <c r="B72" s="129"/>
      <c r="AD72" s="600" t="s">
        <v>161</v>
      </c>
      <c r="AE72" s="600"/>
      <c r="AF72" s="600"/>
      <c r="AG72" s="600"/>
      <c r="AH72" s="600"/>
      <c r="AI72" s="600"/>
      <c r="AJ72" s="600"/>
      <c r="AK72" s="600"/>
      <c r="AL72" s="600"/>
      <c r="AM72" s="600"/>
      <c r="AN72" s="600"/>
      <c r="AO72" s="600"/>
      <c r="AQ72" s="600" t="s">
        <v>161</v>
      </c>
      <c r="AR72" s="600"/>
      <c r="AS72" s="600"/>
      <c r="AT72" s="600"/>
      <c r="AU72" s="600"/>
      <c r="AV72" s="600"/>
      <c r="AW72" s="600"/>
      <c r="AX72" s="600"/>
      <c r="AY72" s="600"/>
      <c r="AZ72" s="600"/>
      <c r="BA72" s="600"/>
      <c r="BB72" s="600"/>
      <c r="BE72" s="67"/>
      <c r="BF72" s="403"/>
      <c r="BG72" s="229"/>
      <c r="BH72" s="403"/>
      <c r="BI72" s="229"/>
    </row>
    <row r="73" spans="1:61" s="42" customFormat="1">
      <c r="B73" s="134" t="s">
        <v>166</v>
      </c>
      <c r="D73" s="70">
        <f>INDEX('ODS Subs Data'!$J$206:$J$229,MATCH('ODS Subs'!D$64,'ODS Subs Data'!$A$206:$A$229,0))</f>
        <v>68330.021423421567</v>
      </c>
      <c r="E73" s="70">
        <f>INDEX('ODS Subs Data'!$J$206:$J$229,MATCH('ODS Subs'!E$64,'ODS Subs Data'!$A$206:$A$229,0))</f>
        <v>79387.783272156463</v>
      </c>
      <c r="F73" s="70">
        <f>INDEX('ODS Subs Data'!$J$206:$J$229,MATCH('ODS Subs'!F$64,'ODS Subs Data'!$A$206:$A$229,0))</f>
        <v>83104.726192743256</v>
      </c>
      <c r="G73" s="70">
        <f>INDEX('ODS Subs Data'!$J$206:$J$229,MATCH('ODS Subs'!G$64,'ODS Subs Data'!$A$206:$A$229,0))</f>
        <v>82999.999559338379</v>
      </c>
      <c r="H73" s="70">
        <f>INDEX('ODS Subs Data'!$J$206:$J$229,MATCH('ODS Subs'!H$64,'ODS Subs Data'!$A$206:$A$229,0))</f>
        <v>92752.791343018107</v>
      </c>
      <c r="I73" s="70">
        <f>INDEX('ODS Subs Data'!$J$206:$J$229,MATCH('ODS Subs'!I$64,'ODS Subs Data'!$A$206:$A$229,0))</f>
        <v>93765.485323625282</v>
      </c>
      <c r="J73" s="70">
        <f>INDEX('ODS Subs Data'!$J$206:$J$229,MATCH('ODS Subs'!J$64,'ODS Subs Data'!$A$206:$A$229,0))</f>
        <v>95745.975522152556</v>
      </c>
      <c r="K73" s="70">
        <f>INDEX('ODS Subs Data'!$J$206:$J$229,MATCH('ODS Subs'!K$64,'ODS Subs Data'!$A$206:$A$229,0))</f>
        <v>98124.559216504727</v>
      </c>
      <c r="L73" s="70">
        <f>INDEX('ODS Subs Data'!$J$206:$J$229,MATCH('ODS Subs'!L$64,'ODS Subs Data'!$A$206:$A$229,0))</f>
        <v>97241.569883660064</v>
      </c>
      <c r="M73" s="70">
        <f>INDEX('ODS Subs Data'!$J$206:$J$229,MATCH('ODS Subs'!M$64,'ODS Subs Data'!$A$206:$A$229,0))</f>
        <v>78771.628042281125</v>
      </c>
      <c r="N73" s="70">
        <f>INDEX('ODS Subs Data'!$J$206:$J$229,MATCH('ODS Subs'!N$64,'ODS Subs Data'!$A$206:$A$229,0))</f>
        <v>89421.37735164148</v>
      </c>
      <c r="O73" s="70">
        <f>INDEX('ODS Subs Data'!$J$206:$J$229,MATCH('ODS Subs'!O$64,'ODS Subs Data'!$A$206:$A$229,0))</f>
        <v>97958.936358592618</v>
      </c>
      <c r="P73" s="403"/>
      <c r="Q73" s="226">
        <f t="shared" ref="Q73:W77" si="70">Q54</f>
        <v>249622814</v>
      </c>
      <c r="R73" s="226">
        <f t="shared" ref="R73" si="71">R54</f>
        <v>295516599</v>
      </c>
      <c r="S73" s="226">
        <f t="shared" si="70"/>
        <v>301231207</v>
      </c>
      <c r="T73" s="226">
        <f t="shared" si="70"/>
        <v>309327143</v>
      </c>
      <c r="U73" s="226">
        <f t="shared" si="70"/>
        <v>320738994</v>
      </c>
      <c r="V73" s="226">
        <f t="shared" si="70"/>
        <v>323071755</v>
      </c>
      <c r="W73" s="226">
        <f t="shared" si="70"/>
        <v>325122128</v>
      </c>
      <c r="X73" s="226">
        <f t="shared" ref="X73:Y73" si="72">X54</f>
        <v>326838199</v>
      </c>
      <c r="Y73" s="226">
        <f t="shared" si="72"/>
        <v>328329953</v>
      </c>
      <c r="Z73" s="226">
        <f t="shared" ref="Z73:AA73" si="73">Z54</f>
        <v>331511512</v>
      </c>
      <c r="AA73" s="226">
        <f t="shared" si="73"/>
        <v>332031554</v>
      </c>
      <c r="AB73" s="226">
        <f>AB54</f>
        <v>333287557</v>
      </c>
      <c r="AC73" s="227"/>
      <c r="AD73" s="70">
        <f>VLOOKUP($B73,'ODS Subs Data'!$A$46:$AH$54,'ODS Subs Data'!$B$43,FALSE)</f>
        <v>3.5485200000000001E-4</v>
      </c>
      <c r="AE73" s="70">
        <f>VLOOKUP($B73,'ODS Subs Data'!$A$46:$AH$54,'ODS Subs Data'!$Q$43,FALSE)</f>
        <v>18.4710840109</v>
      </c>
      <c r="AF73" s="70">
        <f>VLOOKUP($B73,'ODS Subs Data'!$A$46:$AH$54,'ODS Subs Data'!$S$43,FALSE)</f>
        <v>26.201877207300001</v>
      </c>
      <c r="AG73" s="70">
        <f>VLOOKUP($B73,'ODS Subs Data'!$A$46:$AH$54,'ODS Subs Data'!$V$43,FALSE)</f>
        <v>42.267351500799997</v>
      </c>
      <c r="AH73" s="70">
        <f>VLOOKUP($B73,'ODS Subs Data'!$A$46:$AH$54,'ODS Subs Data'!$AA$43,FALSE)</f>
        <v>58.965182780299997</v>
      </c>
      <c r="AI73" s="70">
        <f>VLOOKUP($B73,'ODS Subs Data'!$A$46:$AH$54,'ODS Subs Data'!$AB$43,FALSE)</f>
        <v>60.648990855000008</v>
      </c>
      <c r="AJ73" s="70">
        <f>VLOOKUP($B73,'ODS Subs Data'!$A$46:$AH$54,'ODS Subs Data'!$AC$43,FALSE)</f>
        <v>60.933447877739994</v>
      </c>
      <c r="AK73" s="70">
        <f>VLOOKUP($B73,'ODS Subs Data'!$A$46:$AH$54,'ODS Subs Data'!$AD$43,FALSE)</f>
        <v>61.568224540540008</v>
      </c>
      <c r="AL73" s="70">
        <f>VLOOKUP($B73,'ODS Subs Data'!$A$46:$AH$54,'ODS Subs Data'!$AE$43,FALSE)</f>
        <v>63.839829161980006</v>
      </c>
      <c r="AM73" s="70">
        <f>VLOOKUP($B73,'ODS Subs Data'!$A$46:$AH$54,'ODS Subs Data'!$AF$43,FALSE)</f>
        <v>65.861211760999993</v>
      </c>
      <c r="AN73" s="70">
        <f>VLOOKUP($B73,'ODS Subs Data'!$A$46:$AH$54,'ODS Subs Data'!$AG$43,FALSE)</f>
        <v>67.901135420939994</v>
      </c>
      <c r="AO73" s="70">
        <f>VLOOKUP($B73,'ODS Subs Data'!$A$46:$AH$54,'ODS Subs Data'!$AH$43,FALSE)</f>
        <v>69.80410859541999</v>
      </c>
      <c r="AP73" s="403"/>
      <c r="AQ73" s="228">
        <f t="shared" ref="AQ73:BB77" si="74">D73/Q73*AD73</f>
        <v>9.7134730490394968E-8</v>
      </c>
      <c r="AR73" s="228">
        <f t="shared" si="74"/>
        <v>4.9620847668835136E-3</v>
      </c>
      <c r="AS73" s="228">
        <f t="shared" si="74"/>
        <v>7.2286661555904033E-3</v>
      </c>
      <c r="AT73" s="228">
        <f t="shared" si="74"/>
        <v>1.1341358931249042E-2</v>
      </c>
      <c r="AU73" s="228">
        <f t="shared" si="74"/>
        <v>1.7051825307290481E-2</v>
      </c>
      <c r="AV73" s="228">
        <f t="shared" si="74"/>
        <v>1.7602226050083481E-2</v>
      </c>
      <c r="AW73" s="228">
        <f t="shared" si="74"/>
        <v>1.7944433511404834E-2</v>
      </c>
      <c r="AX73" s="228">
        <f t="shared" si="74"/>
        <v>1.8484237501208593E-2</v>
      </c>
      <c r="AY73" s="228">
        <f t="shared" si="74"/>
        <v>1.8907459255828537E-2</v>
      </c>
      <c r="AZ73" s="228">
        <f t="shared" si="74"/>
        <v>1.5649516494773801E-2</v>
      </c>
      <c r="BA73" s="228">
        <f t="shared" si="74"/>
        <v>1.8286855510969851E-2</v>
      </c>
      <c r="BB73" s="228">
        <f t="shared" si="74"/>
        <v>2.0516626222163568E-2</v>
      </c>
      <c r="BE73" s="414"/>
      <c r="BF73" s="403"/>
      <c r="BG73" s="229"/>
      <c r="BH73" s="403"/>
      <c r="BI73" s="229"/>
    </row>
    <row r="74" spans="1:61" s="42" customFormat="1">
      <c r="B74" s="219" t="s">
        <v>167</v>
      </c>
      <c r="D74" s="70">
        <f>D73</f>
        <v>68330.021423421567</v>
      </c>
      <c r="E74" s="70">
        <f>E73</f>
        <v>79387.783272156463</v>
      </c>
      <c r="F74" s="70">
        <f t="shared" ref="F74" si="75">F73</f>
        <v>83104.726192743256</v>
      </c>
      <c r="G74" s="70">
        <f t="shared" ref="G74" si="76">G73</f>
        <v>82999.999559338379</v>
      </c>
      <c r="H74" s="70">
        <f t="shared" ref="H74:L74" si="77">H73</f>
        <v>92752.791343018107</v>
      </c>
      <c r="I74" s="70">
        <f t="shared" si="77"/>
        <v>93765.485323625282</v>
      </c>
      <c r="J74" s="70">
        <f t="shared" si="77"/>
        <v>95745.975522152556</v>
      </c>
      <c r="K74" s="70">
        <f t="shared" si="77"/>
        <v>98124.559216504727</v>
      </c>
      <c r="L74" s="70">
        <f t="shared" si="77"/>
        <v>97241.569883660064</v>
      </c>
      <c r="M74" s="70">
        <f t="shared" ref="M74:N74" si="78">M73</f>
        <v>78771.628042281125</v>
      </c>
      <c r="N74" s="70">
        <f t="shared" si="78"/>
        <v>89421.37735164148</v>
      </c>
      <c r="O74" s="70">
        <f t="shared" ref="O74" si="79">O73</f>
        <v>97958.936358592618</v>
      </c>
      <c r="P74" s="403"/>
      <c r="Q74" s="226">
        <f t="shared" si="70"/>
        <v>249622814</v>
      </c>
      <c r="R74" s="226">
        <f t="shared" ref="R74" si="80">R55</f>
        <v>295516599</v>
      </c>
      <c r="S74" s="226">
        <f t="shared" si="70"/>
        <v>301231207</v>
      </c>
      <c r="T74" s="226">
        <f t="shared" si="70"/>
        <v>309327143</v>
      </c>
      <c r="U74" s="226">
        <f t="shared" si="70"/>
        <v>320738994</v>
      </c>
      <c r="V74" s="226">
        <f t="shared" si="70"/>
        <v>323071755</v>
      </c>
      <c r="W74" s="226">
        <f t="shared" si="70"/>
        <v>325122128</v>
      </c>
      <c r="X74" s="226">
        <f t="shared" ref="X74:Y74" si="81">X55</f>
        <v>326838199</v>
      </c>
      <c r="Y74" s="226">
        <f t="shared" si="81"/>
        <v>328329953</v>
      </c>
      <c r="Z74" s="226">
        <f t="shared" ref="Z74:AA74" si="82">Z55</f>
        <v>331511512</v>
      </c>
      <c r="AA74" s="226">
        <f t="shared" si="82"/>
        <v>332031554</v>
      </c>
      <c r="AB74" s="226">
        <f t="shared" ref="AB74" si="83">AB55</f>
        <v>333287557</v>
      </c>
      <c r="AC74" s="227"/>
      <c r="AD74" s="70">
        <f>VLOOKUP($B74,'ODS Subs Data'!$A$46:$AH$54,'ODS Subs Data'!$B$43,FALSE)</f>
        <v>0.23051244000000001</v>
      </c>
      <c r="AE74" s="70">
        <f>VLOOKUP($B74,'ODS Subs Data'!$A$46:$AH$54,'ODS Subs Data'!$Q$43,FALSE)</f>
        <v>10.175936419999999</v>
      </c>
      <c r="AF74" s="70">
        <f>VLOOKUP($B74,'ODS Subs Data'!$A$46:$AH$54,'ODS Subs Data'!$S$43,FALSE)</f>
        <v>11.7735906</v>
      </c>
      <c r="AG74" s="70">
        <f>VLOOKUP($B74,'ODS Subs Data'!$A$46:$AH$54,'ODS Subs Data'!$V$43,FALSE)</f>
        <v>15.597268</v>
      </c>
      <c r="AH74" s="70">
        <f>VLOOKUP($B74,'ODS Subs Data'!$A$46:$AH$54,'ODS Subs Data'!$AA$43,FALSE)</f>
        <v>19.694944899999996</v>
      </c>
      <c r="AI74" s="70">
        <f>VLOOKUP($B74,'ODS Subs Data'!$A$46:$AH$54,'ODS Subs Data'!$AB$43,FALSE)</f>
        <v>18.665525850000002</v>
      </c>
      <c r="AJ74" s="70">
        <f>VLOOKUP($B74,'ODS Subs Data'!$A$46:$AH$54,'ODS Subs Data'!$AC$43,FALSE)</f>
        <v>17.711663850000001</v>
      </c>
      <c r="AK74" s="70">
        <f>VLOOKUP($B74,'ODS Subs Data'!$A$46:$AH$54,'ODS Subs Data'!$AD$43,FALSE)</f>
        <v>16.695425880000002</v>
      </c>
      <c r="AL74" s="70">
        <f>VLOOKUP($B74,'ODS Subs Data'!$A$46:$AH$54,'ODS Subs Data'!$AE$43,FALSE)</f>
        <v>17.014575400000002</v>
      </c>
      <c r="AM74" s="70">
        <f>VLOOKUP($B74,'ODS Subs Data'!$A$46:$AH$54,'ODS Subs Data'!$AF$43,FALSE)</f>
        <v>17.339892519999999</v>
      </c>
      <c r="AN74" s="70">
        <f>VLOOKUP($B74,'ODS Subs Data'!$A$46:$AH$54,'ODS Subs Data'!$AG$43,FALSE)</f>
        <v>17.671530189999999</v>
      </c>
      <c r="AO74" s="70">
        <f>VLOOKUP($B74,'ODS Subs Data'!$A$46:$AH$54,'ODS Subs Data'!$AH$43,FALSE)</f>
        <v>17.037062899999999</v>
      </c>
      <c r="AP74" s="403"/>
      <c r="AQ74" s="228">
        <f t="shared" si="74"/>
        <v>6.3098879910732762E-5</v>
      </c>
      <c r="AR74" s="228">
        <f t="shared" si="74"/>
        <v>2.7336705885079695E-3</v>
      </c>
      <c r="AS74" s="228">
        <f t="shared" si="74"/>
        <v>3.2481396362046108E-3</v>
      </c>
      <c r="AT74" s="228">
        <f t="shared" si="74"/>
        <v>4.185126544575115E-3</v>
      </c>
      <c r="AU74" s="228">
        <f t="shared" si="74"/>
        <v>5.6954756016411841E-3</v>
      </c>
      <c r="AV74" s="228">
        <f t="shared" si="74"/>
        <v>5.4173169367465242E-3</v>
      </c>
      <c r="AW74" s="228">
        <f t="shared" si="74"/>
        <v>5.2159492922570138E-3</v>
      </c>
      <c r="AX74" s="228">
        <f t="shared" si="74"/>
        <v>5.0123618059920395E-3</v>
      </c>
      <c r="AY74" s="228">
        <f t="shared" si="74"/>
        <v>5.0392113411593109E-3</v>
      </c>
      <c r="AZ74" s="228">
        <f t="shared" si="74"/>
        <v>4.1201934606680344E-3</v>
      </c>
      <c r="BA74" s="228">
        <f t="shared" si="74"/>
        <v>4.7592240871809259E-3</v>
      </c>
      <c r="BB74" s="228">
        <f t="shared" si="74"/>
        <v>5.0074853540315019E-3</v>
      </c>
    </row>
    <row r="75" spans="1:61" s="42" customFormat="1">
      <c r="B75" s="134" t="s">
        <v>168</v>
      </c>
      <c r="D75" s="70">
        <f>D73</f>
        <v>68330.021423421567</v>
      </c>
      <c r="E75" s="70">
        <f>E73</f>
        <v>79387.783272156463</v>
      </c>
      <c r="F75" s="70">
        <f t="shared" ref="F75:H75" si="84">F73</f>
        <v>83104.726192743256</v>
      </c>
      <c r="G75" s="70">
        <f t="shared" si="84"/>
        <v>82999.999559338379</v>
      </c>
      <c r="H75" s="70">
        <f t="shared" si="84"/>
        <v>92752.791343018107</v>
      </c>
      <c r="I75" s="70">
        <f t="shared" ref="I75:L75" si="85">I73</f>
        <v>93765.485323625282</v>
      </c>
      <c r="J75" s="70">
        <f t="shared" si="85"/>
        <v>95745.975522152556</v>
      </c>
      <c r="K75" s="70">
        <f t="shared" si="85"/>
        <v>98124.559216504727</v>
      </c>
      <c r="L75" s="70">
        <f t="shared" si="85"/>
        <v>97241.569883660064</v>
      </c>
      <c r="M75" s="70">
        <f t="shared" ref="M75:N75" si="86">M73</f>
        <v>78771.628042281125</v>
      </c>
      <c r="N75" s="70">
        <f t="shared" si="86"/>
        <v>89421.37735164148</v>
      </c>
      <c r="O75" s="70">
        <f t="shared" ref="O75" si="87">O73</f>
        <v>97958.936358592618</v>
      </c>
      <c r="P75" s="403"/>
      <c r="Q75" s="226">
        <f t="shared" si="70"/>
        <v>249622814</v>
      </c>
      <c r="R75" s="226">
        <f t="shared" ref="R75" si="88">R56</f>
        <v>295516599</v>
      </c>
      <c r="S75" s="226">
        <f t="shared" si="70"/>
        <v>301231207</v>
      </c>
      <c r="T75" s="226">
        <f t="shared" si="70"/>
        <v>309327143</v>
      </c>
      <c r="U75" s="226">
        <f t="shared" si="70"/>
        <v>320738994</v>
      </c>
      <c r="V75" s="226">
        <f t="shared" si="70"/>
        <v>323071755</v>
      </c>
      <c r="W75" s="226">
        <f t="shared" si="70"/>
        <v>325122128</v>
      </c>
      <c r="X75" s="226">
        <f t="shared" ref="X75:Y75" si="89">X56</f>
        <v>326838199</v>
      </c>
      <c r="Y75" s="226">
        <f t="shared" si="89"/>
        <v>328329953</v>
      </c>
      <c r="Z75" s="226">
        <f t="shared" ref="Z75:AA75" si="90">Z56</f>
        <v>331511512</v>
      </c>
      <c r="AA75" s="226">
        <f t="shared" si="90"/>
        <v>332031554</v>
      </c>
      <c r="AB75" s="226">
        <f t="shared" ref="AB75" si="91">AB56</f>
        <v>333287557</v>
      </c>
      <c r="AC75" s="227"/>
      <c r="AD75" s="70">
        <f>VLOOKUP($B75,'ODS Subs Data'!$A$46:$AH$54,'ODS Subs Data'!$B$43,FALSE)</f>
        <v>6.6005399999999994E-3</v>
      </c>
      <c r="AE75" s="70">
        <f>VLOOKUP($B75,'ODS Subs Data'!$A$46:$AH$54,'ODS Subs Data'!$Q$43,FALSE)</f>
        <v>3.4888586672000002</v>
      </c>
      <c r="AF75" s="70">
        <f>VLOOKUP($B75,'ODS Subs Data'!$A$46:$AH$54,'ODS Subs Data'!$S$43,FALSE)</f>
        <v>4.2187536218000004</v>
      </c>
      <c r="AG75" s="70">
        <f>VLOOKUP($B75,'ODS Subs Data'!$A$46:$AH$54,'ODS Subs Data'!$V$43,FALSE)</f>
        <v>7.8990071527999977</v>
      </c>
      <c r="AH75" s="70">
        <f>VLOOKUP($B75,'ODS Subs Data'!$A$46:$AH$54,'ODS Subs Data'!$AA$43,FALSE)</f>
        <v>12.148485258799999</v>
      </c>
      <c r="AI75" s="70">
        <f>VLOOKUP($B75,'ODS Subs Data'!$A$46:$AH$54,'ODS Subs Data'!$AB$43,FALSE)</f>
        <v>13.061289361200002</v>
      </c>
      <c r="AJ75" s="70">
        <f>VLOOKUP($B75,'ODS Subs Data'!$A$46:$AH$54,'ODS Subs Data'!$AC$43,FALSE)</f>
        <v>13.815900991199996</v>
      </c>
      <c r="AK75" s="70">
        <f>VLOOKUP($B75,'ODS Subs Data'!$A$46:$AH$54,'ODS Subs Data'!$AD$43,FALSE)</f>
        <v>14.173388369400003</v>
      </c>
      <c r="AL75" s="70">
        <f>VLOOKUP($B75,'ODS Subs Data'!$A$46:$AH$54,'ODS Subs Data'!$AE$43,FALSE)</f>
        <v>14.1360476226</v>
      </c>
      <c r="AM75" s="70">
        <f>VLOOKUP($B75,'ODS Subs Data'!$A$46:$AH$54,'ODS Subs Data'!$AF$43,FALSE)</f>
        <v>13.699476005200001</v>
      </c>
      <c r="AN75" s="70">
        <f>VLOOKUP($B75,'ODS Subs Data'!$A$46:$AH$54,'ODS Subs Data'!$AG$43,FALSE)</f>
        <v>10.779920445200004</v>
      </c>
      <c r="AO75" s="70">
        <f>VLOOKUP($B75,'ODS Subs Data'!$A$46:$AH$54,'ODS Subs Data'!$AH$43,FALSE)</f>
        <v>11.687077275200004</v>
      </c>
      <c r="AP75" s="403"/>
      <c r="AQ75" s="228">
        <f t="shared" si="74"/>
        <v>1.8067861361668288E-6</v>
      </c>
      <c r="AR75" s="228">
        <f t="shared" si="74"/>
        <v>9.3724940215239236E-4</v>
      </c>
      <c r="AS75" s="228">
        <f t="shared" si="74"/>
        <v>1.1638846058015927E-3</v>
      </c>
      <c r="AT75" s="228">
        <f t="shared" si="74"/>
        <v>2.1194958316400007E-3</v>
      </c>
      <c r="AU75" s="228">
        <f t="shared" si="74"/>
        <v>3.5131553675173265E-3</v>
      </c>
      <c r="AV75" s="228">
        <f t="shared" si="74"/>
        <v>3.7907929645698119E-3</v>
      </c>
      <c r="AW75" s="228">
        <f t="shared" si="74"/>
        <v>4.0686769807311242E-3</v>
      </c>
      <c r="AX75" s="228">
        <f t="shared" si="74"/>
        <v>4.2551864825069296E-3</v>
      </c>
      <c r="AY75" s="228">
        <f t="shared" si="74"/>
        <v>4.1866770004130712E-3</v>
      </c>
      <c r="AZ75" s="228">
        <f t="shared" si="74"/>
        <v>3.255181160211926E-3</v>
      </c>
      <c r="BA75" s="228">
        <f t="shared" si="74"/>
        <v>2.9032039947351042E-3</v>
      </c>
      <c r="BB75" s="228">
        <f t="shared" si="74"/>
        <v>3.4350327066643874E-3</v>
      </c>
      <c r="BE75" s="67"/>
      <c r="BF75" s="403"/>
      <c r="BG75" s="229"/>
      <c r="BH75" s="403"/>
      <c r="BI75" s="229"/>
    </row>
    <row r="76" spans="1:61" s="42" customFormat="1">
      <c r="B76" s="134" t="s">
        <v>169</v>
      </c>
      <c r="D76" s="70">
        <f>D73</f>
        <v>68330.021423421567</v>
      </c>
      <c r="E76" s="70">
        <f>E73</f>
        <v>79387.783272156463</v>
      </c>
      <c r="F76" s="70">
        <f t="shared" ref="F76:H76" si="92">F73</f>
        <v>83104.726192743256</v>
      </c>
      <c r="G76" s="70">
        <f t="shared" si="92"/>
        <v>82999.999559338379</v>
      </c>
      <c r="H76" s="70">
        <f t="shared" si="92"/>
        <v>92752.791343018107</v>
      </c>
      <c r="I76" s="70">
        <f t="shared" ref="I76:L76" si="93">I73</f>
        <v>93765.485323625282</v>
      </c>
      <c r="J76" s="70">
        <f t="shared" si="93"/>
        <v>95745.975522152556</v>
      </c>
      <c r="K76" s="70">
        <f t="shared" si="93"/>
        <v>98124.559216504727</v>
      </c>
      <c r="L76" s="70">
        <f t="shared" si="93"/>
        <v>97241.569883660064</v>
      </c>
      <c r="M76" s="70">
        <f t="shared" ref="M76:N76" si="94">M73</f>
        <v>78771.628042281125</v>
      </c>
      <c r="N76" s="70">
        <f t="shared" si="94"/>
        <v>89421.37735164148</v>
      </c>
      <c r="O76" s="70">
        <f t="shared" ref="O76" si="95">O73</f>
        <v>97958.936358592618</v>
      </c>
      <c r="P76" s="403"/>
      <c r="Q76" s="226">
        <f t="shared" si="70"/>
        <v>249622814</v>
      </c>
      <c r="R76" s="226">
        <f t="shared" ref="R76" si="96">R57</f>
        <v>295516599</v>
      </c>
      <c r="S76" s="226">
        <f t="shared" si="70"/>
        <v>301231207</v>
      </c>
      <c r="T76" s="226">
        <f t="shared" si="70"/>
        <v>309327143</v>
      </c>
      <c r="U76" s="226">
        <f t="shared" si="70"/>
        <v>320738994</v>
      </c>
      <c r="V76" s="226">
        <f t="shared" si="70"/>
        <v>323071755</v>
      </c>
      <c r="W76" s="226">
        <f t="shared" si="70"/>
        <v>325122128</v>
      </c>
      <c r="X76" s="226">
        <f t="shared" ref="X76:Y76" si="97">X57</f>
        <v>326838199</v>
      </c>
      <c r="Y76" s="226">
        <f t="shared" si="97"/>
        <v>328329953</v>
      </c>
      <c r="Z76" s="226">
        <f t="shared" ref="Z76" si="98">Z57</f>
        <v>331511512</v>
      </c>
      <c r="AA76" s="226">
        <f>AA57</f>
        <v>332031554</v>
      </c>
      <c r="AB76" s="226">
        <f>AB57</f>
        <v>333287557</v>
      </c>
      <c r="AC76" s="227"/>
      <c r="AD76" s="70">
        <f>VLOOKUP($B76,'ODS Subs Data'!$A$46:$AH$54,'ODS Subs Data'!$B$43,FALSE)</f>
        <v>0</v>
      </c>
      <c r="AE76" s="70">
        <f>VLOOKUP($B76,'ODS Subs Data'!$A$46:$AH$54,'ODS Subs Data'!$Q$43,FALSE)</f>
        <v>1.6416810000000002</v>
      </c>
      <c r="AF76" s="70">
        <f>VLOOKUP($B76,'ODS Subs Data'!$A$46:$AH$54,'ODS Subs Data'!$S$43,FALSE)</f>
        <v>1.6456378</v>
      </c>
      <c r="AG76" s="70">
        <f>VLOOKUP($B76,'ODS Subs Data'!$A$46:$AH$54,'ODS Subs Data'!$V$43,FALSE)</f>
        <v>1.6802280000000001</v>
      </c>
      <c r="AH76" s="70">
        <f>VLOOKUP($B76,'ODS Subs Data'!$A$46:$AH$54,'ODS Subs Data'!$AA$43,FALSE)</f>
        <v>1.8550949999999999</v>
      </c>
      <c r="AI76" s="70">
        <f>VLOOKUP($B76,'ODS Subs Data'!$A$46:$AH$54,'ODS Subs Data'!$AB$43,FALSE)</f>
        <v>1.8922034999999999</v>
      </c>
      <c r="AJ76" s="70">
        <f>VLOOKUP($B76,'ODS Subs Data'!$A$46:$AH$54,'ODS Subs Data'!$AC$43,FALSE)</f>
        <v>1.9300545</v>
      </c>
      <c r="AK76" s="70">
        <f>VLOOKUP($B76,'ODS Subs Data'!$A$46:$AH$54,'ODS Subs Data'!$AD$43,FALSE)</f>
        <v>1.968648</v>
      </c>
      <c r="AL76" s="70">
        <f>VLOOKUP($B76,'ODS Subs Data'!$A$46:$AH$54,'ODS Subs Data'!$AE$43,FALSE)</f>
        <v>2.0080334999999998</v>
      </c>
      <c r="AM76" s="70">
        <f>VLOOKUP($B76,'ODS Subs Data'!$A$46:$AH$54,'ODS Subs Data'!$AF$43,FALSE)</f>
        <v>2.0481945000000001</v>
      </c>
      <c r="AN76" s="70">
        <f>VLOOKUP($B76,'ODS Subs Data'!$A$46:$AH$54,'ODS Subs Data'!$AG$43,FALSE)</f>
        <v>2.0891640000000002</v>
      </c>
      <c r="AO76" s="70">
        <f>VLOOKUP($B76,'ODS Subs Data'!$A$46:$AH$54,'ODS Subs Data'!$AH$43,FALSE)</f>
        <v>2.1309420000000001</v>
      </c>
      <c r="AP76" s="403"/>
      <c r="AQ76" s="228">
        <f t="shared" si="74"/>
        <v>0</v>
      </c>
      <c r="AR76" s="228">
        <f t="shared" si="74"/>
        <v>4.4102231776840768E-4</v>
      </c>
      <c r="AS76" s="228">
        <f t="shared" si="74"/>
        <v>4.5400435148616058E-4</v>
      </c>
      <c r="AT76" s="228">
        <f t="shared" si="74"/>
        <v>4.5084605866478394E-4</v>
      </c>
      <c r="AU76" s="228">
        <f t="shared" si="74"/>
        <v>5.3646498453654241E-4</v>
      </c>
      <c r="AV76" s="228">
        <f t="shared" si="74"/>
        <v>5.4917638810165375E-4</v>
      </c>
      <c r="AW76" s="228">
        <f t="shared" si="74"/>
        <v>5.6838626164940824E-4</v>
      </c>
      <c r="AX76" s="228">
        <f t="shared" si="74"/>
        <v>5.9103470109518499E-4</v>
      </c>
      <c r="AY76" s="228">
        <f t="shared" si="74"/>
        <v>5.947198180818443E-4</v>
      </c>
      <c r="AZ76" s="228">
        <f t="shared" si="74"/>
        <v>4.8667877124051724E-4</v>
      </c>
      <c r="BA76" s="228">
        <f t="shared" si="74"/>
        <v>5.626450864168914E-4</v>
      </c>
      <c r="BB76" s="228">
        <f t="shared" si="74"/>
        <v>6.2632044724625618E-4</v>
      </c>
      <c r="BE76" s="151"/>
      <c r="BG76" s="151"/>
      <c r="BI76" s="151"/>
    </row>
    <row r="77" spans="1:61" s="42" customFormat="1">
      <c r="B77" s="134" t="s">
        <v>170</v>
      </c>
      <c r="D77" s="70">
        <f>D73</f>
        <v>68330.021423421567</v>
      </c>
      <c r="E77" s="70">
        <f>E73</f>
        <v>79387.783272156463</v>
      </c>
      <c r="F77" s="70">
        <f t="shared" ref="F77:H77" si="99">F73</f>
        <v>83104.726192743256</v>
      </c>
      <c r="G77" s="70">
        <f t="shared" si="99"/>
        <v>82999.999559338379</v>
      </c>
      <c r="H77" s="70">
        <f t="shared" si="99"/>
        <v>92752.791343018107</v>
      </c>
      <c r="I77" s="70">
        <f t="shared" ref="I77:L77" si="100">I73</f>
        <v>93765.485323625282</v>
      </c>
      <c r="J77" s="70">
        <f t="shared" si="100"/>
        <v>95745.975522152556</v>
      </c>
      <c r="K77" s="70">
        <f t="shared" si="100"/>
        <v>98124.559216504727</v>
      </c>
      <c r="L77" s="70">
        <f t="shared" si="100"/>
        <v>97241.569883660064</v>
      </c>
      <c r="M77" s="70">
        <f t="shared" ref="M77:N77" si="101">M73</f>
        <v>78771.628042281125</v>
      </c>
      <c r="N77" s="70">
        <f t="shared" si="101"/>
        <v>89421.37735164148</v>
      </c>
      <c r="O77" s="70">
        <f t="shared" ref="O77" si="102">O73</f>
        <v>97958.936358592618</v>
      </c>
      <c r="P77" s="403"/>
      <c r="Q77" s="226">
        <f t="shared" si="70"/>
        <v>249622814</v>
      </c>
      <c r="R77" s="226">
        <f t="shared" ref="R77" si="103">R58</f>
        <v>295516599</v>
      </c>
      <c r="S77" s="226">
        <f t="shared" si="70"/>
        <v>301231207</v>
      </c>
      <c r="T77" s="226">
        <f t="shared" si="70"/>
        <v>309327143</v>
      </c>
      <c r="U77" s="226">
        <f t="shared" si="70"/>
        <v>320738994</v>
      </c>
      <c r="V77" s="226">
        <f t="shared" si="70"/>
        <v>323071755</v>
      </c>
      <c r="W77" s="226">
        <f t="shared" si="70"/>
        <v>325122128</v>
      </c>
      <c r="X77" s="226">
        <f t="shared" ref="X77:Y77" si="104">X58</f>
        <v>326838199</v>
      </c>
      <c r="Y77" s="226">
        <f t="shared" si="104"/>
        <v>328329953</v>
      </c>
      <c r="Z77" s="226">
        <f t="shared" ref="Z77" si="105">Z58</f>
        <v>331511512</v>
      </c>
      <c r="AA77" s="226">
        <f>AA58</f>
        <v>332031554</v>
      </c>
      <c r="AB77" s="226">
        <f>AB58</f>
        <v>333287557</v>
      </c>
      <c r="AC77" s="227"/>
      <c r="AD77" s="70">
        <f>VLOOKUP($B77,'ODS Subs Data'!$A$46:$AH$54,'ODS Subs Data'!$B$43,FALSE)</f>
        <v>0</v>
      </c>
      <c r="AE77" s="70">
        <f>VLOOKUP($B77,'ODS Subs Data'!$A$46:$AH$54,'ODS Subs Data'!$Q$43,FALSE)</f>
        <v>1.2058041080000002</v>
      </c>
      <c r="AF77" s="70">
        <f>VLOOKUP($B77,'ODS Subs Data'!$A$46:$AH$54,'ODS Subs Data'!$S$43,FALSE)</f>
        <v>1.3957860959999999</v>
      </c>
      <c r="AG77" s="70">
        <f>VLOOKUP($B77,'ODS Subs Data'!$A$46:$AH$54,'ODS Subs Data'!$V$43,FALSE)</f>
        <v>1.6717140079999999</v>
      </c>
      <c r="AH77" s="70">
        <f>VLOOKUP($B77,'ODS Subs Data'!$A$46:$AH$54,'ODS Subs Data'!$AA$43,FALSE)</f>
        <v>2.1273369799999995</v>
      </c>
      <c r="AI77" s="70">
        <f>VLOOKUP($B77,'ODS Subs Data'!$A$46:$AH$54,'ODS Subs Data'!$AB$43,FALSE)</f>
        <v>2.2160628099999999</v>
      </c>
      <c r="AJ77" s="70">
        <f>VLOOKUP($B77,'ODS Subs Data'!$A$46:$AH$54,'ODS Subs Data'!$AC$43,FALSE)</f>
        <v>2.30331245</v>
      </c>
      <c r="AK77" s="70">
        <f>VLOOKUP($B77,'ODS Subs Data'!$A$46:$AH$54,'ODS Subs Data'!$AD$43,FALSE)</f>
        <v>2.3889430579999997</v>
      </c>
      <c r="AL77" s="70">
        <f>VLOOKUP($B77,'ODS Subs Data'!$A$46:$AH$54,'ODS Subs Data'!$AE$43,FALSE)</f>
        <v>2.4728295379999996</v>
      </c>
      <c r="AM77" s="70">
        <f>VLOOKUP($B77,'ODS Subs Data'!$A$46:$AH$54,'ODS Subs Data'!$AF$43,FALSE)</f>
        <v>2.52815089</v>
      </c>
      <c r="AN77" s="70">
        <f>VLOOKUP($B77,'ODS Subs Data'!$A$46:$AH$54,'ODS Subs Data'!$AG$43,FALSE)</f>
        <v>2.5844474119999998</v>
      </c>
      <c r="AO77" s="70">
        <f>VLOOKUP($B77,'ODS Subs Data'!$A$46:$AH$54,'ODS Subs Data'!$AH$43,FALSE)</f>
        <v>2.6420306999999998</v>
      </c>
      <c r="AP77" s="403"/>
      <c r="AQ77" s="228">
        <f t="shared" si="74"/>
        <v>0</v>
      </c>
      <c r="AR77" s="228">
        <f t="shared" si="74"/>
        <v>3.2392804843622321E-4</v>
      </c>
      <c r="AS77" s="228">
        <f t="shared" si="74"/>
        <v>3.8507438351736929E-4</v>
      </c>
      <c r="AT77" s="228">
        <f t="shared" si="74"/>
        <v>4.4856154743374649E-4</v>
      </c>
      <c r="AU77" s="228">
        <f t="shared" si="74"/>
        <v>6.1519318421952222E-4</v>
      </c>
      <c r="AV77" s="228">
        <f t="shared" si="74"/>
        <v>6.4317044641456448E-4</v>
      </c>
      <c r="AW77" s="228">
        <f t="shared" si="74"/>
        <v>6.7830786792084854E-4</v>
      </c>
      <c r="AX77" s="228">
        <f t="shared" si="74"/>
        <v>7.1721722025392396E-4</v>
      </c>
      <c r="AY77" s="228">
        <f t="shared" si="74"/>
        <v>7.3237858481283856E-4</v>
      </c>
      <c r="AZ77" s="228">
        <f t="shared" si="74"/>
        <v>6.0072291408644048E-4</v>
      </c>
      <c r="BA77" s="228">
        <f t="shared" si="74"/>
        <v>6.9603278510669859E-4</v>
      </c>
      <c r="BB77" s="228">
        <f t="shared" si="74"/>
        <v>7.7653819280972414E-4</v>
      </c>
    </row>
    <row r="78" spans="1:61" s="42" customFormat="1">
      <c r="B78" s="56"/>
      <c r="Q78" s="403"/>
      <c r="R78" s="403"/>
    </row>
    <row r="79" spans="1:61" s="43" customFormat="1">
      <c r="A79" s="232"/>
      <c r="B79" s="220" t="s">
        <v>172</v>
      </c>
      <c r="C79" s="232"/>
      <c r="D79" s="233"/>
      <c r="E79" s="233"/>
      <c r="F79" s="233"/>
      <c r="G79" s="233"/>
      <c r="H79" s="233"/>
      <c r="I79" s="233"/>
      <c r="J79" s="233"/>
      <c r="K79" s="233"/>
      <c r="L79" s="233"/>
      <c r="M79" s="233"/>
      <c r="N79" s="233"/>
      <c r="O79" s="233"/>
      <c r="P79" s="234"/>
      <c r="Q79" s="235"/>
      <c r="R79" s="235"/>
      <c r="S79" s="235"/>
      <c r="T79" s="233"/>
      <c r="U79" s="233"/>
      <c r="V79" s="233"/>
      <c r="W79" s="233"/>
      <c r="X79" s="233"/>
      <c r="Y79" s="233"/>
      <c r="Z79" s="233"/>
      <c r="AA79" s="233"/>
      <c r="AB79" s="233"/>
      <c r="AC79" s="236"/>
      <c r="AD79" s="233"/>
      <c r="AE79" s="233"/>
      <c r="AF79" s="233"/>
      <c r="AG79" s="233"/>
      <c r="AH79" s="233"/>
      <c r="AI79" s="233"/>
      <c r="AJ79" s="233"/>
      <c r="AK79" s="233"/>
      <c r="AL79" s="233"/>
      <c r="AM79" s="233"/>
      <c r="AN79" s="233"/>
      <c r="AO79" s="233"/>
      <c r="AP79" s="234"/>
      <c r="AQ79" s="237">
        <f>SUM(AQ73:AQ77,AQ65,AQ69)</f>
        <v>7.0385861721504616E-5</v>
      </c>
      <c r="AR79" s="237">
        <f>SUM(AR73:AR77,AR65,AR69)</f>
        <v>2.9063366069491968E-2</v>
      </c>
      <c r="AS79" s="237">
        <f t="shared" ref="AS79:AW79" si="106">SUM(AS73:AS77,AS65,AS69)</f>
        <v>3.2710339369831129E-2</v>
      </c>
      <c r="AT79" s="237">
        <f>SUM(AT73:AT77,AT65,AT69)</f>
        <v>3.8880775248522931E-2</v>
      </c>
      <c r="AU79" s="237">
        <f t="shared" si="106"/>
        <v>4.63226562164556E-2</v>
      </c>
      <c r="AV79" s="237">
        <f t="shared" si="106"/>
        <v>4.6608708755787862E-2</v>
      </c>
      <c r="AW79" s="237">
        <f t="shared" si="106"/>
        <v>4.7208112465952315E-2</v>
      </c>
      <c r="AX79" s="237">
        <f t="shared" ref="AX79:AY79" si="107">SUM(AX73:AX77,AX65,AX69)</f>
        <v>4.8419266216439598E-2</v>
      </c>
      <c r="AY79" s="237">
        <f t="shared" si="107"/>
        <v>4.892959917747168E-2</v>
      </c>
      <c r="AZ79" s="237">
        <f t="shared" ref="AZ79:BB79" si="108">SUM(AZ73:AZ77,AZ65,AZ69)</f>
        <v>4.1343573584836028E-2</v>
      </c>
      <c r="BA79" s="237">
        <f t="shared" si="108"/>
        <v>4.7103518818097372E-2</v>
      </c>
      <c r="BB79" s="237">
        <f t="shared" si="108"/>
        <v>5.2153119216484009E-2</v>
      </c>
    </row>
    <row r="80" spans="1:61" s="222" customFormat="1">
      <c r="B80" s="239"/>
      <c r="D80" s="240"/>
      <c r="E80" s="240"/>
      <c r="F80" s="240"/>
      <c r="G80" s="240"/>
      <c r="H80" s="240"/>
      <c r="I80" s="240"/>
      <c r="J80" s="240"/>
      <c r="K80" s="240"/>
      <c r="L80" s="240"/>
      <c r="M80" s="240"/>
      <c r="N80" s="240"/>
      <c r="O80" s="240"/>
      <c r="Q80" s="405"/>
      <c r="R80" s="405"/>
      <c r="T80" s="240"/>
      <c r="U80" s="240"/>
      <c r="V80" s="240"/>
      <c r="W80" s="240"/>
      <c r="X80" s="240"/>
      <c r="Y80" s="240"/>
      <c r="Z80" s="240"/>
      <c r="AA80" s="240"/>
      <c r="AB80" s="240"/>
      <c r="AC80" s="240"/>
      <c r="AF80" s="238"/>
      <c r="AG80" s="240"/>
      <c r="AH80" s="240"/>
      <c r="AI80" s="240"/>
      <c r="AJ80" s="240"/>
      <c r="AK80" s="151"/>
      <c r="AL80" s="151"/>
      <c r="AM80" s="151"/>
      <c r="AN80" s="151"/>
      <c r="AO80" s="151"/>
      <c r="AP80" s="42"/>
      <c r="AQ80" s="241"/>
      <c r="AR80" s="241"/>
      <c r="AS80" s="42"/>
      <c r="AT80" s="240"/>
      <c r="AU80" s="240"/>
      <c r="AV80" s="240"/>
      <c r="AW80" s="240"/>
      <c r="AX80" s="240"/>
      <c r="AY80" s="240"/>
      <c r="AZ80" s="240"/>
      <c r="BA80" s="240"/>
      <c r="BB80" s="240"/>
    </row>
    <row r="81" spans="1:62" s="42" customFormat="1" ht="13.35" customHeight="1">
      <c r="A81" s="216" t="s">
        <v>92</v>
      </c>
      <c r="D81" s="601" t="s">
        <v>154</v>
      </c>
      <c r="E81" s="601"/>
      <c r="F81" s="601"/>
      <c r="G81" s="601"/>
      <c r="H81" s="601"/>
      <c r="I81" s="601"/>
      <c r="J81" s="601"/>
      <c r="K81" s="601"/>
      <c r="L81" s="601"/>
      <c r="M81" s="601"/>
      <c r="N81" s="601"/>
      <c r="O81" s="601"/>
      <c r="P81" s="403" t="s">
        <v>155</v>
      </c>
      <c r="Q81" s="601" t="s">
        <v>143</v>
      </c>
      <c r="R81" s="601"/>
      <c r="S81" s="601"/>
      <c r="T81" s="601"/>
      <c r="U81" s="601"/>
      <c r="V81" s="601"/>
      <c r="W81" s="601"/>
      <c r="X81" s="601"/>
      <c r="Y81" s="601"/>
      <c r="Z81" s="601"/>
      <c r="AA81" s="601"/>
      <c r="AB81" s="601"/>
      <c r="AC81" s="44" t="s">
        <v>156</v>
      </c>
      <c r="AD81" s="601" t="s">
        <v>157</v>
      </c>
      <c r="AE81" s="601"/>
      <c r="AF81" s="601"/>
      <c r="AG81" s="601"/>
      <c r="AH81" s="601"/>
      <c r="AI81" s="601"/>
      <c r="AJ81" s="601"/>
      <c r="AK81" s="601"/>
      <c r="AL81" s="601"/>
      <c r="AM81" s="601"/>
      <c r="AN81" s="601"/>
      <c r="AO81" s="601"/>
      <c r="AP81" s="242" t="s">
        <v>158</v>
      </c>
      <c r="AQ81" s="601" t="s">
        <v>159</v>
      </c>
      <c r="AR81" s="601"/>
      <c r="AS81" s="601"/>
      <c r="AT81" s="601"/>
      <c r="AU81" s="601"/>
      <c r="AV81" s="601"/>
      <c r="AW81" s="601"/>
      <c r="AX81" s="601"/>
      <c r="AY81" s="601"/>
      <c r="AZ81" s="601"/>
      <c r="BA81" s="601"/>
      <c r="BB81" s="601"/>
    </row>
    <row r="82" spans="1:62" s="42" customFormat="1">
      <c r="A82" s="218"/>
      <c r="AD82" s="602" t="s">
        <v>160</v>
      </c>
      <c r="AE82" s="602"/>
      <c r="AF82" s="602"/>
      <c r="AG82" s="602"/>
      <c r="AH82" s="602"/>
      <c r="AI82" s="602"/>
      <c r="AJ82" s="602"/>
      <c r="AK82" s="602"/>
      <c r="AL82" s="602"/>
      <c r="AM82" s="602"/>
      <c r="AN82" s="602"/>
      <c r="AO82" s="602"/>
      <c r="AQ82" s="602" t="s">
        <v>161</v>
      </c>
      <c r="AR82" s="602"/>
      <c r="AS82" s="602"/>
      <c r="AT82" s="602"/>
      <c r="AU82" s="602"/>
      <c r="AV82" s="602"/>
      <c r="AW82" s="602"/>
      <c r="AX82" s="602"/>
      <c r="AY82" s="602"/>
      <c r="AZ82" s="602"/>
      <c r="BA82" s="602"/>
      <c r="BB82" s="602"/>
      <c r="BF82" s="404"/>
      <c r="BG82" s="404"/>
      <c r="BH82" s="404"/>
      <c r="BI82" s="404"/>
      <c r="BJ82" s="56"/>
    </row>
    <row r="83" spans="1:62" s="42" customFormat="1">
      <c r="A83" s="218"/>
      <c r="B83" s="43"/>
      <c r="D83" s="149">
        <v>1990</v>
      </c>
      <c r="E83" s="149">
        <v>2005</v>
      </c>
      <c r="F83" s="149">
        <v>2007</v>
      </c>
      <c r="G83" s="149">
        <v>2010</v>
      </c>
      <c r="H83" s="149">
        <v>2015</v>
      </c>
      <c r="I83" s="149">
        <v>2016</v>
      </c>
      <c r="J83" s="149">
        <v>2017</v>
      </c>
      <c r="K83" s="149">
        <v>2018</v>
      </c>
      <c r="L83" s="149">
        <v>2019</v>
      </c>
      <c r="M83" s="149">
        <v>2020</v>
      </c>
      <c r="N83" s="149">
        <v>2021</v>
      </c>
      <c r="O83" s="149">
        <v>2022</v>
      </c>
      <c r="P83" s="404"/>
      <c r="Q83" s="149">
        <v>1990</v>
      </c>
      <c r="R83" s="149">
        <v>2005</v>
      </c>
      <c r="S83" s="149">
        <v>2007</v>
      </c>
      <c r="T83" s="149">
        <v>2010</v>
      </c>
      <c r="U83" s="149">
        <v>2015</v>
      </c>
      <c r="V83" s="149">
        <v>2016</v>
      </c>
      <c r="W83" s="149">
        <v>2017</v>
      </c>
      <c r="X83" s="149">
        <v>2018</v>
      </c>
      <c r="Y83" s="149">
        <v>2019</v>
      </c>
      <c r="Z83" s="149">
        <v>2020</v>
      </c>
      <c r="AA83" s="149">
        <v>2021</v>
      </c>
      <c r="AB83" s="149">
        <v>2022</v>
      </c>
      <c r="AC83" s="44"/>
      <c r="AD83" s="149">
        <v>1990</v>
      </c>
      <c r="AE83" s="149">
        <v>2005</v>
      </c>
      <c r="AF83" s="149">
        <v>2007</v>
      </c>
      <c r="AG83" s="149">
        <v>2010</v>
      </c>
      <c r="AH83" s="149">
        <v>2015</v>
      </c>
      <c r="AI83" s="149">
        <v>2016</v>
      </c>
      <c r="AJ83" s="149">
        <v>2017</v>
      </c>
      <c r="AK83" s="149">
        <v>2018</v>
      </c>
      <c r="AL83" s="149">
        <v>2019</v>
      </c>
      <c r="AM83" s="149">
        <v>2020</v>
      </c>
      <c r="AN83" s="149">
        <v>2021</v>
      </c>
      <c r="AO83" s="149">
        <v>2022</v>
      </c>
      <c r="AP83" s="404"/>
      <c r="AQ83" s="149">
        <v>1990</v>
      </c>
      <c r="AR83" s="149">
        <v>2005</v>
      </c>
      <c r="AS83" s="149">
        <v>2007</v>
      </c>
      <c r="AT83" s="149">
        <v>2010</v>
      </c>
      <c r="AU83" s="149">
        <v>2015</v>
      </c>
      <c r="AV83" s="149">
        <v>2016</v>
      </c>
      <c r="AW83" s="149">
        <v>2017</v>
      </c>
      <c r="AX83" s="149">
        <v>2018</v>
      </c>
      <c r="AY83" s="149">
        <v>2019</v>
      </c>
      <c r="AZ83" s="149">
        <v>2020</v>
      </c>
      <c r="BA83" s="149">
        <v>2021</v>
      </c>
      <c r="BB83" s="149">
        <v>2022</v>
      </c>
      <c r="BF83" s="404"/>
      <c r="BG83" s="404"/>
      <c r="BH83" s="404"/>
      <c r="BI83" s="404"/>
      <c r="BJ83" s="56"/>
    </row>
    <row r="84" spans="1:62" s="42" customFormat="1">
      <c r="B84" s="90" t="s">
        <v>162</v>
      </c>
      <c r="D84" s="70">
        <f>VLOOKUP(D$45,'ODS Subs Data'!$A$168:$W$200,'ODS Subs Data'!$T$165,FALSE)</f>
        <v>182.11925352048991</v>
      </c>
      <c r="E84" s="70">
        <f>VLOOKUP(E$45,'ODS Subs Data'!$A$168:$W$200,'ODS Subs Data'!$T$165,FALSE)</f>
        <v>160.31753410873489</v>
      </c>
      <c r="F84" s="70">
        <f>VLOOKUP(F$45,'ODS Subs Data'!$A$168:$W$200,'ODS Subs Data'!$T$165,FALSE)</f>
        <v>160.07116569638563</v>
      </c>
      <c r="G84" s="70">
        <f>VLOOKUP(G$45,'ODS Subs Data'!$A$168:$W$200,'ODS Subs Data'!$T$165,FALSE)</f>
        <v>162.07316135283031</v>
      </c>
      <c r="H84" s="70">
        <f>VLOOKUP(H$45,'ODS Subs Data'!$A$168:$W$200,'ODS Subs Data'!$T$165,FALSE)</f>
        <v>180.19270849618911</v>
      </c>
      <c r="I84" s="70">
        <f>VLOOKUP(I$45,'ODS Subs Data'!$A$168:$W$200,'ODS Subs Data'!$T$165,FALSE)</f>
        <v>180.00739533914557</v>
      </c>
      <c r="J84" s="70">
        <f>VLOOKUP(J$45,'ODS Subs Data'!$A$168:$W$200,'ODS Subs Data'!$T$165,FALSE)</f>
        <v>184.37157547824341</v>
      </c>
      <c r="K84" s="70">
        <f>VLOOKUP(K$45,'ODS Subs Data'!$A$168:$W$200,'ODS Subs Data'!$T$165,FALSE)</f>
        <v>187.50950548678287</v>
      </c>
      <c r="L84" s="70">
        <f>VLOOKUP(L$45,'ODS Subs Data'!$A$168:$W$200,'ODS Subs Data'!$T$165,FALSE)</f>
        <v>189.64368974456207</v>
      </c>
      <c r="M84" s="70">
        <f>VLOOKUP(M$45,'ODS Subs Data'!$A$168:$W$200,'ODS Subs Data'!$T$165,FALSE)</f>
        <v>181.00049186027982</v>
      </c>
      <c r="N84" s="70">
        <f>VLOOKUP(N$45,'ODS Subs Data'!$A$168:$W$200,'ODS Subs Data'!$T$165,FALSE)</f>
        <v>178.69125107896991</v>
      </c>
      <c r="O84" s="70">
        <f>VLOOKUP(O$45,'ODS Subs Data'!$A$168:$W$200,'ODS Subs Data'!$T$165,FALSE)</f>
        <v>183.96702340366511</v>
      </c>
      <c r="P84" s="403"/>
      <c r="Q84" s="226">
        <f>VLOOKUP(Q83,'ODS Subs Data'!$A$89:$C$121,2,FALSE)+VLOOKUP(Q83,'ODS Subs Data'!$A$89:$C$121,3,FALSE)</f>
        <v>188170927</v>
      </c>
      <c r="R84" s="226">
        <f>VLOOKUP(R83,'ODS Subs Data'!$A$89:$C$121,2,FALSE)+VLOOKUP(R83,'ODS Subs Data'!$A$89:$C$121,3,FALSE)</f>
        <v>240386921</v>
      </c>
      <c r="S84" s="226">
        <f>VLOOKUP(S83,'ODS Subs Data'!$A$89:$C$121,2,FALSE)+VLOOKUP(S83,'ODS Subs Data'!$A$89:$C$121,3,FALSE)</f>
        <v>246430169</v>
      </c>
      <c r="T84" s="226">
        <f>VLOOKUP(T83,'ODS Subs Data'!$A$89:$C$121,2,FALSE)+VLOOKUP(T83,'ODS Subs Data'!$A$89:$C$121,3,FALSE)</f>
        <v>241214494</v>
      </c>
      <c r="U84" s="226">
        <f>VLOOKUP(U83,'ODS Subs Data'!$A$89:$C$121,2,FALSE)+VLOOKUP(U83,'ODS Subs Data'!$A$89:$C$121,3,FALSE)</f>
        <v>254120376</v>
      </c>
      <c r="V84" s="226">
        <f>VLOOKUP(V83,'ODS Subs Data'!$A$89:$C$121,2,FALSE)+VLOOKUP(V83,'ODS Subs Data'!$A$89:$C$121,3,FALSE)</f>
        <v>259143542</v>
      </c>
      <c r="W84" s="226">
        <f>VLOOKUP(W83,'ODS Subs Data'!$A$89:$C$121,2,FALSE)+VLOOKUP(W83,'ODS Subs Data'!$A$89:$C$121,3,FALSE)</f>
        <v>262782463</v>
      </c>
      <c r="X84" s="226">
        <f>VLOOKUP(X83,'ODS Subs Data'!$A$89:$C$121,2,FALSE)+VLOOKUP(X83,'ODS Subs Data'!$A$89:$C$121,3,FALSE)</f>
        <v>263943762.85966885</v>
      </c>
      <c r="Y84" s="226">
        <f>VLOOKUP(Y83,'ODS Subs Data'!$A$89:$C$121,2,FALSE)+VLOOKUP(Y83,'ODS Subs Data'!$A$89:$C$121,3,FALSE)</f>
        <v>266899827.15515292</v>
      </c>
      <c r="Z84" s="226">
        <f>VLOOKUP(Z83,'ODS Subs Data'!$A$89:$C$121,2,FALSE)+VLOOKUP(Z83,'ODS Subs Data'!$A$89:$C$121,3,FALSE)</f>
        <v>266578628</v>
      </c>
      <c r="AA84" s="226">
        <f>VLOOKUP(AA83,'ODS Subs Data'!$A$89:$C$121,2,FALSE)+VLOOKUP(AA83,'ODS Subs Data'!$A$89:$C$121,3,FALSE)</f>
        <v>271534359.57747412</v>
      </c>
      <c r="AB84" s="226">
        <f>VLOOKUP(AB83,'ODS Subs Data'!$A$89:$C$121,2,FALSE)+VLOOKUP(AB83,'ODS Subs Data'!$A$89:$C$121,3,FALSE)</f>
        <v>272879203.49339122</v>
      </c>
      <c r="AC84" s="227"/>
      <c r="AD84" s="70">
        <f>VLOOKUP($B84,'ODS Subs Data'!$A$46:$AH$54,INDEX('ODS Subs Data'!$A$43:$AH$43,MATCH(AD83,'ODS Subs Data'!$A$45:$AH$45,0)),FALSE)</f>
        <v>0</v>
      </c>
      <c r="AE84" s="70">
        <f>VLOOKUP($B84,'ODS Subs Data'!$A$46:$AH$54,INDEX('ODS Subs Data'!$A$43:$AH$43,MATCH(AE83,'ODS Subs Data'!$A$45:$AH$45,0)),FALSE)</f>
        <v>61.533466841699997</v>
      </c>
      <c r="AF84" s="70">
        <f>VLOOKUP($B84,'ODS Subs Data'!$A$46:$AH$54,INDEX('ODS Subs Data'!$A$43:$AH$43,MATCH(AF83,'ODS Subs Data'!$A$45:$AH$45,0)),FALSE)</f>
        <v>62.910223398300005</v>
      </c>
      <c r="AG84" s="70">
        <f>VLOOKUP($B84,'ODS Subs Data'!$A$46:$AH$54,INDEX('ODS Subs Data'!$A$43:$AH$43,MATCH(AG83,'ODS Subs Data'!$A$45:$AH$45,0)),FALSE)</f>
        <v>59.223563384900004</v>
      </c>
      <c r="AH84" s="70">
        <f>VLOOKUP($B84,'ODS Subs Data'!$A$46:$AH$54,INDEX('ODS Subs Data'!$A$43:$AH$43,MATCH(AH83,'ODS Subs Data'!$A$45:$AH$45,0)),FALSE)</f>
        <v>37.220865681900008</v>
      </c>
      <c r="AI84" s="70">
        <f>VLOOKUP($B84,'ODS Subs Data'!$A$46:$AH$54,INDEX('ODS Subs Data'!$A$43:$AH$43,MATCH(AI83,'ODS Subs Data'!$A$45:$AH$45,0)),FALSE)</f>
        <v>34.005905660899998</v>
      </c>
      <c r="AJ84" s="70">
        <f>VLOOKUP($B84,'ODS Subs Data'!$A$46:$AH$54,INDEX('ODS Subs Data'!$A$43:$AH$43,MATCH(AJ83,'ODS Subs Data'!$A$45:$AH$45,0)),FALSE)</f>
        <v>30.674008980899998</v>
      </c>
      <c r="AK84" s="70">
        <f>VLOOKUP($B84,'ODS Subs Data'!$A$46:$AH$54,INDEX('ODS Subs Data'!$A$43:$AH$43,MATCH(AK83,'ODS Subs Data'!$A$45:$AH$45,0)),FALSE)</f>
        <v>28.664453929199993</v>
      </c>
      <c r="AL84" s="70">
        <f>VLOOKUP($B84,'ODS Subs Data'!$A$46:$AH$54,INDEX('ODS Subs Data'!$A$43:$AH$43,MATCH(AL83,'ODS Subs Data'!$A$45:$AH$45,0)),FALSE)</f>
        <v>26.643254329600001</v>
      </c>
      <c r="AM84" s="70">
        <f>VLOOKUP($B84,'ODS Subs Data'!$A$46:$AH$54,INDEX('ODS Subs Data'!$A$43:$AH$43,MATCH(AM83,'ODS Subs Data'!$A$45:$AH$45,0)),FALSE)</f>
        <v>24.630521789999996</v>
      </c>
      <c r="AN84" s="70">
        <f>VLOOKUP($B84,'ODS Subs Data'!$A$46:$AH$54,INDEX('ODS Subs Data'!$A$43:$AH$43,MATCH(AN83,'ODS Subs Data'!$A$45:$AH$45,0)),FALSE)</f>
        <v>22.854063608300002</v>
      </c>
      <c r="AO84" s="70">
        <f>VLOOKUP($B84,'ODS Subs Data'!$A$46:$AH$54,INDEX('ODS Subs Data'!$A$43:$AH$43,MATCH(AO83,'ODS Subs Data'!$A$45:$AH$45,0)),FALSE)</f>
        <v>20.792943220800002</v>
      </c>
      <c r="AP84" s="403"/>
      <c r="AQ84" s="228">
        <f t="shared" ref="AQ84:BB84" si="109">D84/Q84*AD84</f>
        <v>0</v>
      </c>
      <c r="AR84" s="228">
        <f t="shared" si="109"/>
        <v>4.1037564057917053E-5</v>
      </c>
      <c r="AS84" s="228">
        <f t="shared" si="109"/>
        <v>4.0863960912131323E-5</v>
      </c>
      <c r="AT84" s="228">
        <f t="shared" si="109"/>
        <v>3.9792592829726357E-5</v>
      </c>
      <c r="AU84" s="228">
        <f t="shared" si="109"/>
        <v>2.6392722635489951E-5</v>
      </c>
      <c r="AV84" s="228">
        <f t="shared" si="109"/>
        <v>2.3621327612197702E-5</v>
      </c>
      <c r="AW84" s="228">
        <f t="shared" si="109"/>
        <v>2.1521281509726625E-5</v>
      </c>
      <c r="AX84" s="228">
        <f t="shared" si="109"/>
        <v>2.0363646873408467E-5</v>
      </c>
      <c r="AY84" s="228">
        <f t="shared" si="109"/>
        <v>1.8931166466926549E-5</v>
      </c>
      <c r="AZ84" s="228">
        <f t="shared" si="109"/>
        <v>1.6723533286266816E-5</v>
      </c>
      <c r="BA84" s="228">
        <f t="shared" si="109"/>
        <v>1.5039795423165552E-5</v>
      </c>
      <c r="BB84" s="228">
        <f t="shared" si="109"/>
        <v>1.4017982400863449E-5</v>
      </c>
      <c r="BE84" s="67"/>
      <c r="BF84" s="403"/>
      <c r="BG84" s="229"/>
      <c r="BH84" s="403"/>
      <c r="BI84" s="229"/>
    </row>
    <row r="85" spans="1:62" s="42" customFormat="1">
      <c r="D85" s="72"/>
      <c r="E85" s="72"/>
      <c r="F85" s="72"/>
      <c r="G85" s="72"/>
      <c r="H85" s="72"/>
      <c r="I85" s="72"/>
      <c r="J85" s="72"/>
      <c r="K85" s="72"/>
      <c r="L85" s="72"/>
      <c r="M85" s="72"/>
      <c r="N85" s="72"/>
      <c r="O85" s="72"/>
      <c r="P85" s="403"/>
      <c r="Q85" s="230"/>
      <c r="R85" s="230"/>
      <c r="S85" s="230"/>
      <c r="T85" s="72"/>
      <c r="U85" s="72"/>
      <c r="V85" s="72"/>
      <c r="W85" s="72"/>
      <c r="X85" s="72"/>
      <c r="Y85" s="72"/>
      <c r="Z85" s="72"/>
      <c r="AA85" s="72"/>
      <c r="AB85" s="72"/>
      <c r="AC85" s="231"/>
      <c r="AD85" s="72"/>
      <c r="AE85" s="72"/>
      <c r="AF85" s="72"/>
      <c r="AG85" s="72"/>
      <c r="AH85" s="72"/>
      <c r="AI85" s="72"/>
      <c r="AJ85" s="72"/>
      <c r="AK85" s="72"/>
      <c r="AL85" s="72"/>
      <c r="AM85" s="72"/>
      <c r="AN85" s="72"/>
      <c r="AO85" s="72"/>
      <c r="AP85" s="403"/>
      <c r="AQ85" s="230"/>
      <c r="AR85" s="230"/>
      <c r="AS85" s="230"/>
      <c r="AT85" s="72"/>
      <c r="AU85" s="72"/>
      <c r="AV85" s="72"/>
      <c r="AW85" s="72"/>
      <c r="AX85" s="72"/>
      <c r="AY85" s="72"/>
      <c r="AZ85" s="72"/>
      <c r="BA85" s="72"/>
      <c r="BB85" s="72"/>
      <c r="BE85" s="67"/>
      <c r="BF85" s="403"/>
      <c r="BG85" s="229"/>
      <c r="BH85" s="403"/>
      <c r="BI85" s="229"/>
    </row>
    <row r="86" spans="1:62" s="42" customFormat="1" ht="13.35" customHeight="1">
      <c r="D86" s="603" t="s">
        <v>163</v>
      </c>
      <c r="E86" s="603"/>
      <c r="F86" s="603"/>
      <c r="G86" s="603"/>
      <c r="H86" s="603"/>
      <c r="I86" s="603"/>
      <c r="J86" s="603"/>
      <c r="K86" s="603"/>
      <c r="L86" s="603"/>
      <c r="M86" s="603"/>
      <c r="N86" s="603"/>
      <c r="O86" s="603"/>
      <c r="P86" s="403" t="s">
        <v>155</v>
      </c>
      <c r="Q86" s="602" t="s">
        <v>147</v>
      </c>
      <c r="R86" s="602"/>
      <c r="S86" s="602"/>
      <c r="T86" s="602"/>
      <c r="U86" s="602"/>
      <c r="V86" s="602"/>
      <c r="W86" s="602"/>
      <c r="X86" s="602"/>
      <c r="Y86" s="602"/>
      <c r="Z86" s="602"/>
      <c r="AA86" s="602"/>
      <c r="AB86" s="602"/>
      <c r="AC86" s="231" t="s">
        <v>156</v>
      </c>
      <c r="AD86" s="599" t="s">
        <v>157</v>
      </c>
      <c r="AE86" s="599"/>
      <c r="AF86" s="599"/>
      <c r="AG86" s="599"/>
      <c r="AH86" s="599"/>
      <c r="AI86" s="599"/>
      <c r="AJ86" s="599"/>
      <c r="AK86" s="599"/>
      <c r="AL86" s="599"/>
      <c r="AM86" s="599"/>
      <c r="AN86" s="599"/>
      <c r="AO86" s="599"/>
      <c r="AP86" s="47" t="s">
        <v>158</v>
      </c>
      <c r="AQ86" s="599" t="s">
        <v>159</v>
      </c>
      <c r="AR86" s="599"/>
      <c r="AS86" s="599"/>
      <c r="AT86" s="599"/>
      <c r="AU86" s="599"/>
      <c r="AV86" s="599"/>
      <c r="AW86" s="599"/>
      <c r="AX86" s="599"/>
      <c r="AY86" s="599"/>
      <c r="AZ86" s="599"/>
      <c r="BA86" s="599"/>
      <c r="BB86" s="599"/>
      <c r="BE86" s="414"/>
      <c r="BF86" s="403"/>
      <c r="BG86" s="229"/>
      <c r="BH86" s="403"/>
      <c r="BI86" s="229"/>
    </row>
    <row r="87" spans="1:62" s="42" customFormat="1">
      <c r="D87" s="149">
        <v>1990</v>
      </c>
      <c r="E87" s="149">
        <v>2005</v>
      </c>
      <c r="F87" s="149">
        <v>2007</v>
      </c>
      <c r="G87" s="149">
        <v>2010</v>
      </c>
      <c r="H87" s="149">
        <v>2015</v>
      </c>
      <c r="I87" s="149">
        <v>2016</v>
      </c>
      <c r="J87" s="149">
        <v>2017</v>
      </c>
      <c r="K87" s="149">
        <v>2018</v>
      </c>
      <c r="L87" s="149">
        <v>2019</v>
      </c>
      <c r="M87" s="149">
        <v>2020</v>
      </c>
      <c r="N87" s="149">
        <v>2021</v>
      </c>
      <c r="O87" s="149">
        <v>2022</v>
      </c>
      <c r="P87" s="404"/>
      <c r="Q87" s="149">
        <v>1990</v>
      </c>
      <c r="R87" s="149">
        <v>2005</v>
      </c>
      <c r="S87" s="149">
        <v>2007</v>
      </c>
      <c r="T87" s="149">
        <v>2010</v>
      </c>
      <c r="U87" s="149">
        <v>2015</v>
      </c>
      <c r="V87" s="149">
        <v>2016</v>
      </c>
      <c r="W87" s="149">
        <v>2017</v>
      </c>
      <c r="X87" s="149">
        <v>2018</v>
      </c>
      <c r="Y87" s="149">
        <v>2019</v>
      </c>
      <c r="Z87" s="149">
        <v>2020</v>
      </c>
      <c r="AA87" s="149">
        <v>2021</v>
      </c>
      <c r="AB87" s="149">
        <v>2022</v>
      </c>
      <c r="AC87" s="44"/>
      <c r="AD87" s="149">
        <v>1990</v>
      </c>
      <c r="AE87" s="149">
        <v>2005</v>
      </c>
      <c r="AF87" s="149">
        <v>2007</v>
      </c>
      <c r="AG87" s="149">
        <v>2010</v>
      </c>
      <c r="AH87" s="149">
        <v>2015</v>
      </c>
      <c r="AI87" s="149">
        <v>2016</v>
      </c>
      <c r="AJ87" s="149">
        <v>2017</v>
      </c>
      <c r="AK87" s="149">
        <v>2018</v>
      </c>
      <c r="AL87" s="149">
        <v>2019</v>
      </c>
      <c r="AM87" s="149">
        <v>2020</v>
      </c>
      <c r="AN87" s="149">
        <v>2021</v>
      </c>
      <c r="AO87" s="149">
        <v>2022</v>
      </c>
      <c r="AP87" s="404"/>
      <c r="AQ87" s="149">
        <v>1990</v>
      </c>
      <c r="AR87" s="149">
        <v>2005</v>
      </c>
      <c r="AS87" s="149">
        <v>2007</v>
      </c>
      <c r="AT87" s="149">
        <v>2010</v>
      </c>
      <c r="AU87" s="149">
        <v>2015</v>
      </c>
      <c r="AV87" s="149">
        <v>2016</v>
      </c>
      <c r="AW87" s="149">
        <v>2017</v>
      </c>
      <c r="AX87" s="149">
        <v>2018</v>
      </c>
      <c r="AY87" s="149">
        <v>2019</v>
      </c>
      <c r="AZ87" s="149">
        <v>2020</v>
      </c>
      <c r="BA87" s="149">
        <v>2021</v>
      </c>
      <c r="BB87" s="149">
        <v>2022</v>
      </c>
      <c r="BE87" s="67"/>
      <c r="BF87" s="403"/>
      <c r="BG87" s="229"/>
      <c r="BH87" s="403"/>
      <c r="BI87" s="229"/>
    </row>
    <row r="88" spans="1:62" s="42" customFormat="1">
      <c r="B88" s="90" t="s">
        <v>164</v>
      </c>
      <c r="D88" s="70">
        <f>(VLOOKUP(D87,'ODS Subs Data'!$A$206:$N$229,'ODS Subs Data'!$K$204,FALSE)/VLOOKUP(D87,'ODS Subs Data'!$A$206:$N$229,'ODS Subs Data'!$D$204,FALSE))*VLOOKUP(D87,'ODS Subs Data'!$A$206:$N$229,'ODS Subs Data'!$C$204,FALSE)</f>
        <v>77.472373843237989</v>
      </c>
      <c r="E88" s="70">
        <f>(VLOOKUP(E87,'ODS Subs Data'!$A$206:$N$229,'ODS Subs Data'!$K$204,FALSE)/VLOOKUP(E87,'ODS Subs Data'!$A$206:$N$229,'ODS Subs Data'!$D$204,FALSE))*VLOOKUP(E87,'ODS Subs Data'!$A$206:$N$229,'ODS Subs Data'!$C$204,FALSE)</f>
        <v>55.625384330955022</v>
      </c>
      <c r="F88" s="70">
        <f>(VLOOKUP(F87,'ODS Subs Data'!$A$206:$N$229,'ODS Subs Data'!$K$204,FALSE)/VLOOKUP(F87,'ODS Subs Data'!$A$206:$N$229,'ODS Subs Data'!$D$204,FALSE))*VLOOKUP(F87,'ODS Subs Data'!$A$206:$N$229,'ODS Subs Data'!$C$204,FALSE)</f>
        <v>60.123480621225163</v>
      </c>
      <c r="G88" s="70">
        <f>(VLOOKUP(G87,'ODS Subs Data'!$A$206:$N$229,'ODS Subs Data'!$K$204,FALSE)/VLOOKUP(G87,'ODS Subs Data'!$A$206:$N$229,'ODS Subs Data'!$D$204,FALSE))*VLOOKUP(G87,'ODS Subs Data'!$A$206:$N$229,'ODS Subs Data'!$C$204,FALSE)</f>
        <v>65.737319613880771</v>
      </c>
      <c r="H88" s="70">
        <f>(VLOOKUP(H87,'ODS Subs Data'!$A$206:$N$229,'ODS Subs Data'!$K$204,FALSE)/VLOOKUP(H87,'ODS Subs Data'!$A$206:$N$229,'ODS Subs Data'!$D$204,FALSE))*VLOOKUP(H87,'ODS Subs Data'!$A$206:$N$229,'ODS Subs Data'!$C$204,FALSE)</f>
        <v>77.619825948363285</v>
      </c>
      <c r="I88" s="70">
        <f>(VLOOKUP(I87,'ODS Subs Data'!$A$206:$N$229,'ODS Subs Data'!$K$204,FALSE)/VLOOKUP(I87,'ODS Subs Data'!$A$206:$N$229,'ODS Subs Data'!$D$204,FALSE))*VLOOKUP(I87,'ODS Subs Data'!$A$206:$N$229,'ODS Subs Data'!$C$204,FALSE)</f>
        <v>76.88721342314193</v>
      </c>
      <c r="J88" s="70">
        <f>(VLOOKUP(J87,'ODS Subs Data'!$A$206:$N$229,'ODS Subs Data'!$K$204,FALSE)/VLOOKUP(J87,'ODS Subs Data'!$A$206:$N$229,'ODS Subs Data'!$D$204,FALSE))*VLOOKUP(J87,'ODS Subs Data'!$A$206:$N$229,'ODS Subs Data'!$C$204,FALSE)</f>
        <v>77.140835515416214</v>
      </c>
      <c r="K88" s="70">
        <f>(VLOOKUP(K87,'ODS Subs Data'!$A$206:$N$229,'ODS Subs Data'!$K$204,FALSE)/VLOOKUP(K87,'ODS Subs Data'!$A$206:$N$229,'ODS Subs Data'!$D$204,FALSE))*VLOOKUP(K87,'ODS Subs Data'!$A$206:$N$229,'ODS Subs Data'!$C$204,FALSE)</f>
        <v>77.863113262858249</v>
      </c>
      <c r="L88" s="70">
        <f>(VLOOKUP(L87,'ODS Subs Data'!$A$206:$N$229,'ODS Subs Data'!$K$204,FALSE)/VLOOKUP(L87,'ODS Subs Data'!$A$206:$N$229,'ODS Subs Data'!$D$204,FALSE))*VLOOKUP(L87,'ODS Subs Data'!$A$206:$N$229,'ODS Subs Data'!$C$204,FALSE)</f>
        <v>76.020547528382352</v>
      </c>
      <c r="M88" s="70">
        <f>(VLOOKUP(M87,'ODS Subs Data'!$A$206:$N$229,'ODS Subs Data'!$K$204,FALSE)/VLOOKUP(M87,'ODS Subs Data'!$A$206:$N$229,'ODS Subs Data'!$D$204,FALSE))*VLOOKUP(M87,'ODS Subs Data'!$A$206:$N$229,'ODS Subs Data'!$C$204,FALSE)</f>
        <v>61.120388843906099</v>
      </c>
      <c r="N88" s="70">
        <f>(VLOOKUP(N87,'ODS Subs Data'!$A$206:$N$229,'ODS Subs Data'!$K$204,FALSE)/VLOOKUP(N87,'ODS Subs Data'!$A$206:$N$229,'ODS Subs Data'!$D$204,FALSE))*VLOOKUP(N87,'ODS Subs Data'!$A$206:$N$229,'ODS Subs Data'!$C$204,FALSE)</f>
        <v>68.321580435658191</v>
      </c>
      <c r="O88" s="70">
        <f>(VLOOKUP(O87,'ODS Subs Data'!$A$206:$N$229,'ODS Subs Data'!$K$204,FALSE)/VLOOKUP(O87,'ODS Subs Data'!$A$206:$N$229,'ODS Subs Data'!$D$204,FALSE))*VLOOKUP(O87,'ODS Subs Data'!$A$206:$N$229,'ODS Subs Data'!$C$204,FALSE)</f>
        <v>73.37208357818885</v>
      </c>
      <c r="P88" s="403"/>
      <c r="Q88" s="70">
        <f>VLOOKUP(Q87,'ODS Subs Data'!$A$206:$I$229,'ODS Subs Data'!$B$204,FALSE)</f>
        <v>66133333.333333284</v>
      </c>
      <c r="R88" s="70">
        <f>VLOOKUP(R87,'ODS Subs Data'!$A$206:$I$229,'ODS Subs Data'!$B$204,FALSE)</f>
        <v>88133333.333333313</v>
      </c>
      <c r="S88" s="70">
        <f>VLOOKUP(S87,'ODS Subs Data'!$A$206:$I$229,'ODS Subs Data'!$B$204,FALSE)</f>
        <v>91066666.666666657</v>
      </c>
      <c r="T88" s="70">
        <f>VLOOKUP(T87,'ODS Subs Data'!$A$206:$I$229,'ODS Subs Data'!$B$204,FALSE)</f>
        <v>95466666.666666672</v>
      </c>
      <c r="U88" s="70">
        <f>VLOOKUP(U87,'ODS Subs Data'!$A$206:$I$229,'ODS Subs Data'!$B$204,FALSE)</f>
        <v>102800000</v>
      </c>
      <c r="V88" s="70">
        <f>VLOOKUP(V87,'ODS Subs Data'!$A$206:$I$229,'ODS Subs Data'!$B$204,FALSE)</f>
        <v>104024000</v>
      </c>
      <c r="W88" s="70">
        <f>VLOOKUP(W87,'ODS Subs Data'!$A$206:$I$229,'ODS Subs Data'!$B$204,FALSE)</f>
        <v>105248000</v>
      </c>
      <c r="X88" s="70">
        <f>VLOOKUP(X87,'ODS Subs Data'!$A$206:$I$229,'ODS Subs Data'!$B$204,FALSE)</f>
        <v>106472000</v>
      </c>
      <c r="Y88" s="70">
        <f>VLOOKUP(Y87,'ODS Subs Data'!$A$206:$I$229,'ODS Subs Data'!$B$204,FALSE)</f>
        <v>107696000</v>
      </c>
      <c r="Z88" s="70">
        <f>VLOOKUP(Z87,'ODS Subs Data'!$A$206:$I$229,'ODS Subs Data'!$B$204,FALSE)</f>
        <v>108920000</v>
      </c>
      <c r="AA88" s="70">
        <f>VLOOKUP(AA87,'ODS Subs Data'!$A$206:$I$229,'ODS Subs Data'!$B$204,FALSE)</f>
        <v>110144000</v>
      </c>
      <c r="AB88" s="70">
        <f>VLOOKUP(AB87,'ODS Subs Data'!$A$206:$I$229,'ODS Subs Data'!$B$204,FALSE)</f>
        <v>111368000</v>
      </c>
      <c r="AC88" s="227"/>
      <c r="AD88" s="48">
        <f>HLOOKUP(AD87,'ODS Subs Data'!$A$45:$AH$49,ROWS('ODS Subs Data'!$A$45:$A$48),FALSE)</f>
        <v>1.5331524000000001E-2</v>
      </c>
      <c r="AE88" s="48">
        <f>HLOOKUP(AE87,'ODS Subs Data'!$A$45:$AH$49,ROWS('ODS Subs Data'!$A$45:$A$48),FALSE)</f>
        <v>2.9636769795000002</v>
      </c>
      <c r="AF88" s="48">
        <f>HLOOKUP(AF87,'ODS Subs Data'!$A$45:$AH$49,ROWS('ODS Subs Data'!$A$45:$A$48),FALSE)</f>
        <v>4.9444058864999993</v>
      </c>
      <c r="AG88" s="48">
        <f>HLOOKUP(AG87,'ODS Subs Data'!$A$45:$AH$49,ROWS('ODS Subs Data'!$A$45:$A$48),FALSE)</f>
        <v>9.4590427961999985</v>
      </c>
      <c r="AH88" s="48">
        <f>HLOOKUP(AH87,'ODS Subs Data'!$A$45:$AH$49,ROWS('ODS Subs Data'!$A$45:$A$48),FALSE)</f>
        <v>22.076133818999999</v>
      </c>
      <c r="AI88" s="48">
        <f>HLOOKUP(AI87,'ODS Subs Data'!$A$45:$AH$49,ROWS('ODS Subs Data'!$A$45:$A$48),FALSE)</f>
        <v>25.363225943400003</v>
      </c>
      <c r="AJ88" s="48">
        <f>HLOOKUP(AJ87,'ODS Subs Data'!$A$45:$AH$49,ROWS('ODS Subs Data'!$A$45:$A$48),FALSE)</f>
        <v>28.835006181299995</v>
      </c>
      <c r="AK88" s="48">
        <f>HLOOKUP(AK87,'ODS Subs Data'!$A$45:$AH$49,ROWS('ODS Subs Data'!$A$45:$A$48),FALSE)</f>
        <v>32.43467263334</v>
      </c>
      <c r="AL88" s="48">
        <f>HLOOKUP(AL87,'ODS Subs Data'!$A$45:$AH$49,ROWS('ODS Subs Data'!$A$45:$A$48),FALSE)</f>
        <v>35.986680838900007</v>
      </c>
      <c r="AM88" s="48">
        <f>HLOOKUP(AM87,'ODS Subs Data'!$A$45:$AH$49,ROWS('ODS Subs Data'!$A$45:$A$48),FALSE)</f>
        <v>40.1213199269</v>
      </c>
      <c r="AN88" s="48">
        <f>HLOOKUP(AN87,'ODS Subs Data'!$A$45:$AH$49,ROWS('ODS Subs Data'!$A$45:$A$48),FALSE)</f>
        <v>48.790876858400004</v>
      </c>
      <c r="AO88" s="48">
        <f>HLOOKUP(AO87,'ODS Subs Data'!$A$45:$AH$49,ROWS('ODS Subs Data'!$A$45:$A$48),FALSE)</f>
        <v>54.039902339999998</v>
      </c>
      <c r="AP88" s="403"/>
      <c r="AQ88" s="228">
        <f t="shared" ref="AQ88:BB88" si="110">D88/Q88*AD88</f>
        <v>1.7960225185200246E-8</v>
      </c>
      <c r="AR88" s="228">
        <f t="shared" si="110"/>
        <v>1.8705257679745628E-6</v>
      </c>
      <c r="AS88" s="228">
        <f t="shared" si="110"/>
        <v>3.2643655728453995E-6</v>
      </c>
      <c r="AT88" s="228">
        <f t="shared" si="110"/>
        <v>6.5133951068628742E-6</v>
      </c>
      <c r="AU88" s="228">
        <f t="shared" si="110"/>
        <v>1.6668732146338097E-5</v>
      </c>
      <c r="AV88" s="228">
        <f t="shared" si="110"/>
        <v>1.8746710049695899E-5</v>
      </c>
      <c r="AW88" s="228">
        <f t="shared" si="110"/>
        <v>2.1134429812610909E-5</v>
      </c>
      <c r="AX88" s="228">
        <f t="shared" si="110"/>
        <v>2.3719518642398764E-5</v>
      </c>
      <c r="AY88" s="228">
        <f t="shared" si="110"/>
        <v>2.5402310031034806E-5</v>
      </c>
      <c r="AZ88" s="228">
        <f t="shared" si="110"/>
        <v>2.2514053202927708E-5</v>
      </c>
      <c r="BA88" s="228">
        <f t="shared" si="110"/>
        <v>3.0264651890320577E-5</v>
      </c>
      <c r="BB88" s="228">
        <f t="shared" si="110"/>
        <v>3.5602868248039324E-5</v>
      </c>
      <c r="BE88" s="67"/>
      <c r="BF88" s="403"/>
      <c r="BG88" s="229"/>
      <c r="BH88" s="403"/>
      <c r="BI88" s="229"/>
    </row>
    <row r="89" spans="1:62" s="42" customFormat="1">
      <c r="D89" s="72"/>
      <c r="E89" s="72"/>
      <c r="F89" s="72"/>
      <c r="G89" s="72"/>
      <c r="H89" s="72"/>
      <c r="I89" s="72"/>
      <c r="J89" s="72"/>
      <c r="K89" s="72"/>
      <c r="L89" s="72"/>
      <c r="M89" s="72"/>
      <c r="N89" s="72"/>
      <c r="O89" s="72"/>
      <c r="P89" s="403"/>
      <c r="Q89" s="230"/>
      <c r="R89" s="230"/>
      <c r="S89" s="230"/>
      <c r="T89" s="72"/>
      <c r="U89" s="72"/>
      <c r="V89" s="72"/>
      <c r="W89" s="72"/>
      <c r="X89" s="72"/>
      <c r="Y89" s="72"/>
      <c r="Z89" s="72"/>
      <c r="AA89" s="72"/>
      <c r="AB89" s="72"/>
      <c r="AC89" s="231"/>
      <c r="AD89" s="72"/>
      <c r="AE89" s="72"/>
      <c r="AF89" s="72"/>
      <c r="AG89" s="72"/>
      <c r="AH89" s="72"/>
      <c r="AI89" s="72"/>
      <c r="AJ89" s="72"/>
      <c r="AK89" s="72"/>
      <c r="AL89" s="72"/>
      <c r="AM89" s="72"/>
      <c r="AN89" s="72"/>
      <c r="AO89" s="72"/>
      <c r="AP89" s="403"/>
      <c r="AQ89" s="230"/>
      <c r="AR89" s="230"/>
      <c r="AS89" s="230"/>
      <c r="AT89" s="72"/>
      <c r="AU89" s="72"/>
      <c r="AV89" s="72"/>
      <c r="AW89" s="72"/>
      <c r="AX89" s="72"/>
      <c r="AY89" s="72"/>
      <c r="AZ89" s="72"/>
      <c r="BA89" s="72"/>
      <c r="BB89" s="72"/>
      <c r="BE89" s="67"/>
      <c r="BF89" s="403"/>
      <c r="BG89" s="229"/>
      <c r="BH89" s="403"/>
      <c r="BI89" s="229"/>
    </row>
    <row r="90" spans="1:62" s="42" customFormat="1" ht="13.35" customHeight="1">
      <c r="B90" s="129"/>
      <c r="D90" s="599" t="s">
        <v>165</v>
      </c>
      <c r="E90" s="599"/>
      <c r="F90" s="599"/>
      <c r="G90" s="599"/>
      <c r="H90" s="599"/>
      <c r="I90" s="599"/>
      <c r="J90" s="599"/>
      <c r="K90" s="599"/>
      <c r="L90" s="599"/>
      <c r="M90" s="599"/>
      <c r="N90" s="599"/>
      <c r="O90" s="599"/>
      <c r="P90" s="403" t="s">
        <v>155</v>
      </c>
      <c r="Q90" s="599" t="s">
        <v>152</v>
      </c>
      <c r="R90" s="599"/>
      <c r="S90" s="599"/>
      <c r="T90" s="599"/>
      <c r="U90" s="599"/>
      <c r="V90" s="599"/>
      <c r="W90" s="599"/>
      <c r="X90" s="599"/>
      <c r="Y90" s="599"/>
      <c r="Z90" s="599"/>
      <c r="AA90" s="599"/>
      <c r="AB90" s="599"/>
      <c r="AC90" s="44" t="s">
        <v>156</v>
      </c>
      <c r="AD90" s="599" t="s">
        <v>157</v>
      </c>
      <c r="AE90" s="599"/>
      <c r="AF90" s="599"/>
      <c r="AG90" s="599"/>
      <c r="AH90" s="599"/>
      <c r="AI90" s="599"/>
      <c r="AJ90" s="599"/>
      <c r="AK90" s="599"/>
      <c r="AL90" s="599"/>
      <c r="AM90" s="599"/>
      <c r="AN90" s="599"/>
      <c r="AO90" s="599"/>
      <c r="AP90" s="47" t="s">
        <v>158</v>
      </c>
      <c r="AQ90" s="599" t="s">
        <v>159</v>
      </c>
      <c r="AR90" s="599"/>
      <c r="AS90" s="599"/>
      <c r="AT90" s="599"/>
      <c r="AU90" s="599"/>
      <c r="AV90" s="599"/>
      <c r="AW90" s="599"/>
      <c r="AX90" s="599"/>
      <c r="AY90" s="599"/>
      <c r="AZ90" s="599"/>
      <c r="BA90" s="599"/>
      <c r="BB90" s="599"/>
      <c r="BE90" s="67"/>
      <c r="BF90" s="403"/>
      <c r="BG90" s="229"/>
      <c r="BH90" s="403"/>
      <c r="BI90" s="229"/>
    </row>
    <row r="91" spans="1:62" s="42" customFormat="1">
      <c r="B91" s="129"/>
      <c r="AD91" s="600" t="s">
        <v>161</v>
      </c>
      <c r="AE91" s="600"/>
      <c r="AF91" s="600"/>
      <c r="AG91" s="600"/>
      <c r="AH91" s="600"/>
      <c r="AI91" s="600"/>
      <c r="AJ91" s="600"/>
      <c r="AK91" s="600"/>
      <c r="AL91" s="600"/>
      <c r="AM91" s="600"/>
      <c r="AN91" s="600"/>
      <c r="AO91" s="600"/>
      <c r="AQ91" s="600" t="s">
        <v>161</v>
      </c>
      <c r="AR91" s="600"/>
      <c r="AS91" s="600"/>
      <c r="AT91" s="600"/>
      <c r="AU91" s="600"/>
      <c r="AV91" s="600"/>
      <c r="AW91" s="600"/>
      <c r="AX91" s="600"/>
      <c r="AY91" s="600"/>
      <c r="AZ91" s="600"/>
      <c r="BA91" s="600"/>
      <c r="BB91" s="600"/>
      <c r="BE91" s="67"/>
      <c r="BF91" s="403"/>
      <c r="BG91" s="229"/>
      <c r="BH91" s="403"/>
      <c r="BI91" s="229"/>
    </row>
    <row r="92" spans="1:62" s="42" customFormat="1">
      <c r="B92" s="134" t="s">
        <v>166</v>
      </c>
      <c r="D92" s="70">
        <f>INDEX('ODS Subs Data'!$K$206:$K$229,MATCH('ODS Subs'!D$83,'ODS Subs Data'!$A$206:$A$229,0))</f>
        <v>227.97857657843238</v>
      </c>
      <c r="E92" s="70">
        <f>INDEX('ODS Subs Data'!$K$206:$K$229,MATCH('ODS Subs'!E$83,'ODS Subs Data'!$A$206:$A$229,0))</f>
        <v>173.2167278435343</v>
      </c>
      <c r="F92" s="70">
        <f>INDEX('ODS Subs Data'!$K$206:$K$229,MATCH('ODS Subs'!F$83,'ODS Subs Data'!$A$206:$A$229,0))</f>
        <v>181.27380725675087</v>
      </c>
      <c r="G92" s="70">
        <f>INDEX('ODS Subs Data'!$K$206:$K$229,MATCH('ODS Subs'!G$83,'ODS Subs Data'!$A$206:$A$229,0))</f>
        <v>189.00044066161328</v>
      </c>
      <c r="H92" s="70">
        <f>INDEX('ODS Subs Data'!$K$206:$K$229,MATCH('ODS Subs'!H$83,'ODS Subs Data'!$A$206:$A$229,0))</f>
        <v>211.2086569818872</v>
      </c>
      <c r="I92" s="70">
        <f>INDEX('ODS Subs Data'!$K$206:$K$229,MATCH('ODS Subs'!I$83,'ODS Subs Data'!$A$206:$A$229,0))</f>
        <v>213.51467637473436</v>
      </c>
      <c r="J92" s="70">
        <f>INDEX('ODS Subs Data'!$K$206:$K$229,MATCH('ODS Subs'!J$83,'ODS Subs Data'!$A$206:$A$229,0))</f>
        <v>218.02447784744473</v>
      </c>
      <c r="K92" s="70">
        <f>INDEX('ODS Subs Data'!$K$206:$K$229,MATCH('ODS Subs'!K$83,'ODS Subs Data'!$A$206:$A$229,0))</f>
        <v>223.44078349527419</v>
      </c>
      <c r="L92" s="70">
        <f>INDEX('ODS Subs Data'!$K$206:$K$229,MATCH('ODS Subs'!L$83,'ODS Subs Data'!$A$206:$A$229,0))</f>
        <v>221.43011633993481</v>
      </c>
      <c r="M92" s="70">
        <f>INDEX('ODS Subs Data'!$K$206:$K$229,MATCH('ODS Subs'!M$83,'ODS Subs Data'!$A$206:$A$229,0))</f>
        <v>179.37195771886965</v>
      </c>
      <c r="N92" s="70">
        <f>INDEX('ODS Subs Data'!$K$206:$K$229,MATCH('ODS Subs'!N$83,'ODS Subs Data'!$A$206:$A$229,0))</f>
        <v>203.6226483585223</v>
      </c>
      <c r="O92" s="70">
        <f>INDEX('ODS Subs Data'!$K$206:$K$229,MATCH('ODS Subs'!O$83,'ODS Subs Data'!$A$206:$A$229,0))</f>
        <v>223.06364140738003</v>
      </c>
      <c r="P92" s="403"/>
      <c r="Q92" s="226">
        <f t="shared" ref="Q92:W96" si="111">Q73</f>
        <v>249622814</v>
      </c>
      <c r="R92" s="226">
        <f t="shared" ref="R92" si="112">R73</f>
        <v>295516599</v>
      </c>
      <c r="S92" s="226">
        <f t="shared" si="111"/>
        <v>301231207</v>
      </c>
      <c r="T92" s="226">
        <f t="shared" si="111"/>
        <v>309327143</v>
      </c>
      <c r="U92" s="226">
        <f t="shared" si="111"/>
        <v>320738994</v>
      </c>
      <c r="V92" s="226">
        <f t="shared" si="111"/>
        <v>323071755</v>
      </c>
      <c r="W92" s="226">
        <f t="shared" si="111"/>
        <v>325122128</v>
      </c>
      <c r="X92" s="226">
        <f t="shared" ref="X92:Y92" si="113">X73</f>
        <v>326838199</v>
      </c>
      <c r="Y92" s="226">
        <f t="shared" si="113"/>
        <v>328329953</v>
      </c>
      <c r="Z92" s="226">
        <f t="shared" ref="Z92:AA92" si="114">Z73</f>
        <v>331511512</v>
      </c>
      <c r="AA92" s="226">
        <f t="shared" si="114"/>
        <v>332031554</v>
      </c>
      <c r="AB92" s="226">
        <f t="shared" ref="AB92" si="115">AB73</f>
        <v>333287557</v>
      </c>
      <c r="AC92" s="227"/>
      <c r="AD92" s="70">
        <f>VLOOKUP($B92,'ODS Subs Data'!$A$46:$AH$54,'ODS Subs Data'!$B$43,FALSE)</f>
        <v>3.5485200000000001E-4</v>
      </c>
      <c r="AE92" s="70">
        <f>VLOOKUP($B92,'ODS Subs Data'!$A$46:$AH$54,'ODS Subs Data'!$Q$43,FALSE)</f>
        <v>18.4710840109</v>
      </c>
      <c r="AF92" s="70">
        <f>VLOOKUP($B92,'ODS Subs Data'!$A$46:$AH$54,'ODS Subs Data'!$S$43,FALSE)</f>
        <v>26.201877207300001</v>
      </c>
      <c r="AG92" s="70">
        <f>VLOOKUP($B92,'ODS Subs Data'!$A$46:$AH$54,'ODS Subs Data'!$V$43,FALSE)</f>
        <v>42.267351500799997</v>
      </c>
      <c r="AH92" s="70">
        <f>VLOOKUP($B92,'ODS Subs Data'!$A$46:$AH$54,'ODS Subs Data'!$AA$43,FALSE)</f>
        <v>58.965182780299997</v>
      </c>
      <c r="AI92" s="70">
        <f>VLOOKUP($B92,'ODS Subs Data'!$A$46:$AH$54,'ODS Subs Data'!$AB$43,FALSE)</f>
        <v>60.648990855000008</v>
      </c>
      <c r="AJ92" s="70">
        <f>VLOOKUP($B92,'ODS Subs Data'!$A$46:$AH$54,'ODS Subs Data'!$AC$43,FALSE)</f>
        <v>60.933447877739994</v>
      </c>
      <c r="AK92" s="70">
        <f>VLOOKUP($B92,'ODS Subs Data'!$A$46:$AH$54,'ODS Subs Data'!$AD$43,FALSE)</f>
        <v>61.568224540540008</v>
      </c>
      <c r="AL92" s="70">
        <f>VLOOKUP($B92,'ODS Subs Data'!$A$46:$AH$54,'ODS Subs Data'!$AE$43,FALSE)</f>
        <v>63.839829161980006</v>
      </c>
      <c r="AM92" s="70">
        <f>VLOOKUP($B92,'ODS Subs Data'!$A$46:$AH$54,'ODS Subs Data'!$AF$43,FALSE)</f>
        <v>65.861211760999993</v>
      </c>
      <c r="AN92" s="70">
        <f>VLOOKUP($B92,'ODS Subs Data'!$A$46:$AH$54,'ODS Subs Data'!$AG$43,FALSE)</f>
        <v>67.901135420939994</v>
      </c>
      <c r="AO92" s="70">
        <f>VLOOKUP($B92,'ODS Subs Data'!$A$46:$AH$54,'ODS Subs Data'!$AH$43,FALSE)</f>
        <v>69.80410859541999</v>
      </c>
      <c r="AP92" s="403"/>
      <c r="AQ92" s="228">
        <f t="shared" ref="AQ92:BB96" si="116">D92/Q92*AD92</f>
        <v>3.2408357457267465E-10</v>
      </c>
      <c r="AR92" s="228">
        <f t="shared" si="116"/>
        <v>1.0826805475286087E-5</v>
      </c>
      <c r="AS92" s="228">
        <f t="shared" si="116"/>
        <v>1.576766924630473E-5</v>
      </c>
      <c r="AT92" s="228">
        <f t="shared" si="116"/>
        <v>2.5825564422746118E-5</v>
      </c>
      <c r="AU92" s="228">
        <f t="shared" si="116"/>
        <v>3.8828945955098502E-5</v>
      </c>
      <c r="AV92" s="228">
        <f t="shared" si="116"/>
        <v>4.0082271057275034E-5</v>
      </c>
      <c r="AW92" s="228">
        <f t="shared" si="116"/>
        <v>4.0861516374513733E-5</v>
      </c>
      <c r="AX92" s="228">
        <f t="shared" si="116"/>
        <v>4.209071146470008E-5</v>
      </c>
      <c r="AY92" s="228">
        <f t="shared" si="116"/>
        <v>4.3054435543560641E-5</v>
      </c>
      <c r="AZ92" s="228">
        <f t="shared" si="116"/>
        <v>3.563572926935826E-5</v>
      </c>
      <c r="BA92" s="228">
        <f t="shared" si="116"/>
        <v>4.1641250219738053E-5</v>
      </c>
      <c r="BB92" s="228">
        <f t="shared" si="116"/>
        <v>4.6718691776694741E-5</v>
      </c>
      <c r="BE92" s="414"/>
      <c r="BF92" s="403"/>
      <c r="BG92" s="229"/>
      <c r="BH92" s="403"/>
      <c r="BI92" s="229"/>
    </row>
    <row r="93" spans="1:62" s="42" customFormat="1">
      <c r="B93" s="219" t="s">
        <v>167</v>
      </c>
      <c r="D93" s="70">
        <f>D92</f>
        <v>227.97857657843238</v>
      </c>
      <c r="E93" s="70">
        <f>E92</f>
        <v>173.2167278435343</v>
      </c>
      <c r="F93" s="70">
        <f t="shared" ref="F93" si="117">F92</f>
        <v>181.27380725675087</v>
      </c>
      <c r="G93" s="70">
        <f t="shared" ref="G93" si="118">G92</f>
        <v>189.00044066161328</v>
      </c>
      <c r="H93" s="70">
        <f t="shared" ref="H93:L93" si="119">H92</f>
        <v>211.2086569818872</v>
      </c>
      <c r="I93" s="70">
        <f t="shared" si="119"/>
        <v>213.51467637473436</v>
      </c>
      <c r="J93" s="70">
        <f t="shared" si="119"/>
        <v>218.02447784744473</v>
      </c>
      <c r="K93" s="70">
        <f t="shared" si="119"/>
        <v>223.44078349527419</v>
      </c>
      <c r="L93" s="70">
        <f t="shared" si="119"/>
        <v>221.43011633993481</v>
      </c>
      <c r="M93" s="70">
        <f t="shared" ref="M93:N93" si="120">M92</f>
        <v>179.37195771886965</v>
      </c>
      <c r="N93" s="70">
        <f t="shared" si="120"/>
        <v>203.6226483585223</v>
      </c>
      <c r="O93" s="70">
        <f t="shared" ref="O93" si="121">O92</f>
        <v>223.06364140738003</v>
      </c>
      <c r="P93" s="403"/>
      <c r="Q93" s="226">
        <f t="shared" si="111"/>
        <v>249622814</v>
      </c>
      <c r="R93" s="226">
        <f t="shared" ref="R93" si="122">R74</f>
        <v>295516599</v>
      </c>
      <c r="S93" s="226">
        <f t="shared" si="111"/>
        <v>301231207</v>
      </c>
      <c r="T93" s="226">
        <f t="shared" si="111"/>
        <v>309327143</v>
      </c>
      <c r="U93" s="226">
        <f t="shared" si="111"/>
        <v>320738994</v>
      </c>
      <c r="V93" s="226">
        <f t="shared" si="111"/>
        <v>323071755</v>
      </c>
      <c r="W93" s="226">
        <f t="shared" si="111"/>
        <v>325122128</v>
      </c>
      <c r="X93" s="226">
        <f t="shared" ref="X93:Y93" si="123">X74</f>
        <v>326838199</v>
      </c>
      <c r="Y93" s="226">
        <f t="shared" si="123"/>
        <v>328329953</v>
      </c>
      <c r="Z93" s="226">
        <f t="shared" ref="Z93:AA93" si="124">Z74</f>
        <v>331511512</v>
      </c>
      <c r="AA93" s="226">
        <f t="shared" si="124"/>
        <v>332031554</v>
      </c>
      <c r="AB93" s="226">
        <f t="shared" ref="AB93" si="125">AB74</f>
        <v>333287557</v>
      </c>
      <c r="AC93" s="227"/>
      <c r="AD93" s="70">
        <f>VLOOKUP($B93,'ODS Subs Data'!$A$46:$AH$54,'ODS Subs Data'!$B$43,FALSE)</f>
        <v>0.23051244000000001</v>
      </c>
      <c r="AE93" s="70">
        <f>VLOOKUP($B93,'ODS Subs Data'!$A$46:$AH$54,'ODS Subs Data'!$Q$43,FALSE)</f>
        <v>10.175936419999999</v>
      </c>
      <c r="AF93" s="70">
        <f>VLOOKUP($B93,'ODS Subs Data'!$A$46:$AH$54,'ODS Subs Data'!$S$43,FALSE)</f>
        <v>11.7735906</v>
      </c>
      <c r="AG93" s="70">
        <f>VLOOKUP($B93,'ODS Subs Data'!$A$46:$AH$54,'ODS Subs Data'!$V$43,FALSE)</f>
        <v>15.597268</v>
      </c>
      <c r="AH93" s="70">
        <f>VLOOKUP($B93,'ODS Subs Data'!$A$46:$AH$54,'ODS Subs Data'!$AA$43,FALSE)</f>
        <v>19.694944899999996</v>
      </c>
      <c r="AI93" s="70">
        <f>VLOOKUP($B93,'ODS Subs Data'!$A$46:$AH$54,'ODS Subs Data'!$AB$43,FALSE)</f>
        <v>18.665525850000002</v>
      </c>
      <c r="AJ93" s="70">
        <f>VLOOKUP($B93,'ODS Subs Data'!$A$46:$AH$54,'ODS Subs Data'!$AC$43,FALSE)</f>
        <v>17.711663850000001</v>
      </c>
      <c r="AK93" s="70">
        <f>VLOOKUP($B93,'ODS Subs Data'!$A$46:$AH$54,'ODS Subs Data'!$AD$43,FALSE)</f>
        <v>16.695425880000002</v>
      </c>
      <c r="AL93" s="70">
        <f>VLOOKUP($B93,'ODS Subs Data'!$A$46:$AH$54,'ODS Subs Data'!$AE$43,FALSE)</f>
        <v>17.014575400000002</v>
      </c>
      <c r="AM93" s="70">
        <f>VLOOKUP($B93,'ODS Subs Data'!$A$46:$AH$54,'ODS Subs Data'!$AF$43,FALSE)</f>
        <v>17.339892519999999</v>
      </c>
      <c r="AN93" s="70">
        <f>VLOOKUP($B93,'ODS Subs Data'!$A$46:$AH$54,'ODS Subs Data'!$AG$43,FALSE)</f>
        <v>17.671530189999999</v>
      </c>
      <c r="AO93" s="70">
        <f>VLOOKUP($B93,'ODS Subs Data'!$A$46:$AH$54,'ODS Subs Data'!$AH$43,FALSE)</f>
        <v>17.037062899999999</v>
      </c>
      <c r="AP93" s="403"/>
      <c r="AQ93" s="228">
        <f t="shared" si="116"/>
        <v>2.1052522048253693E-7</v>
      </c>
      <c r="AR93" s="228">
        <f t="shared" si="116"/>
        <v>5.9646138842314183E-6</v>
      </c>
      <c r="AS93" s="228">
        <f t="shared" si="116"/>
        <v>7.0850680259840876E-6</v>
      </c>
      <c r="AT93" s="228">
        <f t="shared" si="116"/>
        <v>9.530009221070134E-6</v>
      </c>
      <c r="AU93" s="228">
        <f t="shared" si="116"/>
        <v>1.2969245833767464E-5</v>
      </c>
      <c r="AV93" s="228">
        <f t="shared" si="116"/>
        <v>1.2335846911863245E-5</v>
      </c>
      <c r="AW93" s="228">
        <f t="shared" si="116"/>
        <v>1.1877309878784113E-5</v>
      </c>
      <c r="AX93" s="228">
        <f t="shared" si="116"/>
        <v>1.1413718013464142E-5</v>
      </c>
      <c r="AY93" s="228">
        <f t="shared" si="116"/>
        <v>1.1474857459308908E-5</v>
      </c>
      <c r="AZ93" s="228">
        <f t="shared" si="116"/>
        <v>9.3821492025507212E-6</v>
      </c>
      <c r="BA93" s="228">
        <f t="shared" si="116"/>
        <v>1.0837294632049882E-5</v>
      </c>
      <c r="BB93" s="228">
        <f t="shared" si="116"/>
        <v>1.1402613777629203E-5</v>
      </c>
    </row>
    <row r="94" spans="1:62" s="42" customFormat="1">
      <c r="B94" s="134" t="s">
        <v>168</v>
      </c>
      <c r="D94" s="70">
        <f>D92</f>
        <v>227.97857657843238</v>
      </c>
      <c r="E94" s="70">
        <f>E92</f>
        <v>173.2167278435343</v>
      </c>
      <c r="F94" s="70">
        <f t="shared" ref="F94:H94" si="126">F92</f>
        <v>181.27380725675087</v>
      </c>
      <c r="G94" s="70">
        <f t="shared" si="126"/>
        <v>189.00044066161328</v>
      </c>
      <c r="H94" s="70">
        <f t="shared" si="126"/>
        <v>211.2086569818872</v>
      </c>
      <c r="I94" s="70">
        <f t="shared" ref="I94:L94" si="127">I92</f>
        <v>213.51467637473436</v>
      </c>
      <c r="J94" s="70">
        <f t="shared" si="127"/>
        <v>218.02447784744473</v>
      </c>
      <c r="K94" s="70">
        <f t="shared" si="127"/>
        <v>223.44078349527419</v>
      </c>
      <c r="L94" s="70">
        <f t="shared" si="127"/>
        <v>221.43011633993481</v>
      </c>
      <c r="M94" s="70">
        <f t="shared" ref="M94:N94" si="128">M92</f>
        <v>179.37195771886965</v>
      </c>
      <c r="N94" s="70">
        <f t="shared" si="128"/>
        <v>203.6226483585223</v>
      </c>
      <c r="O94" s="70">
        <f t="shared" ref="O94" si="129">O92</f>
        <v>223.06364140738003</v>
      </c>
      <c r="P94" s="403"/>
      <c r="Q94" s="226">
        <f t="shared" si="111"/>
        <v>249622814</v>
      </c>
      <c r="R94" s="226">
        <f t="shared" ref="R94" si="130">R75</f>
        <v>295516599</v>
      </c>
      <c r="S94" s="226">
        <f t="shared" si="111"/>
        <v>301231207</v>
      </c>
      <c r="T94" s="226">
        <f t="shared" si="111"/>
        <v>309327143</v>
      </c>
      <c r="U94" s="226">
        <f t="shared" si="111"/>
        <v>320738994</v>
      </c>
      <c r="V94" s="226">
        <f t="shared" si="111"/>
        <v>323071755</v>
      </c>
      <c r="W94" s="226">
        <f t="shared" si="111"/>
        <v>325122128</v>
      </c>
      <c r="X94" s="226">
        <f t="shared" ref="X94:Y94" si="131">X75</f>
        <v>326838199</v>
      </c>
      <c r="Y94" s="226">
        <f t="shared" si="131"/>
        <v>328329953</v>
      </c>
      <c r="Z94" s="226">
        <f t="shared" ref="Z94:AA94" si="132">Z75</f>
        <v>331511512</v>
      </c>
      <c r="AA94" s="226">
        <f t="shared" si="132"/>
        <v>332031554</v>
      </c>
      <c r="AB94" s="226">
        <f t="shared" ref="AB94" si="133">AB75</f>
        <v>333287557</v>
      </c>
      <c r="AC94" s="227"/>
      <c r="AD94" s="70">
        <f>VLOOKUP($B94,'ODS Subs Data'!$A$46:$AH$54,'ODS Subs Data'!$B$43,FALSE)</f>
        <v>6.6005399999999994E-3</v>
      </c>
      <c r="AE94" s="70">
        <f>VLOOKUP($B94,'ODS Subs Data'!$A$46:$AH$54,'ODS Subs Data'!$Q$43,FALSE)</f>
        <v>3.4888586672000002</v>
      </c>
      <c r="AF94" s="70">
        <f>VLOOKUP($B94,'ODS Subs Data'!$A$46:$AH$54,'ODS Subs Data'!$S$43,FALSE)</f>
        <v>4.2187536218000004</v>
      </c>
      <c r="AG94" s="70">
        <f>VLOOKUP($B94,'ODS Subs Data'!$A$46:$AH$54,'ODS Subs Data'!$V$43,FALSE)</f>
        <v>7.8990071527999977</v>
      </c>
      <c r="AH94" s="70">
        <f>VLOOKUP($B94,'ODS Subs Data'!$A$46:$AH$54,'ODS Subs Data'!$AA$43,FALSE)</f>
        <v>12.148485258799999</v>
      </c>
      <c r="AI94" s="70">
        <f>VLOOKUP($B94,'ODS Subs Data'!$A$46:$AH$54,'ODS Subs Data'!$AB$43,FALSE)</f>
        <v>13.061289361200002</v>
      </c>
      <c r="AJ94" s="70">
        <f>VLOOKUP($B94,'ODS Subs Data'!$A$46:$AH$54,'ODS Subs Data'!$AC$43,FALSE)</f>
        <v>13.815900991199996</v>
      </c>
      <c r="AK94" s="70">
        <f>VLOOKUP($B94,'ODS Subs Data'!$A$46:$AH$54,'ODS Subs Data'!$AD$43,FALSE)</f>
        <v>14.173388369400003</v>
      </c>
      <c r="AL94" s="70">
        <f>VLOOKUP($B94,'ODS Subs Data'!$A$46:$AH$54,'ODS Subs Data'!$AE$43,FALSE)</f>
        <v>14.1360476226</v>
      </c>
      <c r="AM94" s="70">
        <f>VLOOKUP($B94,'ODS Subs Data'!$A$46:$AH$54,'ODS Subs Data'!$AF$43,FALSE)</f>
        <v>13.699476005200001</v>
      </c>
      <c r="AN94" s="70">
        <f>VLOOKUP($B94,'ODS Subs Data'!$A$46:$AH$54,'ODS Subs Data'!$AG$43,FALSE)</f>
        <v>10.779920445200004</v>
      </c>
      <c r="AO94" s="70">
        <f>VLOOKUP($B94,'ODS Subs Data'!$A$46:$AH$54,'ODS Subs Data'!$AH$43,FALSE)</f>
        <v>11.687077275200004</v>
      </c>
      <c r="AP94" s="403"/>
      <c r="AQ94" s="228">
        <f t="shared" si="116"/>
        <v>6.0282218990168345E-9</v>
      </c>
      <c r="AR94" s="228">
        <f t="shared" si="116"/>
        <v>2.0449906512389789E-6</v>
      </c>
      <c r="AS94" s="228">
        <f t="shared" si="116"/>
        <v>2.53874603006153E-6</v>
      </c>
      <c r="AT94" s="228">
        <f t="shared" si="116"/>
        <v>4.8263331118938851E-6</v>
      </c>
      <c r="AU94" s="228">
        <f t="shared" si="116"/>
        <v>7.9998544108278966E-6</v>
      </c>
      <c r="AV94" s="228">
        <f t="shared" si="116"/>
        <v>8.6320668019814334E-6</v>
      </c>
      <c r="AW94" s="228">
        <f t="shared" si="116"/>
        <v>9.2648403174771703E-6</v>
      </c>
      <c r="AX94" s="228">
        <f t="shared" si="116"/>
        <v>9.6895436694091661E-6</v>
      </c>
      <c r="AY94" s="228">
        <f t="shared" si="116"/>
        <v>9.5335397853852722E-6</v>
      </c>
      <c r="AZ94" s="228">
        <f t="shared" si="116"/>
        <v>7.4124177949374015E-6</v>
      </c>
      <c r="BA94" s="228">
        <f t="shared" si="116"/>
        <v>6.6109257499840081E-6</v>
      </c>
      <c r="BB94" s="228">
        <f t="shared" si="116"/>
        <v>7.8219602252224315E-6</v>
      </c>
      <c r="BE94" s="67"/>
      <c r="BF94" s="403"/>
      <c r="BG94" s="229"/>
      <c r="BH94" s="403"/>
      <c r="BI94" s="229"/>
    </row>
    <row r="95" spans="1:62" s="42" customFormat="1">
      <c r="B95" s="134" t="s">
        <v>169</v>
      </c>
      <c r="D95" s="70">
        <f>D92</f>
        <v>227.97857657843238</v>
      </c>
      <c r="E95" s="70">
        <f>E92</f>
        <v>173.2167278435343</v>
      </c>
      <c r="F95" s="70">
        <f t="shared" ref="F95:H95" si="134">F92</f>
        <v>181.27380725675087</v>
      </c>
      <c r="G95" s="70">
        <f t="shared" si="134"/>
        <v>189.00044066161328</v>
      </c>
      <c r="H95" s="70">
        <f t="shared" si="134"/>
        <v>211.2086569818872</v>
      </c>
      <c r="I95" s="70">
        <f t="shared" ref="I95:L95" si="135">I92</f>
        <v>213.51467637473436</v>
      </c>
      <c r="J95" s="70">
        <f t="shared" si="135"/>
        <v>218.02447784744473</v>
      </c>
      <c r="K95" s="70">
        <f t="shared" si="135"/>
        <v>223.44078349527419</v>
      </c>
      <c r="L95" s="70">
        <f t="shared" si="135"/>
        <v>221.43011633993481</v>
      </c>
      <c r="M95" s="70">
        <f t="shared" ref="M95:N95" si="136">M92</f>
        <v>179.37195771886965</v>
      </c>
      <c r="N95" s="70">
        <f t="shared" si="136"/>
        <v>203.6226483585223</v>
      </c>
      <c r="O95" s="70">
        <f t="shared" ref="O95" si="137">O92</f>
        <v>223.06364140738003</v>
      </c>
      <c r="P95" s="403"/>
      <c r="Q95" s="226">
        <f t="shared" si="111"/>
        <v>249622814</v>
      </c>
      <c r="R95" s="226">
        <f t="shared" ref="R95" si="138">R76</f>
        <v>295516599</v>
      </c>
      <c r="S95" s="226">
        <f t="shared" si="111"/>
        <v>301231207</v>
      </c>
      <c r="T95" s="226">
        <f t="shared" si="111"/>
        <v>309327143</v>
      </c>
      <c r="U95" s="226">
        <f t="shared" si="111"/>
        <v>320738994</v>
      </c>
      <c r="V95" s="226">
        <f t="shared" si="111"/>
        <v>323071755</v>
      </c>
      <c r="W95" s="226">
        <f t="shared" si="111"/>
        <v>325122128</v>
      </c>
      <c r="X95" s="226">
        <f t="shared" ref="X95:Y95" si="139">X76</f>
        <v>326838199</v>
      </c>
      <c r="Y95" s="226">
        <f t="shared" si="139"/>
        <v>328329953</v>
      </c>
      <c r="Z95" s="226">
        <f t="shared" ref="Z95:AA95" si="140">Z76</f>
        <v>331511512</v>
      </c>
      <c r="AA95" s="226">
        <f t="shared" si="140"/>
        <v>332031554</v>
      </c>
      <c r="AB95" s="226">
        <f t="shared" ref="AB95" si="141">AB76</f>
        <v>333287557</v>
      </c>
      <c r="AC95" s="227"/>
      <c r="AD95" s="70">
        <f>VLOOKUP($B95,'ODS Subs Data'!$A$46:$AH$54,'ODS Subs Data'!$B$43,FALSE)</f>
        <v>0</v>
      </c>
      <c r="AE95" s="70">
        <f>VLOOKUP($B95,'ODS Subs Data'!$A$46:$AH$54,'ODS Subs Data'!$Q$43,FALSE)</f>
        <v>1.6416810000000002</v>
      </c>
      <c r="AF95" s="70">
        <f>VLOOKUP($B95,'ODS Subs Data'!$A$46:$AH$54,'ODS Subs Data'!$S$43,FALSE)</f>
        <v>1.6456378</v>
      </c>
      <c r="AG95" s="70">
        <f>VLOOKUP($B95,'ODS Subs Data'!$A$46:$AH$54,'ODS Subs Data'!$V$43,FALSE)</f>
        <v>1.6802280000000001</v>
      </c>
      <c r="AH95" s="70">
        <f>VLOOKUP($B95,'ODS Subs Data'!$A$46:$AH$54,'ODS Subs Data'!$AA$43,FALSE)</f>
        <v>1.8550949999999999</v>
      </c>
      <c r="AI95" s="70">
        <f>VLOOKUP($B95,'ODS Subs Data'!$A$46:$AH$54,'ODS Subs Data'!$AB$43,FALSE)</f>
        <v>1.8922034999999999</v>
      </c>
      <c r="AJ95" s="70">
        <f>VLOOKUP($B95,'ODS Subs Data'!$A$46:$AH$54,'ODS Subs Data'!$AC$43,FALSE)</f>
        <v>1.9300545</v>
      </c>
      <c r="AK95" s="70">
        <f>VLOOKUP($B95,'ODS Subs Data'!$A$46:$AH$54,'ODS Subs Data'!$AD$43,FALSE)</f>
        <v>1.968648</v>
      </c>
      <c r="AL95" s="70">
        <f>VLOOKUP($B95,'ODS Subs Data'!$A$46:$AH$54,'ODS Subs Data'!$AE$43,FALSE)</f>
        <v>2.0080334999999998</v>
      </c>
      <c r="AM95" s="70">
        <f>VLOOKUP($B95,'ODS Subs Data'!$A$46:$AH$54,'ODS Subs Data'!$AF$43,FALSE)</f>
        <v>2.0481945000000001</v>
      </c>
      <c r="AN95" s="70">
        <f>VLOOKUP($B95,'ODS Subs Data'!$A$46:$AH$54,'ODS Subs Data'!$AG$43,FALSE)</f>
        <v>2.0891640000000002</v>
      </c>
      <c r="AO95" s="70">
        <f>VLOOKUP($B95,'ODS Subs Data'!$A$46:$AH$54,'ODS Subs Data'!$AH$43,FALSE)</f>
        <v>2.1309420000000001</v>
      </c>
      <c r="AP95" s="403"/>
      <c r="AQ95" s="228">
        <f t="shared" si="116"/>
        <v>0</v>
      </c>
      <c r="AR95" s="228">
        <f t="shared" si="116"/>
        <v>9.6226950345655954E-7</v>
      </c>
      <c r="AS95" s="228">
        <f t="shared" si="116"/>
        <v>9.9030585955067925E-7</v>
      </c>
      <c r="AT95" s="228">
        <f t="shared" si="116"/>
        <v>1.0266277615733876E-6</v>
      </c>
      <c r="AU95" s="228">
        <f t="shared" si="116"/>
        <v>1.2215917953643454E-6</v>
      </c>
      <c r="AV95" s="228">
        <f t="shared" si="116"/>
        <v>1.2505371072678256E-6</v>
      </c>
      <c r="AW95" s="228">
        <f t="shared" si="116"/>
        <v>1.2942801745552397E-6</v>
      </c>
      <c r="AX95" s="228">
        <f t="shared" si="116"/>
        <v>1.3458532475465163E-6</v>
      </c>
      <c r="AY95" s="228">
        <f t="shared" si="116"/>
        <v>1.3542446781256245E-6</v>
      </c>
      <c r="AZ95" s="228">
        <f t="shared" si="116"/>
        <v>1.1082229242585741E-6</v>
      </c>
      <c r="BA95" s="228">
        <f t="shared" si="116"/>
        <v>1.281206865463407E-6</v>
      </c>
      <c r="BB95" s="228">
        <f t="shared" si="116"/>
        <v>1.42620290546258E-6</v>
      </c>
      <c r="BE95" s="151"/>
      <c r="BG95" s="151"/>
      <c r="BI95" s="151"/>
    </row>
    <row r="96" spans="1:62" s="42" customFormat="1">
      <c r="B96" s="134" t="s">
        <v>170</v>
      </c>
      <c r="D96" s="70">
        <f>D92</f>
        <v>227.97857657843238</v>
      </c>
      <c r="E96" s="70">
        <f>E92</f>
        <v>173.2167278435343</v>
      </c>
      <c r="F96" s="70">
        <f t="shared" ref="F96:H96" si="142">F92</f>
        <v>181.27380725675087</v>
      </c>
      <c r="G96" s="70">
        <f t="shared" si="142"/>
        <v>189.00044066161328</v>
      </c>
      <c r="H96" s="70">
        <f t="shared" si="142"/>
        <v>211.2086569818872</v>
      </c>
      <c r="I96" s="70">
        <f t="shared" ref="I96:L96" si="143">I92</f>
        <v>213.51467637473436</v>
      </c>
      <c r="J96" s="70">
        <f t="shared" si="143"/>
        <v>218.02447784744473</v>
      </c>
      <c r="K96" s="70">
        <f t="shared" si="143"/>
        <v>223.44078349527419</v>
      </c>
      <c r="L96" s="70">
        <f t="shared" si="143"/>
        <v>221.43011633993481</v>
      </c>
      <c r="M96" s="70">
        <f t="shared" ref="M96:N96" si="144">M92</f>
        <v>179.37195771886965</v>
      </c>
      <c r="N96" s="70">
        <f t="shared" si="144"/>
        <v>203.6226483585223</v>
      </c>
      <c r="O96" s="70">
        <f t="shared" ref="O96" si="145">O92</f>
        <v>223.06364140738003</v>
      </c>
      <c r="P96" s="403"/>
      <c r="Q96" s="226">
        <f t="shared" si="111"/>
        <v>249622814</v>
      </c>
      <c r="R96" s="226">
        <f t="shared" ref="R96" si="146">R77</f>
        <v>295516599</v>
      </c>
      <c r="S96" s="226">
        <f t="shared" si="111"/>
        <v>301231207</v>
      </c>
      <c r="T96" s="226">
        <f t="shared" si="111"/>
        <v>309327143</v>
      </c>
      <c r="U96" s="226">
        <f t="shared" si="111"/>
        <v>320738994</v>
      </c>
      <c r="V96" s="226">
        <f t="shared" si="111"/>
        <v>323071755</v>
      </c>
      <c r="W96" s="226">
        <f t="shared" si="111"/>
        <v>325122128</v>
      </c>
      <c r="X96" s="226">
        <f t="shared" ref="X96:Y96" si="147">X77</f>
        <v>326838199</v>
      </c>
      <c r="Y96" s="226">
        <f t="shared" si="147"/>
        <v>328329953</v>
      </c>
      <c r="Z96" s="226">
        <f t="shared" ref="Z96:AA96" si="148">Z77</f>
        <v>331511512</v>
      </c>
      <c r="AA96" s="226">
        <f t="shared" si="148"/>
        <v>332031554</v>
      </c>
      <c r="AB96" s="226">
        <f t="shared" ref="AB96" si="149">AB77</f>
        <v>333287557</v>
      </c>
      <c r="AC96" s="227"/>
      <c r="AD96" s="70">
        <f>VLOOKUP($B96,'ODS Subs Data'!$A$46:$AH$54,'ODS Subs Data'!$B$43,FALSE)</f>
        <v>0</v>
      </c>
      <c r="AE96" s="70">
        <f>VLOOKUP($B96,'ODS Subs Data'!$A$46:$AH$54,'ODS Subs Data'!$Q$43,FALSE)</f>
        <v>1.2058041080000002</v>
      </c>
      <c r="AF96" s="70">
        <f>VLOOKUP($B96,'ODS Subs Data'!$A$46:$AH$54,'ODS Subs Data'!$S$43,FALSE)</f>
        <v>1.3957860959999999</v>
      </c>
      <c r="AG96" s="70">
        <f>VLOOKUP($B96,'ODS Subs Data'!$A$46:$AH$54,'ODS Subs Data'!$V$43,FALSE)</f>
        <v>1.6717140079999999</v>
      </c>
      <c r="AH96" s="70">
        <f>VLOOKUP($B96,'ODS Subs Data'!$A$46:$AH$54,'ODS Subs Data'!$AA$43,FALSE)</f>
        <v>2.1273369799999995</v>
      </c>
      <c r="AI96" s="70">
        <f>VLOOKUP($B96,'ODS Subs Data'!$A$46:$AH$54,'ODS Subs Data'!$AB$43,FALSE)</f>
        <v>2.2160628099999999</v>
      </c>
      <c r="AJ96" s="70">
        <f>VLOOKUP($B96,'ODS Subs Data'!$A$46:$AH$54,'ODS Subs Data'!$AC$43,FALSE)</f>
        <v>2.30331245</v>
      </c>
      <c r="AK96" s="70">
        <f>VLOOKUP($B96,'ODS Subs Data'!$A$46:$AH$54,'ODS Subs Data'!$AD$43,FALSE)</f>
        <v>2.3889430579999997</v>
      </c>
      <c r="AL96" s="70">
        <f>VLOOKUP($B96,'ODS Subs Data'!$A$46:$AH$54,'ODS Subs Data'!$AE$43,FALSE)</f>
        <v>2.4728295379999996</v>
      </c>
      <c r="AM96" s="70">
        <f>VLOOKUP($B96,'ODS Subs Data'!$A$46:$AH$54,'ODS Subs Data'!$AF$43,FALSE)</f>
        <v>2.52815089</v>
      </c>
      <c r="AN96" s="70">
        <f>VLOOKUP($B96,'ODS Subs Data'!$A$46:$AH$54,'ODS Subs Data'!$AG$43,FALSE)</f>
        <v>2.5844474119999998</v>
      </c>
      <c r="AO96" s="70">
        <f>VLOOKUP($B96,'ODS Subs Data'!$A$46:$AH$54,'ODS Subs Data'!$AH$43,FALSE)</f>
        <v>2.6420306999999998</v>
      </c>
      <c r="AP96" s="403"/>
      <c r="AQ96" s="228">
        <f t="shared" si="116"/>
        <v>0</v>
      </c>
      <c r="AR96" s="228">
        <f t="shared" si="116"/>
        <v>7.0678074502357026E-7</v>
      </c>
      <c r="AS96" s="228">
        <f t="shared" si="116"/>
        <v>8.3995102053937184E-7</v>
      </c>
      <c r="AT96" s="228">
        <f t="shared" si="116"/>
        <v>1.0214256696257389E-6</v>
      </c>
      <c r="AU96" s="228">
        <f t="shared" si="116"/>
        <v>1.4008648617688926E-6</v>
      </c>
      <c r="AV96" s="228">
        <f t="shared" si="116"/>
        <v>1.4645722703404834E-6</v>
      </c>
      <c r="AW96" s="228">
        <f t="shared" si="116"/>
        <v>1.5445841761676973E-6</v>
      </c>
      <c r="AX96" s="228">
        <f t="shared" si="116"/>
        <v>1.633185197563508E-6</v>
      </c>
      <c r="AY96" s="228">
        <f t="shared" si="116"/>
        <v>1.667709349345191E-6</v>
      </c>
      <c r="AZ96" s="228">
        <f t="shared" si="116"/>
        <v>1.3679144106102799E-6</v>
      </c>
      <c r="BA96" s="228">
        <f t="shared" si="116"/>
        <v>1.5849458288978434E-6</v>
      </c>
      <c r="BB96" s="228">
        <f t="shared" si="116"/>
        <v>1.7682658001303339E-6</v>
      </c>
    </row>
    <row r="97" spans="1:62" s="42" customFormat="1">
      <c r="B97" s="56"/>
      <c r="Q97" s="403"/>
      <c r="R97" s="403"/>
    </row>
    <row r="98" spans="1:62" s="43" customFormat="1">
      <c r="A98" s="232"/>
      <c r="B98" s="220" t="s">
        <v>173</v>
      </c>
      <c r="C98" s="232"/>
      <c r="D98" s="233"/>
      <c r="E98" s="233"/>
      <c r="F98" s="233"/>
      <c r="G98" s="233"/>
      <c r="H98" s="233"/>
      <c r="I98" s="233"/>
      <c r="J98" s="233"/>
      <c r="K98" s="233"/>
      <c r="L98" s="233"/>
      <c r="M98" s="233"/>
      <c r="N98" s="233"/>
      <c r="O98" s="233"/>
      <c r="P98" s="234"/>
      <c r="Q98" s="235"/>
      <c r="R98" s="235"/>
      <c r="S98" s="235"/>
      <c r="T98" s="233"/>
      <c r="U98" s="233"/>
      <c r="V98" s="233"/>
      <c r="W98" s="233"/>
      <c r="X98" s="233"/>
      <c r="Y98" s="233"/>
      <c r="Z98" s="233"/>
      <c r="AA98" s="233"/>
      <c r="AB98" s="233"/>
      <c r="AC98" s="236"/>
      <c r="AD98" s="233"/>
      <c r="AE98" s="233"/>
      <c r="AF98" s="233"/>
      <c r="AG98" s="233"/>
      <c r="AH98" s="233"/>
      <c r="AI98" s="233"/>
      <c r="AJ98" s="233"/>
      <c r="AK98" s="233"/>
      <c r="AL98" s="233"/>
      <c r="AM98" s="233"/>
      <c r="AN98" s="233"/>
      <c r="AO98" s="233"/>
      <c r="AP98" s="234"/>
      <c r="AQ98" s="237">
        <f>SUM(AQ92:AQ96,AQ84,AQ88)</f>
        <v>2.3483775114132668E-7</v>
      </c>
      <c r="AR98" s="237">
        <f>SUM(AR92:AR96,AR84,AR88)</f>
        <v>6.341355008512823E-5</v>
      </c>
      <c r="AS98" s="237">
        <f t="shared" ref="AS98:AW98" si="150">SUM(AS92:AS96,AS84,AS88)</f>
        <v>7.135006666741711E-5</v>
      </c>
      <c r="AT98" s="237">
        <f>SUM(AT92:AT96,AT84,AT88)</f>
        <v>8.8535948123498486E-5</v>
      </c>
      <c r="AU98" s="237">
        <f t="shared" si="150"/>
        <v>1.0548195763865516E-4</v>
      </c>
      <c r="AV98" s="237">
        <f t="shared" si="150"/>
        <v>1.0613333181062163E-4</v>
      </c>
      <c r="AW98" s="237">
        <f t="shared" si="150"/>
        <v>1.0749824224383548E-4</v>
      </c>
      <c r="AX98" s="237">
        <f t="shared" ref="AX98:AY98" si="151">SUM(AX92:AX96,AX84,AX88)</f>
        <v>1.1025617710849064E-4</v>
      </c>
      <c r="AY98" s="237">
        <f t="shared" si="151"/>
        <v>1.1141826331368699E-4</v>
      </c>
      <c r="AZ98" s="237">
        <f t="shared" ref="AZ98:BB98" si="152">SUM(AZ92:AZ96,AZ84,AZ88)</f>
        <v>9.4144020090909756E-5</v>
      </c>
      <c r="BA98" s="237">
        <f t="shared" si="152"/>
        <v>1.0726007060961933E-4</v>
      </c>
      <c r="BB98" s="237">
        <f t="shared" si="152"/>
        <v>1.1875858513404208E-4</v>
      </c>
    </row>
    <row r="99" spans="1:62" s="42" customFormat="1">
      <c r="B99" s="43"/>
      <c r="D99" s="151"/>
      <c r="E99" s="151"/>
      <c r="F99" s="151"/>
      <c r="G99" s="151"/>
      <c r="H99" s="151"/>
      <c r="I99" s="151"/>
      <c r="J99" s="151"/>
      <c r="K99" s="151"/>
      <c r="L99" s="151"/>
      <c r="M99" s="151"/>
      <c r="N99" s="151"/>
      <c r="O99" s="151"/>
      <c r="Q99" s="403"/>
      <c r="R99" s="403"/>
      <c r="T99" s="151"/>
      <c r="U99" s="151"/>
      <c r="V99" s="151"/>
      <c r="W99" s="151"/>
      <c r="X99" s="151"/>
      <c r="Y99" s="151"/>
      <c r="Z99" s="151"/>
      <c r="AA99" s="151"/>
      <c r="AB99" s="151"/>
      <c r="AC99" s="151"/>
      <c r="AD99" s="222"/>
      <c r="AE99" s="222"/>
      <c r="AF99" s="238"/>
      <c r="AG99" s="240"/>
      <c r="AH99" s="240"/>
      <c r="AI99" s="240"/>
      <c r="AJ99" s="240"/>
      <c r="AK99" s="240"/>
      <c r="AL99" s="240"/>
      <c r="AM99" s="240"/>
      <c r="AN99" s="240"/>
      <c r="AO99" s="240"/>
      <c r="AP99" s="222"/>
      <c r="AQ99" s="238"/>
      <c r="AR99" s="238"/>
      <c r="AS99" s="222"/>
      <c r="AT99" s="151"/>
      <c r="AU99" s="151"/>
      <c r="AV99" s="151"/>
      <c r="AW99" s="151"/>
      <c r="AX99" s="151"/>
      <c r="AY99" s="151"/>
      <c r="AZ99" s="151"/>
      <c r="BA99" s="151"/>
      <c r="BB99" s="151"/>
    </row>
    <row r="100" spans="1:62" s="217" customFormat="1" ht="13.35" customHeight="1">
      <c r="A100" s="216" t="s">
        <v>90</v>
      </c>
      <c r="D100" s="601" t="s">
        <v>154</v>
      </c>
      <c r="E100" s="601"/>
      <c r="F100" s="601"/>
      <c r="G100" s="601"/>
      <c r="H100" s="601"/>
      <c r="I100" s="601"/>
      <c r="J100" s="601"/>
      <c r="K100" s="601"/>
      <c r="L100" s="601"/>
      <c r="M100" s="601"/>
      <c r="N100" s="601"/>
      <c r="O100" s="601"/>
      <c r="P100" s="224" t="s">
        <v>155</v>
      </c>
      <c r="Q100" s="601" t="s">
        <v>143</v>
      </c>
      <c r="R100" s="601"/>
      <c r="S100" s="601"/>
      <c r="T100" s="601"/>
      <c r="U100" s="601"/>
      <c r="V100" s="601"/>
      <c r="W100" s="601"/>
      <c r="X100" s="601"/>
      <c r="Y100" s="601"/>
      <c r="Z100" s="601"/>
      <c r="AA100" s="601"/>
      <c r="AB100" s="601"/>
      <c r="AC100" s="225" t="s">
        <v>156</v>
      </c>
      <c r="AD100" s="601" t="s">
        <v>157</v>
      </c>
      <c r="AE100" s="601"/>
      <c r="AF100" s="601"/>
      <c r="AG100" s="601"/>
      <c r="AH100" s="601"/>
      <c r="AI100" s="601"/>
      <c r="AJ100" s="601"/>
      <c r="AK100" s="601"/>
      <c r="AL100" s="601"/>
      <c r="AM100" s="601"/>
      <c r="AN100" s="601"/>
      <c r="AO100" s="601"/>
      <c r="AP100" s="47" t="s">
        <v>158</v>
      </c>
      <c r="AQ100" s="601" t="s">
        <v>159</v>
      </c>
      <c r="AR100" s="601"/>
      <c r="AS100" s="601"/>
      <c r="AT100" s="601"/>
      <c r="AU100" s="601"/>
      <c r="AV100" s="601"/>
      <c r="AW100" s="601"/>
      <c r="AX100" s="601"/>
      <c r="AY100" s="601"/>
      <c r="AZ100" s="601"/>
      <c r="BA100" s="601"/>
      <c r="BB100" s="601"/>
    </row>
    <row r="101" spans="1:62" s="42" customFormat="1">
      <c r="A101" s="218"/>
      <c r="AD101" s="602" t="s">
        <v>160</v>
      </c>
      <c r="AE101" s="602"/>
      <c r="AF101" s="602"/>
      <c r="AG101" s="602"/>
      <c r="AH101" s="602"/>
      <c r="AI101" s="602"/>
      <c r="AJ101" s="602"/>
      <c r="AK101" s="602"/>
      <c r="AL101" s="602"/>
      <c r="AM101" s="602"/>
      <c r="AN101" s="602"/>
      <c r="AO101" s="602"/>
      <c r="AQ101" s="602" t="s">
        <v>161</v>
      </c>
      <c r="AR101" s="602"/>
      <c r="AS101" s="602"/>
      <c r="AT101" s="602"/>
      <c r="AU101" s="602"/>
      <c r="AV101" s="602"/>
      <c r="AW101" s="602"/>
      <c r="AX101" s="602"/>
      <c r="AY101" s="602"/>
      <c r="AZ101" s="602"/>
      <c r="BA101" s="602"/>
      <c r="BB101" s="602"/>
      <c r="BF101" s="404"/>
      <c r="BG101" s="404"/>
      <c r="BH101" s="404"/>
      <c r="BI101" s="404"/>
      <c r="BJ101" s="56"/>
    </row>
    <row r="102" spans="1:62" s="42" customFormat="1">
      <c r="A102" s="218"/>
      <c r="B102" s="43"/>
      <c r="D102" s="149">
        <v>1990</v>
      </c>
      <c r="E102" s="149">
        <v>2005</v>
      </c>
      <c r="F102" s="149">
        <v>2007</v>
      </c>
      <c r="G102" s="149">
        <v>2010</v>
      </c>
      <c r="H102" s="149">
        <v>2015</v>
      </c>
      <c r="I102" s="149">
        <v>2016</v>
      </c>
      <c r="J102" s="149">
        <v>2017</v>
      </c>
      <c r="K102" s="149">
        <v>2018</v>
      </c>
      <c r="L102" s="149">
        <v>2019</v>
      </c>
      <c r="M102" s="149">
        <v>2020</v>
      </c>
      <c r="N102" s="149">
        <v>2021</v>
      </c>
      <c r="O102" s="149">
        <v>2022</v>
      </c>
      <c r="P102" s="404"/>
      <c r="Q102" s="149">
        <v>1990</v>
      </c>
      <c r="R102" s="149">
        <v>2005</v>
      </c>
      <c r="S102" s="149">
        <v>2007</v>
      </c>
      <c r="T102" s="149">
        <v>2010</v>
      </c>
      <c r="U102" s="149">
        <v>2015</v>
      </c>
      <c r="V102" s="149">
        <v>2016</v>
      </c>
      <c r="W102" s="149">
        <v>2017</v>
      </c>
      <c r="X102" s="149">
        <v>2018</v>
      </c>
      <c r="Y102" s="149">
        <v>2019</v>
      </c>
      <c r="Z102" s="149">
        <v>2020</v>
      </c>
      <c r="AA102" s="149">
        <v>2021</v>
      </c>
      <c r="AB102" s="149">
        <v>2022</v>
      </c>
      <c r="AC102" s="44"/>
      <c r="AD102" s="149">
        <v>1990</v>
      </c>
      <c r="AE102" s="149">
        <v>2005</v>
      </c>
      <c r="AF102" s="149">
        <v>2007</v>
      </c>
      <c r="AG102" s="149">
        <v>2010</v>
      </c>
      <c r="AH102" s="149">
        <v>2015</v>
      </c>
      <c r="AI102" s="149">
        <v>2016</v>
      </c>
      <c r="AJ102" s="149">
        <v>2017</v>
      </c>
      <c r="AK102" s="149">
        <v>2018</v>
      </c>
      <c r="AL102" s="149">
        <v>2019</v>
      </c>
      <c r="AM102" s="149">
        <v>2020</v>
      </c>
      <c r="AN102" s="149">
        <v>2021</v>
      </c>
      <c r="AO102" s="149">
        <v>2022</v>
      </c>
      <c r="AP102" s="404"/>
      <c r="AQ102" s="149">
        <v>1990</v>
      </c>
      <c r="AR102" s="149">
        <v>2005</v>
      </c>
      <c r="AS102" s="149">
        <v>2007</v>
      </c>
      <c r="AT102" s="149">
        <v>2010</v>
      </c>
      <c r="AU102" s="149">
        <v>2015</v>
      </c>
      <c r="AV102" s="149">
        <v>2016</v>
      </c>
      <c r="AW102" s="149">
        <v>2017</v>
      </c>
      <c r="AX102" s="149">
        <v>2018</v>
      </c>
      <c r="AY102" s="149">
        <v>2019</v>
      </c>
      <c r="AZ102" s="149">
        <v>2020</v>
      </c>
      <c r="BA102" s="149">
        <v>2021</v>
      </c>
      <c r="BB102" s="149">
        <v>2022</v>
      </c>
      <c r="BF102" s="404"/>
      <c r="BG102" s="404"/>
      <c r="BH102" s="404"/>
      <c r="BI102" s="404"/>
      <c r="BJ102" s="56"/>
    </row>
    <row r="103" spans="1:62" s="42" customFormat="1">
      <c r="B103" s="90" t="s">
        <v>162</v>
      </c>
      <c r="D103" s="70">
        <f>VLOOKUP(D$45,'ODS Subs Data'!$A$168:$W$200,'ODS Subs Data'!$U$165,FALSE)</f>
        <v>99264.373780073307</v>
      </c>
      <c r="E103" s="70">
        <f>VLOOKUP(E$45,'ODS Subs Data'!$A$168:$W$200,'ODS Subs Data'!$U$165,FALSE)</f>
        <v>144796.06671865398</v>
      </c>
      <c r="F103" s="70">
        <f>VLOOKUP(F$45,'ODS Subs Data'!$A$168:$W$200,'ODS Subs Data'!$U$165,FALSE)</f>
        <v>144365.97788645985</v>
      </c>
      <c r="G103" s="70">
        <f>VLOOKUP(G$45,'ODS Subs Data'!$A$168:$W$200,'ODS Subs Data'!$U$165,FALSE)</f>
        <v>138341.59850337773</v>
      </c>
      <c r="H103" s="70">
        <f>VLOOKUP(H$45,'ODS Subs Data'!$A$168:$W$200,'ODS Subs Data'!$U$165,FALSE)</f>
        <v>157544.57743740335</v>
      </c>
      <c r="I103" s="70">
        <f>VLOOKUP(I$45,'ODS Subs Data'!$A$168:$W$200,'ODS Subs Data'!$U$165,FALSE)</f>
        <v>159235.0129743584</v>
      </c>
      <c r="J103" s="70">
        <f>VLOOKUP(J$45,'ODS Subs Data'!$A$168:$W$200,'ODS Subs Data'!$U$165,FALSE)</f>
        <v>161021.41714396511</v>
      </c>
      <c r="K103" s="70">
        <f>VLOOKUP(K$45,'ODS Subs Data'!$A$168:$W$200,'ODS Subs Data'!$U$165,FALSE)</f>
        <v>162275.5251958564</v>
      </c>
      <c r="L103" s="70">
        <f>VLOOKUP(L$45,'ODS Subs Data'!$A$168:$W$200,'ODS Subs Data'!$U$165,FALSE)</f>
        <v>166475.12365594239</v>
      </c>
      <c r="M103" s="70">
        <f>VLOOKUP(M$45,'ODS Subs Data'!$A$168:$W$200,'ODS Subs Data'!$U$165,FALSE)</f>
        <v>158607.30812712671</v>
      </c>
      <c r="N103" s="70">
        <f>VLOOKUP(N$45,'ODS Subs Data'!$A$168:$W$200,'ODS Subs Data'!$U$165,FALSE)</f>
        <v>157831.6183573303</v>
      </c>
      <c r="O103" s="70">
        <f>VLOOKUP(O$45,'ODS Subs Data'!$A$168:$W$200,'ODS Subs Data'!$U$165,FALSE)</f>
        <v>162979.79620158341</v>
      </c>
      <c r="P103" s="403"/>
      <c r="Q103" s="226">
        <f>VLOOKUP(Q102,'ODS Subs Data'!$A$89:$C$121,2,FALSE)+VLOOKUP(Q102,'ODS Subs Data'!$A$89:$C$121,3,FALSE)</f>
        <v>188170927</v>
      </c>
      <c r="R103" s="226">
        <f>VLOOKUP(R102,'ODS Subs Data'!$A$89:$C$121,2,FALSE)+VLOOKUP(R102,'ODS Subs Data'!$A$89:$C$121,3,FALSE)</f>
        <v>240386921</v>
      </c>
      <c r="S103" s="226">
        <f>VLOOKUP(S102,'ODS Subs Data'!$A$89:$C$121,2,FALSE)+VLOOKUP(S102,'ODS Subs Data'!$A$89:$C$121,3,FALSE)</f>
        <v>246430169</v>
      </c>
      <c r="T103" s="226">
        <f>VLOOKUP(T102,'ODS Subs Data'!$A$89:$C$121,2,FALSE)+VLOOKUP(T102,'ODS Subs Data'!$A$89:$C$121,3,FALSE)</f>
        <v>241214494</v>
      </c>
      <c r="U103" s="226">
        <f>VLOOKUP(U102,'ODS Subs Data'!$A$89:$C$121,2,FALSE)+VLOOKUP(U102,'ODS Subs Data'!$A$89:$C$121,3,FALSE)</f>
        <v>254120376</v>
      </c>
      <c r="V103" s="226">
        <f>VLOOKUP(V102,'ODS Subs Data'!$A$89:$C$121,2,FALSE)+VLOOKUP(V102,'ODS Subs Data'!$A$89:$C$121,3,FALSE)</f>
        <v>259143542</v>
      </c>
      <c r="W103" s="226">
        <f>VLOOKUP(W102,'ODS Subs Data'!$A$89:$C$121,2,FALSE)+VLOOKUP(W102,'ODS Subs Data'!$A$89:$C$121,3,FALSE)</f>
        <v>262782463</v>
      </c>
      <c r="X103" s="226">
        <f>VLOOKUP(X102,'ODS Subs Data'!$A$89:$C$121,2,FALSE)+VLOOKUP(X102,'ODS Subs Data'!$A$89:$C$121,3,FALSE)</f>
        <v>263943762.85966885</v>
      </c>
      <c r="Y103" s="226">
        <f>VLOOKUP(Y102,'ODS Subs Data'!$A$89:$C$121,2,FALSE)+VLOOKUP(Y102,'ODS Subs Data'!$A$89:$C$121,3,FALSE)</f>
        <v>266899827.15515292</v>
      </c>
      <c r="Z103" s="226">
        <f>VLOOKUP(Z102,'ODS Subs Data'!$A$89:$C$121,2,FALSE)+VLOOKUP(Z102,'ODS Subs Data'!$A$89:$C$121,3,FALSE)</f>
        <v>266578628</v>
      </c>
      <c r="AA103" s="226">
        <f>VLOOKUP(AA102,'ODS Subs Data'!$A$89:$C$121,2,FALSE)+VLOOKUP(AA102,'ODS Subs Data'!$A$89:$C$121,3,FALSE)</f>
        <v>271534359.57747412</v>
      </c>
      <c r="AB103" s="226">
        <f>VLOOKUP(AB102,'ODS Subs Data'!$A$89:$C$121,2,FALSE)+VLOOKUP(AB102,'ODS Subs Data'!$A$89:$C$121,3,FALSE)</f>
        <v>272879203.49339122</v>
      </c>
      <c r="AC103" s="227"/>
      <c r="AD103" s="70">
        <f>VLOOKUP($B103,'ODS Subs Data'!$A$46:$AH$54,INDEX('ODS Subs Data'!$A$43:$AH$43,MATCH(AD102,'ODS Subs Data'!$A$45:$AH$45,0)),FALSE)</f>
        <v>0</v>
      </c>
      <c r="AE103" s="70">
        <f>VLOOKUP($B103,'ODS Subs Data'!$A$46:$AH$54,INDEX('ODS Subs Data'!$A$43:$AH$43,MATCH(AE102,'ODS Subs Data'!$A$45:$AH$45,0)),FALSE)</f>
        <v>61.533466841699997</v>
      </c>
      <c r="AF103" s="70">
        <f>VLOOKUP($B103,'ODS Subs Data'!$A$46:$AH$54,INDEX('ODS Subs Data'!$A$43:$AH$43,MATCH(AF102,'ODS Subs Data'!$A$45:$AH$45,0)),FALSE)</f>
        <v>62.910223398300005</v>
      </c>
      <c r="AG103" s="70">
        <f>VLOOKUP($B103,'ODS Subs Data'!$A$46:$AH$54,INDEX('ODS Subs Data'!$A$43:$AH$43,MATCH(AG102,'ODS Subs Data'!$A$45:$AH$45,0)),FALSE)</f>
        <v>59.223563384900004</v>
      </c>
      <c r="AH103" s="70">
        <f>VLOOKUP($B103,'ODS Subs Data'!$A$46:$AH$54,INDEX('ODS Subs Data'!$A$43:$AH$43,MATCH(AH102,'ODS Subs Data'!$A$45:$AH$45,0)),FALSE)</f>
        <v>37.220865681900008</v>
      </c>
      <c r="AI103" s="70">
        <f>VLOOKUP($B103,'ODS Subs Data'!$A$46:$AH$54,INDEX('ODS Subs Data'!$A$43:$AH$43,MATCH(AI102,'ODS Subs Data'!$A$45:$AH$45,0)),FALSE)</f>
        <v>34.005905660899998</v>
      </c>
      <c r="AJ103" s="70">
        <f>VLOOKUP($B103,'ODS Subs Data'!$A$46:$AH$54,INDEX('ODS Subs Data'!$A$43:$AH$43,MATCH(AJ102,'ODS Subs Data'!$A$45:$AH$45,0)),FALSE)</f>
        <v>30.674008980899998</v>
      </c>
      <c r="AK103" s="70">
        <f>VLOOKUP($B103,'ODS Subs Data'!$A$46:$AH$54,INDEX('ODS Subs Data'!$A$43:$AH$43,MATCH(AK102,'ODS Subs Data'!$A$45:$AH$45,0)),FALSE)</f>
        <v>28.664453929199993</v>
      </c>
      <c r="AL103" s="70">
        <f>VLOOKUP($B103,'ODS Subs Data'!$A$46:$AH$54,INDEX('ODS Subs Data'!$A$43:$AH$43,MATCH(AL102,'ODS Subs Data'!$A$45:$AH$45,0)),FALSE)</f>
        <v>26.643254329600001</v>
      </c>
      <c r="AM103" s="70">
        <f>VLOOKUP($B103,'ODS Subs Data'!$A$46:$AH$54,INDEX('ODS Subs Data'!$A$43:$AH$43,MATCH(AM102,'ODS Subs Data'!$A$45:$AH$45,0)),FALSE)</f>
        <v>24.630521789999996</v>
      </c>
      <c r="AN103" s="70">
        <f>VLOOKUP($B103,'ODS Subs Data'!$A$46:$AH$54,INDEX('ODS Subs Data'!$A$43:$AH$43,MATCH(AN102,'ODS Subs Data'!$A$45:$AH$45,0)),FALSE)</f>
        <v>22.854063608300002</v>
      </c>
      <c r="AO103" s="70">
        <f>VLOOKUP($B103,'ODS Subs Data'!$A$46:$AH$54,INDEX('ODS Subs Data'!$A$43:$AH$43,MATCH(AO102,'ODS Subs Data'!$A$45:$AH$45,0)),FALSE)</f>
        <v>20.792943220800002</v>
      </c>
      <c r="AP103" s="403"/>
      <c r="AQ103" s="228">
        <f t="shared" ref="AQ103:BB103" si="153">D103/Q103*AD103</f>
        <v>0</v>
      </c>
      <c r="AR103" s="228">
        <f t="shared" si="153"/>
        <v>3.706442901792014E-2</v>
      </c>
      <c r="AS103" s="228">
        <f t="shared" si="153"/>
        <v>3.6854643069092842E-2</v>
      </c>
      <c r="AT103" s="228">
        <f t="shared" si="153"/>
        <v>3.3965962375930768E-2</v>
      </c>
      <c r="AU103" s="228">
        <f t="shared" si="153"/>
        <v>2.3075463872717097E-2</v>
      </c>
      <c r="AV103" s="228">
        <f t="shared" si="153"/>
        <v>2.0895488219877072E-2</v>
      </c>
      <c r="AW103" s="228">
        <f t="shared" si="153"/>
        <v>1.8795669768843101E-2</v>
      </c>
      <c r="AX103" s="228">
        <f t="shared" si="153"/>
        <v>1.7623221194608966E-2</v>
      </c>
      <c r="AY103" s="228">
        <f t="shared" si="153"/>
        <v>1.6618366172783224E-2</v>
      </c>
      <c r="AZ103" s="228">
        <f t="shared" si="153"/>
        <v>1.4654515960966077E-2</v>
      </c>
      <c r="BA103" s="228">
        <f t="shared" si="153"/>
        <v>1.3284115685956796E-2</v>
      </c>
      <c r="BB103" s="228">
        <f t="shared" si="153"/>
        <v>1.241879045809789E-2</v>
      </c>
      <c r="BE103" s="67"/>
      <c r="BF103" s="403"/>
      <c r="BG103" s="229"/>
      <c r="BH103" s="403"/>
      <c r="BI103" s="229"/>
    </row>
    <row r="104" spans="1:62" s="42" customFormat="1">
      <c r="D104" s="72"/>
      <c r="E104" s="72"/>
      <c r="F104" s="72"/>
      <c r="G104" s="72"/>
      <c r="H104" s="72"/>
      <c r="I104" s="72"/>
      <c r="J104" s="72"/>
      <c r="K104" s="72"/>
      <c r="L104" s="72"/>
      <c r="M104" s="72"/>
      <c r="N104" s="72"/>
      <c r="O104" s="72"/>
      <c r="P104" s="403"/>
      <c r="Q104" s="230"/>
      <c r="R104" s="230"/>
      <c r="S104" s="230"/>
      <c r="T104" s="72"/>
      <c r="U104" s="72"/>
      <c r="V104" s="72"/>
      <c r="W104" s="72"/>
      <c r="X104" s="72"/>
      <c r="Y104" s="72"/>
      <c r="Z104" s="72"/>
      <c r="AA104" s="72"/>
      <c r="AB104" s="72"/>
      <c r="AC104" s="231"/>
      <c r="AD104" s="72"/>
      <c r="AE104" s="72"/>
      <c r="AF104" s="72"/>
      <c r="AG104" s="72"/>
      <c r="AH104" s="72"/>
      <c r="AI104" s="72"/>
      <c r="AJ104" s="72"/>
      <c r="AK104" s="72"/>
      <c r="AL104" s="72"/>
      <c r="AM104" s="72"/>
      <c r="AN104" s="72"/>
      <c r="AO104" s="72"/>
      <c r="AP104" s="403"/>
      <c r="AQ104" s="230"/>
      <c r="AR104" s="230"/>
      <c r="AS104" s="230"/>
      <c r="AT104" s="72"/>
      <c r="AU104" s="72"/>
      <c r="AV104" s="72"/>
      <c r="AW104" s="72"/>
      <c r="AX104" s="72"/>
      <c r="AY104" s="72"/>
      <c r="AZ104" s="72"/>
      <c r="BA104" s="72"/>
      <c r="BB104" s="72"/>
      <c r="BE104" s="67"/>
      <c r="BF104" s="403"/>
      <c r="BG104" s="229"/>
      <c r="BH104" s="403"/>
      <c r="BI104" s="229"/>
    </row>
    <row r="105" spans="1:62" s="42" customFormat="1" ht="13.35" customHeight="1">
      <c r="D105" s="603" t="s">
        <v>163</v>
      </c>
      <c r="E105" s="603"/>
      <c r="F105" s="603"/>
      <c r="G105" s="603"/>
      <c r="H105" s="603"/>
      <c r="I105" s="603"/>
      <c r="J105" s="603"/>
      <c r="K105" s="603"/>
      <c r="L105" s="603"/>
      <c r="M105" s="603"/>
      <c r="N105" s="603"/>
      <c r="O105" s="603"/>
      <c r="P105" s="403" t="s">
        <v>155</v>
      </c>
      <c r="Q105" s="599" t="s">
        <v>147</v>
      </c>
      <c r="R105" s="599"/>
      <c r="S105" s="599"/>
      <c r="T105" s="599"/>
      <c r="U105" s="599"/>
      <c r="V105" s="599"/>
      <c r="W105" s="599"/>
      <c r="X105" s="599"/>
      <c r="Y105" s="599"/>
      <c r="Z105" s="599"/>
      <c r="AA105" s="599"/>
      <c r="AB105" s="599"/>
      <c r="AC105" s="231" t="s">
        <v>156</v>
      </c>
      <c r="AD105" s="599" t="s">
        <v>157</v>
      </c>
      <c r="AE105" s="599"/>
      <c r="AF105" s="599"/>
      <c r="AG105" s="599"/>
      <c r="AH105" s="599"/>
      <c r="AI105" s="599"/>
      <c r="AJ105" s="599"/>
      <c r="AK105" s="599"/>
      <c r="AL105" s="599"/>
      <c r="AM105" s="599"/>
      <c r="AN105" s="599"/>
      <c r="AO105" s="599"/>
      <c r="AP105" s="47" t="s">
        <v>158</v>
      </c>
      <c r="AQ105" s="599" t="s">
        <v>159</v>
      </c>
      <c r="AR105" s="599"/>
      <c r="AS105" s="599"/>
      <c r="AT105" s="599"/>
      <c r="AU105" s="599"/>
      <c r="AV105" s="599"/>
      <c r="AW105" s="599"/>
      <c r="AX105" s="599"/>
      <c r="AY105" s="599"/>
      <c r="AZ105" s="599"/>
      <c r="BA105" s="599"/>
      <c r="BB105" s="599"/>
      <c r="BE105" s="414"/>
      <c r="BF105" s="403"/>
      <c r="BG105" s="229"/>
      <c r="BH105" s="403"/>
      <c r="BI105" s="229"/>
    </row>
    <row r="106" spans="1:62" s="42" customFormat="1">
      <c r="D106" s="149">
        <v>1990</v>
      </c>
      <c r="E106" s="149">
        <v>2005</v>
      </c>
      <c r="F106" s="149">
        <v>2007</v>
      </c>
      <c r="G106" s="149">
        <v>2010</v>
      </c>
      <c r="H106" s="149">
        <v>2015</v>
      </c>
      <c r="I106" s="149">
        <v>2016</v>
      </c>
      <c r="J106" s="149">
        <v>2017</v>
      </c>
      <c r="K106" s="149">
        <v>2018</v>
      </c>
      <c r="L106" s="149">
        <v>2019</v>
      </c>
      <c r="M106" s="149">
        <v>2020</v>
      </c>
      <c r="N106" s="149">
        <v>2021</v>
      </c>
      <c r="O106" s="149">
        <v>2022</v>
      </c>
      <c r="P106" s="404"/>
      <c r="Q106" s="149">
        <v>1990</v>
      </c>
      <c r="R106" s="149">
        <v>2005</v>
      </c>
      <c r="S106" s="149">
        <v>2007</v>
      </c>
      <c r="T106" s="149">
        <v>2010</v>
      </c>
      <c r="U106" s="149">
        <v>2015</v>
      </c>
      <c r="V106" s="149">
        <v>2016</v>
      </c>
      <c r="W106" s="149">
        <v>2017</v>
      </c>
      <c r="X106" s="149">
        <v>2018</v>
      </c>
      <c r="Y106" s="149">
        <v>2019</v>
      </c>
      <c r="Z106" s="149">
        <v>2020</v>
      </c>
      <c r="AA106" s="149">
        <v>2021</v>
      </c>
      <c r="AB106" s="149">
        <v>2022</v>
      </c>
      <c r="AC106" s="44"/>
      <c r="AD106" s="149">
        <v>1990</v>
      </c>
      <c r="AE106" s="149">
        <v>2005</v>
      </c>
      <c r="AF106" s="149">
        <v>2007</v>
      </c>
      <c r="AG106" s="149">
        <v>2010</v>
      </c>
      <c r="AH106" s="149">
        <v>2015</v>
      </c>
      <c r="AI106" s="149">
        <v>2016</v>
      </c>
      <c r="AJ106" s="149">
        <v>2017</v>
      </c>
      <c r="AK106" s="149">
        <v>2018</v>
      </c>
      <c r="AL106" s="149">
        <v>2019</v>
      </c>
      <c r="AM106" s="149">
        <v>2020</v>
      </c>
      <c r="AN106" s="149">
        <v>2021</v>
      </c>
      <c r="AO106" s="149">
        <v>2022</v>
      </c>
      <c r="AP106" s="404"/>
      <c r="AQ106" s="149">
        <v>1990</v>
      </c>
      <c r="AR106" s="149">
        <v>2005</v>
      </c>
      <c r="AS106" s="149">
        <v>2007</v>
      </c>
      <c r="AT106" s="149">
        <v>2010</v>
      </c>
      <c r="AU106" s="149">
        <v>2015</v>
      </c>
      <c r="AV106" s="149">
        <v>2016</v>
      </c>
      <c r="AW106" s="149">
        <v>2017</v>
      </c>
      <c r="AX106" s="149">
        <v>2018</v>
      </c>
      <c r="AY106" s="149">
        <v>2019</v>
      </c>
      <c r="AZ106" s="149">
        <v>2020</v>
      </c>
      <c r="BA106" s="149">
        <v>2021</v>
      </c>
      <c r="BB106" s="149">
        <v>2022</v>
      </c>
      <c r="BE106" s="67"/>
      <c r="BF106" s="403"/>
      <c r="BG106" s="229"/>
      <c r="BH106" s="403"/>
      <c r="BI106" s="229"/>
    </row>
    <row r="107" spans="1:62" s="42" customFormat="1">
      <c r="B107" s="90" t="s">
        <v>164</v>
      </c>
      <c r="D107" s="70">
        <f>(VLOOKUP(D106,'ODS Subs Data'!$A$206:$N$229,'ODS Subs Data'!$L$204,FALSE)/VLOOKUP(D106,'ODS Subs Data'!$A$206:$N$229,'ODS Subs Data'!$D$204,FALSE))*VLOOKUP(D106,'ODS Subs Data'!$A$206:$N$229,'ODS Subs Data'!$C$204,FALSE)</f>
        <v>43498.039872089423</v>
      </c>
      <c r="E107" s="70">
        <f>(VLOOKUP(E106,'ODS Subs Data'!$A$206:$N$229,'ODS Subs Data'!$L$204,FALSE)/VLOOKUP(E106,'ODS Subs Data'!$A$206:$N$229,'ODS Subs Data'!$D$204,FALSE))*VLOOKUP(E106,'ODS Subs Data'!$A$206:$N$229,'ODS Subs Data'!$C$204,FALSE)</f>
        <v>55070.146697953518</v>
      </c>
      <c r="F107" s="70">
        <f>(VLOOKUP(F106,'ODS Subs Data'!$A$206:$N$229,'ODS Subs Data'!$L$204,FALSE)/VLOOKUP(F106,'ODS Subs Data'!$A$206:$N$229,'ODS Subs Data'!$D$204,FALSE))*VLOOKUP(F106,'ODS Subs Data'!$A$206:$N$229,'ODS Subs Data'!$C$204,FALSE)</f>
        <v>58378.475396275921</v>
      </c>
      <c r="G107" s="70">
        <f>(VLOOKUP(G106,'ODS Subs Data'!$A$206:$N$229,'ODS Subs Data'!$L$204,FALSE)/VLOOKUP(G106,'ODS Subs Data'!$A$206:$N$229,'ODS Subs Data'!$D$204,FALSE))*VLOOKUP(G106,'ODS Subs Data'!$A$206:$N$229,'ODS Subs Data'!$C$204,FALSE)</f>
        <v>62631.505517555684</v>
      </c>
      <c r="H107" s="70">
        <f>(VLOOKUP(H106,'ODS Subs Data'!$A$206:$N$229,'ODS Subs Data'!$L$204,FALSE)/VLOOKUP(H106,'ODS Subs Data'!$A$206:$N$229,'ODS Subs Data'!$D$204,FALSE))*VLOOKUP(H106,'ODS Subs Data'!$A$206:$N$229,'ODS Subs Data'!$C$204,FALSE)</f>
        <v>72451.231839315617</v>
      </c>
      <c r="I107" s="70">
        <f>(VLOOKUP(I106,'ODS Subs Data'!$A$206:$N$229,'ODS Subs Data'!$L$204,FALSE)/VLOOKUP(I106,'ODS Subs Data'!$A$206:$N$229,'ODS Subs Data'!$D$204,FALSE))*VLOOKUP(I106,'ODS Subs Data'!$A$206:$N$229,'ODS Subs Data'!$C$204,FALSE)</f>
        <v>72037.204774469108</v>
      </c>
      <c r="J107" s="70">
        <f>(VLOOKUP(J106,'ODS Subs Data'!$A$206:$N$229,'ODS Subs Data'!$L$204,FALSE)/VLOOKUP(J106,'ODS Subs Data'!$A$206:$N$229,'ODS Subs Data'!$D$204,FALSE))*VLOOKUP(J106,'ODS Subs Data'!$A$206:$N$229,'ODS Subs Data'!$C$204,FALSE)</f>
        <v>71640.957122122083</v>
      </c>
      <c r="K107" s="70">
        <f>(VLOOKUP(K106,'ODS Subs Data'!$A$206:$N$229,'ODS Subs Data'!$L$204,FALSE)/VLOOKUP(K106,'ODS Subs Data'!$A$206:$N$229,'ODS Subs Data'!$D$204,FALSE))*VLOOKUP(K106,'ODS Subs Data'!$A$206:$N$229,'ODS Subs Data'!$C$204,FALSE)</f>
        <v>71954.135239983443</v>
      </c>
      <c r="L107" s="70">
        <f>(VLOOKUP(L106,'ODS Subs Data'!$A$206:$N$229,'ODS Subs Data'!$L$204,FALSE)/VLOOKUP(L106,'ODS Subs Data'!$A$206:$N$229,'ODS Subs Data'!$D$204,FALSE))*VLOOKUP(L106,'ODS Subs Data'!$A$206:$N$229,'ODS Subs Data'!$C$204,FALSE)</f>
        <v>71287.726031483689</v>
      </c>
      <c r="M107" s="70">
        <f>(VLOOKUP(M106,'ODS Subs Data'!$A$206:$N$229,'ODS Subs Data'!$L$204,FALSE)/VLOOKUP(M106,'ODS Subs Data'!$A$206:$N$229,'ODS Subs Data'!$D$204,FALSE))*VLOOKUP(M106,'ODS Subs Data'!$A$206:$N$229,'ODS Subs Data'!$C$204,FALSE)</f>
        <v>56867.628324662342</v>
      </c>
      <c r="N107" s="70">
        <f>(VLOOKUP(N106,'ODS Subs Data'!$A$206:$N$229,'ODS Subs Data'!$L$204,FALSE)/VLOOKUP(N106,'ODS Subs Data'!$A$206:$N$229,'ODS Subs Data'!$D$204,FALSE))*VLOOKUP(N106,'ODS Subs Data'!$A$206:$N$229,'ODS Subs Data'!$C$204,FALSE)</f>
        <v>66077.869501026056</v>
      </c>
      <c r="O107" s="70">
        <f>(VLOOKUP(O106,'ODS Subs Data'!$A$206:$N$229,'ODS Subs Data'!$L$204,FALSE)/VLOOKUP(O106,'ODS Subs Data'!$A$206:$N$229,'ODS Subs Data'!$D$204,FALSE))*VLOOKUP(O106,'ODS Subs Data'!$A$206:$N$229,'ODS Subs Data'!$C$204,FALSE)</f>
        <v>66993.007270051312</v>
      </c>
      <c r="P107" s="403"/>
      <c r="Q107" s="70">
        <f>VLOOKUP(Q106,'ODS Subs Data'!$A$206:$I$229,'ODS Subs Data'!$B$204,FALSE)</f>
        <v>66133333.333333284</v>
      </c>
      <c r="R107" s="70">
        <f>VLOOKUP(R106,'ODS Subs Data'!$A$206:$I$229,'ODS Subs Data'!$B$204,FALSE)</f>
        <v>88133333.333333313</v>
      </c>
      <c r="S107" s="70">
        <f>VLOOKUP(S106,'ODS Subs Data'!$A$206:$I$229,'ODS Subs Data'!$B$204,FALSE)</f>
        <v>91066666.666666657</v>
      </c>
      <c r="T107" s="70">
        <f>VLOOKUP(T106,'ODS Subs Data'!$A$206:$I$229,'ODS Subs Data'!$B$204,FALSE)</f>
        <v>95466666.666666672</v>
      </c>
      <c r="U107" s="70">
        <f>VLOOKUP(U106,'ODS Subs Data'!$A$206:$I$229,'ODS Subs Data'!$B$204,FALSE)</f>
        <v>102800000</v>
      </c>
      <c r="V107" s="70">
        <f>VLOOKUP(V106,'ODS Subs Data'!$A$206:$I$229,'ODS Subs Data'!$B$204,FALSE)</f>
        <v>104024000</v>
      </c>
      <c r="W107" s="70">
        <f>VLOOKUP(W106,'ODS Subs Data'!$A$206:$I$229,'ODS Subs Data'!$B$204,FALSE)</f>
        <v>105248000</v>
      </c>
      <c r="X107" s="70">
        <f>VLOOKUP(X106,'ODS Subs Data'!$A$206:$I$229,'ODS Subs Data'!$B$204,FALSE)</f>
        <v>106472000</v>
      </c>
      <c r="Y107" s="70">
        <f>VLOOKUP(Y106,'ODS Subs Data'!$A$206:$I$229,'ODS Subs Data'!$B$204,FALSE)</f>
        <v>107696000</v>
      </c>
      <c r="Z107" s="70">
        <f>VLOOKUP(Z106,'ODS Subs Data'!$A$206:$I$229,'ODS Subs Data'!$B$204,FALSE)</f>
        <v>108920000</v>
      </c>
      <c r="AA107" s="70">
        <f>VLOOKUP(AA106,'ODS Subs Data'!$A$206:$I$229,'ODS Subs Data'!$B$204,FALSE)</f>
        <v>110144000</v>
      </c>
      <c r="AB107" s="70">
        <f>VLOOKUP(AB106,'ODS Subs Data'!$A$206:$I$229,'ODS Subs Data'!$B$204,FALSE)</f>
        <v>111368000</v>
      </c>
      <c r="AC107" s="227"/>
      <c r="AD107" s="48">
        <f>HLOOKUP(AD106,'ODS Subs Data'!$A$45:$AH$49,ROWS('ODS Subs Data'!$A$45:$A$48),FALSE)</f>
        <v>1.5331524000000001E-2</v>
      </c>
      <c r="AE107" s="48">
        <f>HLOOKUP(AE106,'ODS Subs Data'!$A$45:$AH$49,ROWS('ODS Subs Data'!$A$45:$A$48),FALSE)</f>
        <v>2.9636769795000002</v>
      </c>
      <c r="AF107" s="48">
        <f>HLOOKUP(AF106,'ODS Subs Data'!$A$45:$AH$49,ROWS('ODS Subs Data'!$A$45:$A$48),FALSE)</f>
        <v>4.9444058864999993</v>
      </c>
      <c r="AG107" s="48">
        <f>HLOOKUP(AG106,'ODS Subs Data'!$A$45:$AH$49,ROWS('ODS Subs Data'!$A$45:$A$48),FALSE)</f>
        <v>9.4590427961999985</v>
      </c>
      <c r="AH107" s="48">
        <f>HLOOKUP(AH106,'ODS Subs Data'!$A$45:$AGH$49,ROWS('ODS Subs Data'!$A$45:$A$48),FALSE)</f>
        <v>22.076133818999999</v>
      </c>
      <c r="AI107" s="48">
        <f>HLOOKUP(AI106,'ODS Subs Data'!$A$45:$AH$49,ROWS('ODS Subs Data'!$A$45:$A$48),FALSE)</f>
        <v>25.363225943400003</v>
      </c>
      <c r="AJ107" s="48">
        <f>HLOOKUP(AJ106,'ODS Subs Data'!$A$45:$AH$49,ROWS('ODS Subs Data'!$A$45:$A$48),FALSE)</f>
        <v>28.835006181299995</v>
      </c>
      <c r="AK107" s="48">
        <f>HLOOKUP(AK106,'ODS Subs Data'!$A$45:$AH$49,ROWS('ODS Subs Data'!$A$45:$A$48),FALSE)</f>
        <v>32.43467263334</v>
      </c>
      <c r="AL107" s="48">
        <f>HLOOKUP(AL106,'ODS Subs Data'!$A$45:$AH$49,ROWS('ODS Subs Data'!$A$45:$A$48),FALSE)</f>
        <v>35.986680838900007</v>
      </c>
      <c r="AM107" s="48">
        <f>HLOOKUP(AM106,'ODS Subs Data'!$A$45:$AH$49,ROWS('ODS Subs Data'!$A$45:$A$48),FALSE)</f>
        <v>40.1213199269</v>
      </c>
      <c r="AN107" s="48">
        <f>HLOOKUP(AN106,'ODS Subs Data'!$A$45:$AH$49,ROWS('ODS Subs Data'!$A$45:$A$48),FALSE)</f>
        <v>48.790876858400004</v>
      </c>
      <c r="AO107" s="48">
        <f>HLOOKUP(AO106,'ODS Subs Data'!$A$45:$AH$49,ROWS('ODS Subs Data'!$A$45:$A$48),FALSE)</f>
        <v>54.039902339999998</v>
      </c>
      <c r="AP107" s="403"/>
      <c r="AQ107" s="228">
        <f t="shared" ref="AQ107:BB107" si="154">D107/Q107*AD107</f>
        <v>1.0084040961470208E-5</v>
      </c>
      <c r="AR107" s="228">
        <f t="shared" si="154"/>
        <v>1.851854682599238E-3</v>
      </c>
      <c r="AS107" s="228">
        <f t="shared" si="154"/>
        <v>3.1696216404931412E-3</v>
      </c>
      <c r="AT107" s="228">
        <f t="shared" si="154"/>
        <v>6.2056643618819364E-3</v>
      </c>
      <c r="AU107" s="228">
        <f t="shared" si="154"/>
        <v>1.5558784916693822E-2</v>
      </c>
      <c r="AV107" s="228">
        <f t="shared" si="154"/>
        <v>1.7564176546045467E-2</v>
      </c>
      <c r="AW107" s="228">
        <f t="shared" si="154"/>
        <v>1.9627617070639234E-2</v>
      </c>
      <c r="AX107" s="228">
        <f t="shared" si="154"/>
        <v>2.1919460713839659E-2</v>
      </c>
      <c r="AY107" s="228">
        <f t="shared" si="154"/>
        <v>2.3820834983898632E-2</v>
      </c>
      <c r="AZ107" s="228">
        <f t="shared" si="154"/>
        <v>2.0947523957930758E-2</v>
      </c>
      <c r="BA107" s="228">
        <f t="shared" si="154"/>
        <v>2.9270747329768192E-2</v>
      </c>
      <c r="BB107" s="228">
        <f t="shared" si="154"/>
        <v>3.2507502786585762E-2</v>
      </c>
      <c r="BE107" s="67"/>
      <c r="BF107" s="403"/>
      <c r="BG107" s="229"/>
      <c r="BH107" s="403"/>
      <c r="BI107" s="229"/>
    </row>
    <row r="108" spans="1:62" s="42" customFormat="1">
      <c r="D108" s="72"/>
      <c r="E108" s="72"/>
      <c r="F108" s="72"/>
      <c r="G108" s="72"/>
      <c r="H108" s="72"/>
      <c r="I108" s="72"/>
      <c r="J108" s="72"/>
      <c r="K108" s="72"/>
      <c r="L108" s="72"/>
      <c r="M108" s="72"/>
      <c r="N108" s="72"/>
      <c r="O108" s="72"/>
      <c r="P108" s="403"/>
      <c r="Q108" s="230"/>
      <c r="R108" s="230"/>
      <c r="S108" s="230"/>
      <c r="T108" s="72"/>
      <c r="U108" s="72"/>
      <c r="V108" s="72"/>
      <c r="W108" s="72"/>
      <c r="X108" s="72"/>
      <c r="Y108" s="72"/>
      <c r="Z108" s="72"/>
      <c r="AA108" s="72"/>
      <c r="AB108" s="72"/>
      <c r="AC108" s="231"/>
      <c r="AD108" s="72"/>
      <c r="AE108" s="72"/>
      <c r="AF108" s="72"/>
      <c r="AG108" s="72"/>
      <c r="AH108" s="72"/>
      <c r="AI108" s="72"/>
      <c r="AJ108" s="72"/>
      <c r="AK108" s="72"/>
      <c r="AL108" s="72"/>
      <c r="AM108" s="72"/>
      <c r="AN108" s="72"/>
      <c r="AO108" s="72"/>
      <c r="AP108" s="403"/>
      <c r="AQ108" s="230"/>
      <c r="AR108" s="230"/>
      <c r="AS108" s="230"/>
      <c r="AT108" s="72"/>
      <c r="AU108" s="72"/>
      <c r="AV108" s="72"/>
      <c r="AW108" s="72"/>
      <c r="AX108" s="72"/>
      <c r="AY108" s="72"/>
      <c r="AZ108" s="72"/>
      <c r="BA108" s="72"/>
      <c r="BB108" s="72"/>
      <c r="BE108" s="67"/>
      <c r="BF108" s="403"/>
      <c r="BG108" s="229"/>
      <c r="BH108" s="403"/>
      <c r="BI108" s="229"/>
    </row>
    <row r="109" spans="1:62" s="42" customFormat="1" ht="13.35" customHeight="1">
      <c r="B109" s="129"/>
      <c r="D109" s="599" t="s">
        <v>165</v>
      </c>
      <c r="E109" s="599"/>
      <c r="F109" s="599"/>
      <c r="G109" s="599"/>
      <c r="H109" s="599"/>
      <c r="I109" s="599"/>
      <c r="J109" s="599"/>
      <c r="K109" s="599"/>
      <c r="L109" s="599"/>
      <c r="M109" s="599"/>
      <c r="N109" s="599"/>
      <c r="O109" s="599"/>
      <c r="P109" s="403" t="s">
        <v>155</v>
      </c>
      <c r="Q109" s="599" t="s">
        <v>152</v>
      </c>
      <c r="R109" s="599"/>
      <c r="S109" s="599"/>
      <c r="T109" s="599"/>
      <c r="U109" s="599"/>
      <c r="V109" s="599"/>
      <c r="W109" s="599"/>
      <c r="X109" s="599"/>
      <c r="Y109" s="599"/>
      <c r="Z109" s="599"/>
      <c r="AA109" s="599"/>
      <c r="AB109" s="599"/>
      <c r="AC109" s="44" t="s">
        <v>156</v>
      </c>
      <c r="AD109" s="599" t="s">
        <v>157</v>
      </c>
      <c r="AE109" s="599"/>
      <c r="AF109" s="599"/>
      <c r="AG109" s="599"/>
      <c r="AH109" s="599"/>
      <c r="AI109" s="599"/>
      <c r="AJ109" s="599"/>
      <c r="AK109" s="599"/>
      <c r="AL109" s="599"/>
      <c r="AM109" s="599"/>
      <c r="AN109" s="599"/>
      <c r="AO109" s="599"/>
      <c r="AP109" s="47" t="s">
        <v>158</v>
      </c>
      <c r="AQ109" s="599" t="s">
        <v>159</v>
      </c>
      <c r="AR109" s="599"/>
      <c r="AS109" s="599"/>
      <c r="AT109" s="599"/>
      <c r="AU109" s="599"/>
      <c r="AV109" s="599"/>
      <c r="AW109" s="599"/>
      <c r="AX109" s="599"/>
      <c r="AY109" s="599"/>
      <c r="AZ109" s="599"/>
      <c r="BA109" s="599"/>
      <c r="BB109" s="599"/>
      <c r="BE109" s="67"/>
      <c r="BF109" s="403"/>
      <c r="BG109" s="229"/>
      <c r="BH109" s="403"/>
      <c r="BI109" s="229"/>
    </row>
    <row r="110" spans="1:62" s="42" customFormat="1">
      <c r="B110" s="129"/>
      <c r="AD110" s="600" t="s">
        <v>161</v>
      </c>
      <c r="AE110" s="600"/>
      <c r="AF110" s="600"/>
      <c r="AG110" s="600"/>
      <c r="AH110" s="600"/>
      <c r="AI110" s="600"/>
      <c r="AJ110" s="600"/>
      <c r="AK110" s="600"/>
      <c r="AL110" s="600"/>
      <c r="AM110" s="600"/>
      <c r="AN110" s="600"/>
      <c r="AO110" s="600"/>
      <c r="AQ110" s="600" t="s">
        <v>161</v>
      </c>
      <c r="AR110" s="600"/>
      <c r="AS110" s="600"/>
      <c r="AT110" s="600"/>
      <c r="AU110" s="600"/>
      <c r="AV110" s="600"/>
      <c r="AW110" s="600"/>
      <c r="AX110" s="600"/>
      <c r="AY110" s="600"/>
      <c r="AZ110" s="600"/>
      <c r="BA110" s="600"/>
      <c r="BB110" s="600"/>
      <c r="BE110" s="67"/>
      <c r="BF110" s="403"/>
      <c r="BG110" s="229"/>
      <c r="BH110" s="403"/>
      <c r="BI110" s="229"/>
    </row>
    <row r="111" spans="1:62" s="42" customFormat="1">
      <c r="B111" s="134" t="s">
        <v>166</v>
      </c>
      <c r="D111" s="70">
        <f>INDEX('ODS Subs Data'!$L$206:$L$229,MATCH('ODS Subs'!D$102,'ODS Subs Data'!$A$206:$A$229,0))</f>
        <v>128002.03120220246</v>
      </c>
      <c r="E111" s="70">
        <f>INDEX('ODS Subs Data'!$L$206:$L$229,MATCH('ODS Subs'!E$102,'ODS Subs Data'!$A$206:$A$229,0))</f>
        <v>171487.7250308636</v>
      </c>
      <c r="F111" s="70">
        <f>INDEX('ODS Subs Data'!$L$206:$L$229,MATCH('ODS Subs'!F$102,'ODS Subs Data'!$A$206:$A$229,0))</f>
        <v>176012.5725853536</v>
      </c>
      <c r="G111" s="70">
        <f>INDEX('ODS Subs Data'!$L$206:$L$229,MATCH('ODS Subs'!G$102,'ODS Subs Data'!$A$206:$A$229,0))</f>
        <v>180070.95834827382</v>
      </c>
      <c r="H111" s="70">
        <f>INDEX('ODS Subs Data'!$L$206:$L$229,MATCH('ODS Subs'!H$102,'ODS Subs Data'!$A$206:$A$229,0))</f>
        <v>197144.5721051358</v>
      </c>
      <c r="I111" s="70">
        <f>INDEX('ODS Subs Data'!$L$206:$L$229,MATCH('ODS Subs'!I$102,'ODS Subs Data'!$A$206:$A$229,0))</f>
        <v>200046.27271004446</v>
      </c>
      <c r="J111" s="70">
        <f>INDEX('ODS Subs Data'!$L$206:$L$229,MATCH('ODS Subs'!J$102,'ODS Subs Data'!$A$206:$A$229,0))</f>
        <v>202480.0764041552</v>
      </c>
      <c r="K111" s="70">
        <f>INDEX('ODS Subs Data'!$L$206:$L$229,MATCH('ODS Subs'!K$102,'ODS Subs Data'!$A$206:$A$229,0))</f>
        <v>206484.01637205016</v>
      </c>
      <c r="L111" s="70">
        <f>INDEX('ODS Subs Data'!$L$206:$L$229,MATCH('ODS Subs'!L$102,'ODS Subs Data'!$A$206:$A$229,0))</f>
        <v>207644.51167452318</v>
      </c>
      <c r="M111" s="70">
        <f>INDEX('ODS Subs Data'!$L$206:$L$229,MATCH('ODS Subs'!M$102,'ODS Subs Data'!$A$206:$A$229,0))</f>
        <v>166891.24556249852</v>
      </c>
      <c r="N111" s="70">
        <f>INDEX('ODS Subs Data'!$L$206:$L$229,MATCH('ODS Subs'!N$102,'ODS Subs Data'!$A$206:$A$229,0))</f>
        <v>196935.59048094545</v>
      </c>
      <c r="O111" s="70">
        <f>INDEX('ODS Subs Data'!$L$206:$L$229,MATCH('ODS Subs'!O$102,'ODS Subs Data'!$A$206:$A$229,0))</f>
        <v>203670.16202509767</v>
      </c>
      <c r="P111" s="403"/>
      <c r="Q111" s="226">
        <f>Q92</f>
        <v>249622814</v>
      </c>
      <c r="R111" s="226">
        <f>R92</f>
        <v>295516599</v>
      </c>
      <c r="S111" s="226">
        <f t="shared" ref="S111:W111" si="155">S92</f>
        <v>301231207</v>
      </c>
      <c r="T111" s="226">
        <f t="shared" si="155"/>
        <v>309327143</v>
      </c>
      <c r="U111" s="226">
        <f t="shared" si="155"/>
        <v>320738994</v>
      </c>
      <c r="V111" s="226">
        <f>V92</f>
        <v>323071755</v>
      </c>
      <c r="W111" s="226">
        <f t="shared" si="155"/>
        <v>325122128</v>
      </c>
      <c r="X111" s="226">
        <f t="shared" ref="X111:Y111" si="156">X92</f>
        <v>326838199</v>
      </c>
      <c r="Y111" s="226">
        <f t="shared" si="156"/>
        <v>328329953</v>
      </c>
      <c r="Z111" s="226">
        <f t="shared" ref="Z111:AA111" si="157">Z92</f>
        <v>331511512</v>
      </c>
      <c r="AA111" s="226">
        <f t="shared" si="157"/>
        <v>332031554</v>
      </c>
      <c r="AB111" s="226">
        <f t="shared" ref="AB111" si="158">AB92</f>
        <v>333287557</v>
      </c>
      <c r="AC111" s="227"/>
      <c r="AD111" s="70">
        <f>VLOOKUP($B111,'ODS Subs Data'!$A$46:$AH$54,'ODS Subs Data'!$B$43,FALSE)</f>
        <v>3.5485200000000001E-4</v>
      </c>
      <c r="AE111" s="70">
        <f>VLOOKUP($B111,'ODS Subs Data'!$A$46:$AH$54,'ODS Subs Data'!$Q$43,FALSE)</f>
        <v>18.4710840109</v>
      </c>
      <c r="AF111" s="70">
        <f>VLOOKUP($B111,'ODS Subs Data'!$A$46:$AH$54,'ODS Subs Data'!$S$43,FALSE)</f>
        <v>26.201877207300001</v>
      </c>
      <c r="AG111" s="70">
        <f>VLOOKUP($B111,'ODS Subs Data'!$A$46:$AH$54,'ODS Subs Data'!$V$43,FALSE)</f>
        <v>42.267351500799997</v>
      </c>
      <c r="AH111" s="70">
        <f>VLOOKUP($B111,'ODS Subs Data'!$A$46:$AH$54,'ODS Subs Data'!$AA$43,FALSE)</f>
        <v>58.965182780299997</v>
      </c>
      <c r="AI111" s="70">
        <f>VLOOKUP($B111,'ODS Subs Data'!$A$46:$AH$54,'ODS Subs Data'!$AB$43,FALSE)</f>
        <v>60.648990855000008</v>
      </c>
      <c r="AJ111" s="70">
        <f>VLOOKUP($B111,'ODS Subs Data'!$A$46:$AH$54,'ODS Subs Data'!$AC$43,FALSE)</f>
        <v>60.933447877739994</v>
      </c>
      <c r="AK111" s="70">
        <f>VLOOKUP($B111,'ODS Subs Data'!$A$46:$AH$54,'ODS Subs Data'!$AD$43,FALSE)</f>
        <v>61.568224540540008</v>
      </c>
      <c r="AL111" s="70">
        <f>VLOOKUP($B111,'ODS Subs Data'!$A$46:$AH$54,'ODS Subs Data'!$AE$43,FALSE)</f>
        <v>63.839829161980006</v>
      </c>
      <c r="AM111" s="70">
        <f>VLOOKUP($B111,'ODS Subs Data'!$A$46:$AH$54,'ODS Subs Data'!$AF$43,FALSE)</f>
        <v>65.861211760999993</v>
      </c>
      <c r="AN111" s="70">
        <f>VLOOKUP($B111,'ODS Subs Data'!$A$46:$AH$54,'ODS Subs Data'!$AG$43,FALSE)</f>
        <v>67.901135420939994</v>
      </c>
      <c r="AO111" s="70">
        <f>VLOOKUP($B111,'ODS Subs Data'!$A$46:$AH$54,'ODS Subs Data'!$AH$43,FALSE)</f>
        <v>69.80410859541999</v>
      </c>
      <c r="AP111" s="403"/>
      <c r="AQ111" s="228">
        <f t="shared" ref="AQ111:BB115" si="159">D111/Q111*AD111</f>
        <v>1.8196164063819882E-7</v>
      </c>
      <c r="AR111" s="228">
        <f t="shared" si="159"/>
        <v>1.071873521352755E-2</v>
      </c>
      <c r="AS111" s="228">
        <f t="shared" si="159"/>
        <v>1.531003331212763E-2</v>
      </c>
      <c r="AT111" s="228">
        <f t="shared" si="159"/>
        <v>2.4605414247764239E-2</v>
      </c>
      <c r="AU111" s="228">
        <f t="shared" si="159"/>
        <v>3.6243381521372998E-2</v>
      </c>
      <c r="AV111" s="228">
        <f t="shared" si="159"/>
        <v>3.7553900569761427E-2</v>
      </c>
      <c r="AW111" s="228">
        <f t="shared" si="159"/>
        <v>3.7948229662957307E-2</v>
      </c>
      <c r="AX111" s="228">
        <f t="shared" si="159"/>
        <v>3.8896476369418877E-2</v>
      </c>
      <c r="AY111" s="228">
        <f t="shared" si="159"/>
        <v>4.0373989733810012E-2</v>
      </c>
      <c r="AZ111" s="228">
        <f t="shared" si="159"/>
        <v>3.3156192974223973E-2</v>
      </c>
      <c r="BA111" s="228">
        <f t="shared" si="159"/>
        <v>4.0273733135765342E-2</v>
      </c>
      <c r="BB111" s="228">
        <f t="shared" si="159"/>
        <v>4.26569003524086E-2</v>
      </c>
      <c r="BE111" s="414"/>
      <c r="BF111" s="403"/>
      <c r="BG111" s="229"/>
      <c r="BH111" s="403"/>
      <c r="BI111" s="229"/>
    </row>
    <row r="112" spans="1:62" s="42" customFormat="1">
      <c r="B112" s="219" t="s">
        <v>167</v>
      </c>
      <c r="D112" s="70">
        <f>D111</f>
        <v>128002.03120220246</v>
      </c>
      <c r="E112" s="70">
        <f>E111</f>
        <v>171487.7250308636</v>
      </c>
      <c r="F112" s="70">
        <f t="shared" ref="F112" si="160">F111</f>
        <v>176012.5725853536</v>
      </c>
      <c r="G112" s="70">
        <f t="shared" ref="G112" si="161">G111</f>
        <v>180070.95834827382</v>
      </c>
      <c r="H112" s="70">
        <f t="shared" ref="H112:L112" si="162">H111</f>
        <v>197144.5721051358</v>
      </c>
      <c r="I112" s="70">
        <f t="shared" si="162"/>
        <v>200046.27271004446</v>
      </c>
      <c r="J112" s="70">
        <f t="shared" si="162"/>
        <v>202480.0764041552</v>
      </c>
      <c r="K112" s="70">
        <f t="shared" si="162"/>
        <v>206484.01637205016</v>
      </c>
      <c r="L112" s="70">
        <f t="shared" si="162"/>
        <v>207644.51167452318</v>
      </c>
      <c r="M112" s="70">
        <f t="shared" ref="M112:N112" si="163">M111</f>
        <v>166891.24556249852</v>
      </c>
      <c r="N112" s="70">
        <f t="shared" si="163"/>
        <v>196935.59048094545</v>
      </c>
      <c r="O112" s="70">
        <f t="shared" ref="O112" si="164">O111</f>
        <v>203670.16202509767</v>
      </c>
      <c r="P112" s="403"/>
      <c r="Q112" s="226">
        <f t="shared" ref="Q112:W112" si="165">Q93</f>
        <v>249622814</v>
      </c>
      <c r="R112" s="226">
        <f t="shared" ref="R112" si="166">R93</f>
        <v>295516599</v>
      </c>
      <c r="S112" s="226">
        <f t="shared" si="165"/>
        <v>301231207</v>
      </c>
      <c r="T112" s="226">
        <f t="shared" si="165"/>
        <v>309327143</v>
      </c>
      <c r="U112" s="226">
        <f t="shared" si="165"/>
        <v>320738994</v>
      </c>
      <c r="V112" s="226">
        <f>V93</f>
        <v>323071755</v>
      </c>
      <c r="W112" s="226">
        <f t="shared" si="165"/>
        <v>325122128</v>
      </c>
      <c r="X112" s="226">
        <f t="shared" ref="X112:Y112" si="167">X93</f>
        <v>326838199</v>
      </c>
      <c r="Y112" s="226">
        <f t="shared" si="167"/>
        <v>328329953</v>
      </c>
      <c r="Z112" s="226">
        <f t="shared" ref="Z112:AA112" si="168">Z93</f>
        <v>331511512</v>
      </c>
      <c r="AA112" s="226">
        <f t="shared" si="168"/>
        <v>332031554</v>
      </c>
      <c r="AB112" s="226">
        <f t="shared" ref="AB112" si="169">AB93</f>
        <v>333287557</v>
      </c>
      <c r="AC112" s="227"/>
      <c r="AD112" s="70">
        <f>VLOOKUP($B112,'ODS Subs Data'!$A$46:$AH$54,'ODS Subs Data'!$B$43,FALSE)</f>
        <v>0.23051244000000001</v>
      </c>
      <c r="AE112" s="70">
        <f>VLOOKUP($B112,'ODS Subs Data'!$A$46:$AH$54,'ODS Subs Data'!$Q$43,FALSE)</f>
        <v>10.175936419999999</v>
      </c>
      <c r="AF112" s="70">
        <f>VLOOKUP($B112,'ODS Subs Data'!$A$46:$AH$54,'ODS Subs Data'!$S$43,FALSE)</f>
        <v>11.7735906</v>
      </c>
      <c r="AG112" s="70">
        <f>VLOOKUP($B112,'ODS Subs Data'!$A$46:$AH$54,'ODS Subs Data'!$V$43,FALSE)</f>
        <v>15.597268</v>
      </c>
      <c r="AH112" s="70">
        <f>VLOOKUP($B112,'ODS Subs Data'!$A$46:$AH$54,'ODS Subs Data'!$AA$43,FALSE)</f>
        <v>19.694944899999996</v>
      </c>
      <c r="AI112" s="70">
        <f>VLOOKUP($B112,'ODS Subs Data'!$A$46:$AH$54,'ODS Subs Data'!$AB$43,FALSE)</f>
        <v>18.665525850000002</v>
      </c>
      <c r="AJ112" s="70">
        <f>VLOOKUP($B112,'ODS Subs Data'!$A$46:$AH$54,'ODS Subs Data'!$AC$43,FALSE)</f>
        <v>17.711663850000001</v>
      </c>
      <c r="AK112" s="70">
        <f>VLOOKUP($B112,'ODS Subs Data'!$A$46:$AH$54,'ODS Subs Data'!$AD$43,FALSE)</f>
        <v>16.695425880000002</v>
      </c>
      <c r="AL112" s="70">
        <f>VLOOKUP($B112,'ODS Subs Data'!$A$46:$AH$54,'ODS Subs Data'!$AE$43,FALSE)</f>
        <v>17.014575400000002</v>
      </c>
      <c r="AM112" s="70">
        <f>VLOOKUP($B112,'ODS Subs Data'!$A$46:$AH$54,'ODS Subs Data'!$AF$43,FALSE)</f>
        <v>17.339892519999999</v>
      </c>
      <c r="AN112" s="70">
        <f>VLOOKUP($B112,'ODS Subs Data'!$A$46:$AH$54,'ODS Subs Data'!$AG$43,FALSE)</f>
        <v>17.671530189999999</v>
      </c>
      <c r="AO112" s="70">
        <f>VLOOKUP($B112,'ODS Subs Data'!$A$46:$AH$54,'ODS Subs Data'!$AH$43,FALSE)</f>
        <v>17.037062899999999</v>
      </c>
      <c r="AP112" s="403"/>
      <c r="AQ112" s="228">
        <f t="shared" si="159"/>
        <v>1.1820257958223251E-4</v>
      </c>
      <c r="AR112" s="228">
        <f t="shared" si="159"/>
        <v>5.9050767118652113E-3</v>
      </c>
      <c r="AS112" s="228">
        <f t="shared" si="159"/>
        <v>6.8794332124849766E-3</v>
      </c>
      <c r="AT112" s="228">
        <f t="shared" si="159"/>
        <v>9.0797560444763944E-3</v>
      </c>
      <c r="AU112" s="228">
        <f t="shared" si="159"/>
        <v>1.2105642150092688E-2</v>
      </c>
      <c r="AV112" s="228">
        <f t="shared" si="159"/>
        <v>1.1557707588722774E-2</v>
      </c>
      <c r="AW112" s="228">
        <f t="shared" si="159"/>
        <v>1.1030498205870237E-2</v>
      </c>
      <c r="AX112" s="228">
        <f t="shared" si="159"/>
        <v>1.0547538816735038E-2</v>
      </c>
      <c r="AY112" s="228">
        <f t="shared" si="159"/>
        <v>1.0760465708355142E-2</v>
      </c>
      <c r="AZ112" s="228">
        <f t="shared" si="159"/>
        <v>8.7293386679816141E-3</v>
      </c>
      <c r="BA112" s="228">
        <f t="shared" si="159"/>
        <v>1.0481393080699505E-2</v>
      </c>
      <c r="BB112" s="228">
        <f t="shared" si="159"/>
        <v>1.0411253850904431E-2</v>
      </c>
    </row>
    <row r="113" spans="1:62" s="42" customFormat="1">
      <c r="B113" s="134" t="s">
        <v>168</v>
      </c>
      <c r="D113" s="70">
        <f>D111</f>
        <v>128002.03120220246</v>
      </c>
      <c r="E113" s="70">
        <f>E111</f>
        <v>171487.7250308636</v>
      </c>
      <c r="F113" s="70">
        <f t="shared" ref="F113:H113" si="170">F111</f>
        <v>176012.5725853536</v>
      </c>
      <c r="G113" s="70">
        <f t="shared" si="170"/>
        <v>180070.95834827382</v>
      </c>
      <c r="H113" s="70">
        <f t="shared" si="170"/>
        <v>197144.5721051358</v>
      </c>
      <c r="I113" s="70">
        <f t="shared" ref="I113:L113" si="171">I111</f>
        <v>200046.27271004446</v>
      </c>
      <c r="J113" s="70">
        <f t="shared" si="171"/>
        <v>202480.0764041552</v>
      </c>
      <c r="K113" s="70">
        <f t="shared" si="171"/>
        <v>206484.01637205016</v>
      </c>
      <c r="L113" s="70">
        <f t="shared" si="171"/>
        <v>207644.51167452318</v>
      </c>
      <c r="M113" s="70">
        <f t="shared" ref="M113:N113" si="172">M111</f>
        <v>166891.24556249852</v>
      </c>
      <c r="N113" s="70">
        <f t="shared" si="172"/>
        <v>196935.59048094545</v>
      </c>
      <c r="O113" s="70">
        <f t="shared" ref="O113" si="173">O111</f>
        <v>203670.16202509767</v>
      </c>
      <c r="P113" s="403"/>
      <c r="Q113" s="226">
        <f t="shared" ref="Q113:W113" si="174">Q94</f>
        <v>249622814</v>
      </c>
      <c r="R113" s="226">
        <f t="shared" ref="R113" si="175">R94</f>
        <v>295516599</v>
      </c>
      <c r="S113" s="226">
        <f t="shared" si="174"/>
        <v>301231207</v>
      </c>
      <c r="T113" s="226">
        <f t="shared" si="174"/>
        <v>309327143</v>
      </c>
      <c r="U113" s="226">
        <f t="shared" si="174"/>
        <v>320738994</v>
      </c>
      <c r="V113" s="226">
        <f>V94</f>
        <v>323071755</v>
      </c>
      <c r="W113" s="226">
        <f t="shared" si="174"/>
        <v>325122128</v>
      </c>
      <c r="X113" s="226">
        <f t="shared" ref="X113:Y113" si="176">X94</f>
        <v>326838199</v>
      </c>
      <c r="Y113" s="226">
        <f t="shared" si="176"/>
        <v>328329953</v>
      </c>
      <c r="Z113" s="226">
        <f t="shared" ref="Z113:AA113" si="177">Z94</f>
        <v>331511512</v>
      </c>
      <c r="AA113" s="226">
        <f t="shared" si="177"/>
        <v>332031554</v>
      </c>
      <c r="AB113" s="226">
        <f t="shared" ref="AB113" si="178">AB94</f>
        <v>333287557</v>
      </c>
      <c r="AC113" s="227"/>
      <c r="AD113" s="70">
        <f>VLOOKUP($B113,'ODS Subs Data'!$A$46:$AH$54,'ODS Subs Data'!$B$43,FALSE)</f>
        <v>6.6005399999999994E-3</v>
      </c>
      <c r="AE113" s="70">
        <f>VLOOKUP($B113,'ODS Subs Data'!$A$46:$AH$54,'ODS Subs Data'!$Q$43,FALSE)</f>
        <v>3.4888586672000002</v>
      </c>
      <c r="AF113" s="70">
        <f>VLOOKUP($B113,'ODS Subs Data'!$A$46:$AH$54,'ODS Subs Data'!$S$43,FALSE)</f>
        <v>4.2187536218000004</v>
      </c>
      <c r="AG113" s="70">
        <f>VLOOKUP($B113,'ODS Subs Data'!$A$46:$AH$54,'ODS Subs Data'!$V$43,FALSE)</f>
        <v>7.8990071527999977</v>
      </c>
      <c r="AH113" s="70">
        <f>VLOOKUP($B113,'ODS Subs Data'!$A$46:$AH$54,'ODS Subs Data'!$AA$43,FALSE)</f>
        <v>12.148485258799999</v>
      </c>
      <c r="AI113" s="70">
        <f>VLOOKUP($B113,'ODS Subs Data'!$A$46:$AH$54,'ODS Subs Data'!$AB$43,FALSE)</f>
        <v>13.061289361200002</v>
      </c>
      <c r="AJ113" s="70">
        <f>VLOOKUP($B113,'ODS Subs Data'!$A$46:$AH$54,'ODS Subs Data'!$AC$43,FALSE)</f>
        <v>13.815900991199996</v>
      </c>
      <c r="AK113" s="70">
        <f>VLOOKUP($B113,'ODS Subs Data'!$A$46:$AH$54,'ODS Subs Data'!$AD$43,FALSE)</f>
        <v>14.173388369400003</v>
      </c>
      <c r="AL113" s="70">
        <f>VLOOKUP($B113,'ODS Subs Data'!$A$46:$AH$54,'ODS Subs Data'!$AE$43,FALSE)</f>
        <v>14.1360476226</v>
      </c>
      <c r="AM113" s="70">
        <f>VLOOKUP($B113,'ODS Subs Data'!$A$46:$AH$54,'ODS Subs Data'!$AF$43,FALSE)</f>
        <v>13.699476005200001</v>
      </c>
      <c r="AN113" s="70">
        <f>VLOOKUP($B113,'ODS Subs Data'!$A$46:$AH$54,'ODS Subs Data'!$AG$43,FALSE)</f>
        <v>10.779920445200004</v>
      </c>
      <c r="AO113" s="70">
        <f>VLOOKUP($B113,'ODS Subs Data'!$A$46:$AH$54,'ODS Subs Data'!$AH$43,FALSE)</f>
        <v>11.687077275200004</v>
      </c>
      <c r="AP113" s="403"/>
      <c r="AQ113" s="228">
        <f t="shared" si="159"/>
        <v>3.3846366583760462E-6</v>
      </c>
      <c r="AR113" s="228">
        <f t="shared" si="159"/>
        <v>2.0245781042991053E-3</v>
      </c>
      <c r="AS113" s="228">
        <f t="shared" si="159"/>
        <v>2.4650622539144689E-3</v>
      </c>
      <c r="AT113" s="228">
        <f t="shared" si="159"/>
        <v>4.5983090077696982E-3</v>
      </c>
      <c r="AU113" s="228">
        <f t="shared" si="159"/>
        <v>7.4671554531086292E-3</v>
      </c>
      <c r="AV113" s="228">
        <f t="shared" si="159"/>
        <v>8.0875601567070386E-3</v>
      </c>
      <c r="AW113" s="228">
        <f t="shared" si="159"/>
        <v>8.6042888114044903E-3</v>
      </c>
      <c r="AX113" s="228">
        <f t="shared" si="159"/>
        <v>8.9542108758059076E-3</v>
      </c>
      <c r="AY113" s="228">
        <f t="shared" si="159"/>
        <v>8.9400089111046823E-3</v>
      </c>
      <c r="AZ113" s="228">
        <f t="shared" si="159"/>
        <v>6.8966612962188464E-3</v>
      </c>
      <c r="BA113" s="228">
        <f t="shared" si="159"/>
        <v>6.3938200229399864E-3</v>
      </c>
      <c r="BB113" s="228">
        <f t="shared" si="159"/>
        <v>7.1419075577424619E-3</v>
      </c>
      <c r="BE113" s="67"/>
      <c r="BF113" s="403"/>
      <c r="BG113" s="229"/>
      <c r="BH113" s="403"/>
      <c r="BI113" s="229"/>
    </row>
    <row r="114" spans="1:62" s="42" customFormat="1">
      <c r="B114" s="134" t="s">
        <v>169</v>
      </c>
      <c r="D114" s="70">
        <f>D111</f>
        <v>128002.03120220246</v>
      </c>
      <c r="E114" s="70">
        <f>E111</f>
        <v>171487.7250308636</v>
      </c>
      <c r="F114" s="70">
        <f t="shared" ref="F114:H114" si="179">F111</f>
        <v>176012.5725853536</v>
      </c>
      <c r="G114" s="70">
        <f t="shared" si="179"/>
        <v>180070.95834827382</v>
      </c>
      <c r="H114" s="70">
        <f t="shared" si="179"/>
        <v>197144.5721051358</v>
      </c>
      <c r="I114" s="70">
        <f t="shared" ref="I114:L114" si="180">I111</f>
        <v>200046.27271004446</v>
      </c>
      <c r="J114" s="70">
        <f t="shared" si="180"/>
        <v>202480.0764041552</v>
      </c>
      <c r="K114" s="70">
        <f t="shared" si="180"/>
        <v>206484.01637205016</v>
      </c>
      <c r="L114" s="70">
        <f t="shared" si="180"/>
        <v>207644.51167452318</v>
      </c>
      <c r="M114" s="70">
        <f t="shared" ref="M114:N114" si="181">M111</f>
        <v>166891.24556249852</v>
      </c>
      <c r="N114" s="70">
        <f t="shared" si="181"/>
        <v>196935.59048094545</v>
      </c>
      <c r="O114" s="70">
        <f t="shared" ref="O114" si="182">O111</f>
        <v>203670.16202509767</v>
      </c>
      <c r="P114" s="403"/>
      <c r="Q114" s="226">
        <f t="shared" ref="Q114:W114" si="183">Q95</f>
        <v>249622814</v>
      </c>
      <c r="R114" s="226">
        <f t="shared" ref="R114" si="184">R95</f>
        <v>295516599</v>
      </c>
      <c r="S114" s="226">
        <f t="shared" si="183"/>
        <v>301231207</v>
      </c>
      <c r="T114" s="226">
        <f t="shared" si="183"/>
        <v>309327143</v>
      </c>
      <c r="U114" s="226">
        <f t="shared" si="183"/>
        <v>320738994</v>
      </c>
      <c r="V114" s="226">
        <f>V95</f>
        <v>323071755</v>
      </c>
      <c r="W114" s="226">
        <f t="shared" si="183"/>
        <v>325122128</v>
      </c>
      <c r="X114" s="226">
        <f t="shared" ref="X114:Y114" si="185">X95</f>
        <v>326838199</v>
      </c>
      <c r="Y114" s="226">
        <f t="shared" si="185"/>
        <v>328329953</v>
      </c>
      <c r="Z114" s="226">
        <f t="shared" ref="Z114:AA114" si="186">Z95</f>
        <v>331511512</v>
      </c>
      <c r="AA114" s="226">
        <f t="shared" si="186"/>
        <v>332031554</v>
      </c>
      <c r="AB114" s="226">
        <f t="shared" ref="AB114" si="187">AB95</f>
        <v>333287557</v>
      </c>
      <c r="AC114" s="227"/>
      <c r="AD114" s="70">
        <f>VLOOKUP($B114,'ODS Subs Data'!$A$46:$AH$54,'ODS Subs Data'!$B$43,FALSE)</f>
        <v>0</v>
      </c>
      <c r="AE114" s="70">
        <f>VLOOKUP($B114,'ODS Subs Data'!$A$46:$AH$54,'ODS Subs Data'!$Q$43,FALSE)</f>
        <v>1.6416810000000002</v>
      </c>
      <c r="AF114" s="70">
        <f>VLOOKUP($B114,'ODS Subs Data'!$A$46:$AH$54,'ODS Subs Data'!$S$43,FALSE)</f>
        <v>1.6456378</v>
      </c>
      <c r="AG114" s="70">
        <f>VLOOKUP($B114,'ODS Subs Data'!$A$46:$AH$54,'ODS Subs Data'!$V$43,FALSE)</f>
        <v>1.6802280000000001</v>
      </c>
      <c r="AH114" s="70">
        <f>VLOOKUP($B114,'ODS Subs Data'!$A$46:$AH$54,'ODS Subs Data'!$AA$43,FALSE)</f>
        <v>1.8550949999999999</v>
      </c>
      <c r="AI114" s="70">
        <f>VLOOKUP($B114,'ODS Subs Data'!$A$46:$AH$54,'ODS Subs Data'!$AB$43,FALSE)</f>
        <v>1.8922034999999999</v>
      </c>
      <c r="AJ114" s="70">
        <f>VLOOKUP($B114,'ODS Subs Data'!$A$46:$AH$54,'ODS Subs Data'!$AC$43,FALSE)</f>
        <v>1.9300545</v>
      </c>
      <c r="AK114" s="70">
        <f>VLOOKUP($B114,'ODS Subs Data'!$A$46:$AH$54,'ODS Subs Data'!$AD$43,FALSE)</f>
        <v>1.968648</v>
      </c>
      <c r="AL114" s="70">
        <f>VLOOKUP($B114,'ODS Subs Data'!$A$46:$AH$54,'ODS Subs Data'!$AE$43,FALSE)</f>
        <v>2.0080334999999998</v>
      </c>
      <c r="AM114" s="70">
        <f>VLOOKUP($B114,'ODS Subs Data'!$A$46:$AH$54,'ODS Subs Data'!$AF$43,FALSE)</f>
        <v>2.0481945000000001</v>
      </c>
      <c r="AN114" s="70">
        <f>VLOOKUP($B114,'ODS Subs Data'!$A$46:$AH$54,'ODS Subs Data'!$AG$43,FALSE)</f>
        <v>2.0891640000000002</v>
      </c>
      <c r="AO114" s="70">
        <f>VLOOKUP($B114,'ODS Subs Data'!$A$46:$AH$54,'ODS Subs Data'!$AH$43,FALSE)</f>
        <v>2.1309420000000001</v>
      </c>
      <c r="AP114" s="403"/>
      <c r="AQ114" s="228">
        <f t="shared" si="159"/>
        <v>0</v>
      </c>
      <c r="AR114" s="228">
        <f t="shared" si="159"/>
        <v>9.5266438795335888E-4</v>
      </c>
      <c r="AS114" s="228">
        <f t="shared" si="159"/>
        <v>9.6156352990910945E-4</v>
      </c>
      <c r="AT114" s="228">
        <f t="shared" si="159"/>
        <v>9.7812388291965515E-4</v>
      </c>
      <c r="AU114" s="228">
        <f t="shared" si="159"/>
        <v>1.1402477304938386E-3</v>
      </c>
      <c r="AV114" s="228">
        <f t="shared" si="159"/>
        <v>1.1716538246554565E-3</v>
      </c>
      <c r="AW114" s="228">
        <f t="shared" si="159"/>
        <v>1.2020024137642934E-3</v>
      </c>
      <c r="AX114" s="228">
        <f t="shared" si="159"/>
        <v>1.2437173717959565E-3</v>
      </c>
      <c r="AY114" s="228">
        <f t="shared" si="159"/>
        <v>1.2699332842580574E-3</v>
      </c>
      <c r="AZ114" s="228">
        <f t="shared" si="159"/>
        <v>1.0311127031367132E-3</v>
      </c>
      <c r="BA114" s="228">
        <f t="shared" si="159"/>
        <v>1.2391314650520655E-3</v>
      </c>
      <c r="BB114" s="228">
        <f t="shared" si="159"/>
        <v>1.3022067379673753E-3</v>
      </c>
      <c r="BE114" s="151"/>
      <c r="BG114" s="151"/>
      <c r="BI114" s="151"/>
    </row>
    <row r="115" spans="1:62" s="42" customFormat="1">
      <c r="B115" s="134" t="s">
        <v>170</v>
      </c>
      <c r="D115" s="70">
        <f>D111</f>
        <v>128002.03120220246</v>
      </c>
      <c r="E115" s="70">
        <f>E111</f>
        <v>171487.7250308636</v>
      </c>
      <c r="F115" s="70">
        <f t="shared" ref="F115:H115" si="188">F111</f>
        <v>176012.5725853536</v>
      </c>
      <c r="G115" s="70">
        <f t="shared" si="188"/>
        <v>180070.95834827382</v>
      </c>
      <c r="H115" s="70">
        <f t="shared" si="188"/>
        <v>197144.5721051358</v>
      </c>
      <c r="I115" s="70">
        <f t="shared" ref="I115:L115" si="189">I111</f>
        <v>200046.27271004446</v>
      </c>
      <c r="J115" s="70">
        <f t="shared" si="189"/>
        <v>202480.0764041552</v>
      </c>
      <c r="K115" s="70">
        <f t="shared" si="189"/>
        <v>206484.01637205016</v>
      </c>
      <c r="L115" s="70">
        <f t="shared" si="189"/>
        <v>207644.51167452318</v>
      </c>
      <c r="M115" s="70">
        <f t="shared" ref="M115:N115" si="190">M111</f>
        <v>166891.24556249852</v>
      </c>
      <c r="N115" s="70">
        <f t="shared" si="190"/>
        <v>196935.59048094545</v>
      </c>
      <c r="O115" s="70">
        <f t="shared" ref="O115" si="191">O111</f>
        <v>203670.16202509767</v>
      </c>
      <c r="P115" s="403"/>
      <c r="Q115" s="226">
        <f t="shared" ref="Q115:W115" si="192">Q96</f>
        <v>249622814</v>
      </c>
      <c r="R115" s="226">
        <f t="shared" ref="R115" si="193">R96</f>
        <v>295516599</v>
      </c>
      <c r="S115" s="226">
        <f t="shared" si="192"/>
        <v>301231207</v>
      </c>
      <c r="T115" s="226">
        <f t="shared" si="192"/>
        <v>309327143</v>
      </c>
      <c r="U115" s="226">
        <f t="shared" si="192"/>
        <v>320738994</v>
      </c>
      <c r="V115" s="226">
        <f>V96</f>
        <v>323071755</v>
      </c>
      <c r="W115" s="226">
        <f t="shared" si="192"/>
        <v>325122128</v>
      </c>
      <c r="X115" s="226">
        <f t="shared" ref="X115:Y115" si="194">X96</f>
        <v>326838199</v>
      </c>
      <c r="Y115" s="226">
        <f t="shared" si="194"/>
        <v>328329953</v>
      </c>
      <c r="Z115" s="226">
        <f t="shared" ref="Z115:AA115" si="195">Z96</f>
        <v>331511512</v>
      </c>
      <c r="AA115" s="226">
        <f t="shared" si="195"/>
        <v>332031554</v>
      </c>
      <c r="AB115" s="226">
        <f t="shared" ref="AB115" si="196">AB96</f>
        <v>333287557</v>
      </c>
      <c r="AC115" s="227"/>
      <c r="AD115" s="70">
        <f>VLOOKUP($B115,'ODS Subs Data'!$A$46:$AH$54,'ODS Subs Data'!$B$43,FALSE)</f>
        <v>0</v>
      </c>
      <c r="AE115" s="70">
        <f>VLOOKUP($B115,'ODS Subs Data'!$A$46:$AH$54,'ODS Subs Data'!$Q$43,FALSE)</f>
        <v>1.2058041080000002</v>
      </c>
      <c r="AF115" s="70">
        <f>VLOOKUP($B115,'ODS Subs Data'!$A$46:$AH$54,'ODS Subs Data'!$S$43,FALSE)</f>
        <v>1.3957860959999999</v>
      </c>
      <c r="AG115" s="70">
        <f>VLOOKUP($B115,'ODS Subs Data'!$A$46:$AH$54,'ODS Subs Data'!$V$43,FALSE)</f>
        <v>1.6717140079999999</v>
      </c>
      <c r="AH115" s="70">
        <f>VLOOKUP($B115,'ODS Subs Data'!$A$46:$AH$54,'ODS Subs Data'!$AA$43,FALSE)</f>
        <v>2.1273369799999995</v>
      </c>
      <c r="AI115" s="70">
        <f>VLOOKUP($B115,'ODS Subs Data'!$A$46:$AH$54,'ODS Subs Data'!$AB$43,FALSE)</f>
        <v>2.2160628099999999</v>
      </c>
      <c r="AJ115" s="70">
        <f>VLOOKUP($B115,'ODS Subs Data'!$A$46:$AH$54,'ODS Subs Data'!$AC$43,FALSE)</f>
        <v>2.30331245</v>
      </c>
      <c r="AK115" s="70">
        <f>VLOOKUP($B115,'ODS Subs Data'!$A$46:$AH$54,'ODS Subs Data'!$AD$43,FALSE)</f>
        <v>2.3889430579999997</v>
      </c>
      <c r="AL115" s="70">
        <f>VLOOKUP($B115,'ODS Subs Data'!$A$46:$AH$54,'ODS Subs Data'!$AE$43,FALSE)</f>
        <v>2.4728295379999996</v>
      </c>
      <c r="AM115" s="70">
        <f>VLOOKUP($B115,'ODS Subs Data'!$A$46:$AH$54,'ODS Subs Data'!$AF$43,FALSE)</f>
        <v>2.52815089</v>
      </c>
      <c r="AN115" s="70">
        <f>VLOOKUP($B115,'ODS Subs Data'!$A$46:$AH$54,'ODS Subs Data'!$AG$43,FALSE)</f>
        <v>2.5844474119999998</v>
      </c>
      <c r="AO115" s="70">
        <f>VLOOKUP($B115,'ODS Subs Data'!$A$46:$AH$54,'ODS Subs Data'!$AH$43,FALSE)</f>
        <v>2.6420306999999998</v>
      </c>
      <c r="AP115" s="403"/>
      <c r="AQ115" s="228">
        <f t="shared" si="159"/>
        <v>0</v>
      </c>
      <c r="AR115" s="228">
        <f t="shared" si="159"/>
        <v>6.9972584962575918E-4</v>
      </c>
      <c r="AS115" s="228">
        <f t="shared" si="159"/>
        <v>8.1557254303943122E-4</v>
      </c>
      <c r="AT115" s="228">
        <f t="shared" si="159"/>
        <v>9.7316756811345812E-4</v>
      </c>
      <c r="AU115" s="228">
        <f t="shared" si="159"/>
        <v>1.3075832576987247E-3</v>
      </c>
      <c r="AV115" s="228">
        <f t="shared" si="159"/>
        <v>1.3721877520114609E-3</v>
      </c>
      <c r="AW115" s="228">
        <f t="shared" si="159"/>
        <v>1.4344605940160491E-3</v>
      </c>
      <c r="AX115" s="228">
        <f t="shared" si="159"/>
        <v>1.509243898079268E-3</v>
      </c>
      <c r="AY115" s="228">
        <f t="shared" si="159"/>
        <v>1.5638825430963549E-3</v>
      </c>
      <c r="AZ115" s="228">
        <f t="shared" si="159"/>
        <v>1.272734839452692E-3</v>
      </c>
      <c r="BA115" s="228">
        <f t="shared" si="159"/>
        <v>1.5328955065191524E-3</v>
      </c>
      <c r="BB115" s="228">
        <f t="shared" si="159"/>
        <v>1.6145301840484916E-3</v>
      </c>
    </row>
    <row r="116" spans="1:62" s="42" customFormat="1">
      <c r="B116" s="56"/>
      <c r="Q116" s="403"/>
      <c r="R116" s="403"/>
    </row>
    <row r="117" spans="1:62" s="43" customFormat="1">
      <c r="A117" s="232"/>
      <c r="B117" s="220" t="s">
        <v>174</v>
      </c>
      <c r="C117" s="232"/>
      <c r="D117" s="233"/>
      <c r="E117" s="233"/>
      <c r="F117" s="233"/>
      <c r="G117" s="233"/>
      <c r="H117" s="233"/>
      <c r="I117" s="233"/>
      <c r="J117" s="233"/>
      <c r="K117" s="233"/>
      <c r="L117" s="233"/>
      <c r="M117" s="233"/>
      <c r="N117" s="233"/>
      <c r="O117" s="233"/>
      <c r="P117" s="234"/>
      <c r="Q117" s="235"/>
      <c r="R117" s="235"/>
      <c r="S117" s="235"/>
      <c r="T117" s="233"/>
      <c r="U117" s="233"/>
      <c r="V117" s="233"/>
      <c r="W117" s="233"/>
      <c r="X117" s="233"/>
      <c r="Y117" s="233"/>
      <c r="Z117" s="233"/>
      <c r="AA117" s="233"/>
      <c r="AB117" s="233"/>
      <c r="AC117" s="236"/>
      <c r="AD117" s="233"/>
      <c r="AE117" s="233"/>
      <c r="AF117" s="233"/>
      <c r="AG117" s="233"/>
      <c r="AH117" s="233"/>
      <c r="AI117" s="233"/>
      <c r="AJ117" s="233"/>
      <c r="AK117" s="233"/>
      <c r="AL117" s="233"/>
      <c r="AM117" s="233"/>
      <c r="AN117" s="233"/>
      <c r="AO117" s="233"/>
      <c r="AP117" s="234"/>
      <c r="AQ117" s="237">
        <f>SUM(AQ111:AQ115,AQ103,AQ107)</f>
        <v>1.3185321884271698E-4</v>
      </c>
      <c r="AR117" s="237">
        <f>SUM(AR111:AR115,AR103,AR107)</f>
        <v>5.9217063967790369E-2</v>
      </c>
      <c r="AS117" s="237">
        <f t="shared" ref="AS117:AW117" si="197">SUM(AS111:AS115,AS103,AS107)</f>
        <v>6.6455929561061597E-2</v>
      </c>
      <c r="AT117" s="237">
        <f>SUM(AT111:AT115,AT103,AT107)</f>
        <v>8.0406397488856154E-2</v>
      </c>
      <c r="AU117" s="237">
        <f t="shared" si="197"/>
        <v>9.6898258902177792E-2</v>
      </c>
      <c r="AV117" s="237">
        <f t="shared" si="197"/>
        <v>9.8202674657780709E-2</v>
      </c>
      <c r="AW117" s="237">
        <f t="shared" si="197"/>
        <v>9.8642766527494707E-2</v>
      </c>
      <c r="AX117" s="237">
        <f t="shared" ref="AX117:AY117" si="198">SUM(AX111:AX115,AX103,AX107)</f>
        <v>0.10069386924028367</v>
      </c>
      <c r="AY117" s="237">
        <f t="shared" si="198"/>
        <v>0.1033474813373061</v>
      </c>
      <c r="AZ117" s="237">
        <f t="shared" ref="AZ117:BB117" si="199">SUM(AZ111:AZ115,AZ103,AZ107)</f>
        <v>8.6688080399910675E-2</v>
      </c>
      <c r="BA117" s="237">
        <f t="shared" si="199"/>
        <v>0.10247583622670103</v>
      </c>
      <c r="BB117" s="237">
        <f t="shared" si="199"/>
        <v>0.10805309192775502</v>
      </c>
    </row>
    <row r="118" spans="1:62" s="222" customFormat="1">
      <c r="B118" s="239"/>
      <c r="D118" s="240"/>
      <c r="E118" s="240"/>
      <c r="F118" s="240"/>
      <c r="G118" s="240"/>
      <c r="H118" s="240"/>
      <c r="I118" s="240"/>
      <c r="J118" s="240"/>
      <c r="K118" s="240"/>
      <c r="L118" s="240"/>
      <c r="M118" s="240"/>
      <c r="N118" s="240"/>
      <c r="O118" s="240"/>
      <c r="Q118" s="405"/>
      <c r="R118" s="405"/>
      <c r="T118" s="240"/>
      <c r="U118" s="240"/>
      <c r="V118" s="240"/>
      <c r="W118" s="240"/>
      <c r="X118" s="240"/>
      <c r="Y118" s="240"/>
      <c r="Z118" s="240"/>
      <c r="AA118" s="240"/>
      <c r="AB118" s="240"/>
      <c r="AC118" s="240"/>
      <c r="AF118" s="238"/>
      <c r="AG118" s="240"/>
      <c r="AH118" s="240"/>
      <c r="AI118" s="240"/>
      <c r="AJ118" s="240"/>
      <c r="AK118" s="240"/>
      <c r="AL118" s="240"/>
      <c r="AM118" s="240"/>
      <c r="AN118" s="240"/>
      <c r="AO118" s="240"/>
      <c r="AQ118" s="238"/>
      <c r="AR118" s="238"/>
      <c r="AT118" s="240"/>
      <c r="AU118" s="240"/>
      <c r="AV118" s="240"/>
      <c r="AW118" s="240"/>
      <c r="AX118" s="240"/>
      <c r="AY118" s="240"/>
      <c r="AZ118" s="240"/>
      <c r="BA118" s="240"/>
      <c r="BB118" s="240"/>
    </row>
    <row r="119" spans="1:62" s="42" customFormat="1" ht="13.35" customHeight="1">
      <c r="A119" s="216" t="s">
        <v>91</v>
      </c>
      <c r="D119" s="601" t="s">
        <v>154</v>
      </c>
      <c r="E119" s="601"/>
      <c r="F119" s="601"/>
      <c r="G119" s="601"/>
      <c r="H119" s="601"/>
      <c r="I119" s="601"/>
      <c r="J119" s="601"/>
      <c r="K119" s="601"/>
      <c r="L119" s="601"/>
      <c r="M119" s="601"/>
      <c r="N119" s="601"/>
      <c r="O119" s="601"/>
      <c r="P119" s="403" t="s">
        <v>155</v>
      </c>
      <c r="Q119" s="601" t="s">
        <v>143</v>
      </c>
      <c r="R119" s="601"/>
      <c r="S119" s="601"/>
      <c r="T119" s="601"/>
      <c r="U119" s="601"/>
      <c r="V119" s="601"/>
      <c r="W119" s="601"/>
      <c r="X119" s="601"/>
      <c r="Y119" s="601"/>
      <c r="Z119" s="601"/>
      <c r="AA119" s="601"/>
      <c r="AB119" s="601"/>
      <c r="AC119" s="44" t="s">
        <v>156</v>
      </c>
      <c r="AD119" s="601" t="s">
        <v>157</v>
      </c>
      <c r="AE119" s="601"/>
      <c r="AF119" s="601"/>
      <c r="AG119" s="601"/>
      <c r="AH119" s="601"/>
      <c r="AI119" s="601"/>
      <c r="AJ119" s="601"/>
      <c r="AK119" s="601"/>
      <c r="AL119" s="601"/>
      <c r="AM119" s="601"/>
      <c r="AN119" s="601"/>
      <c r="AO119" s="601"/>
      <c r="AP119" s="47" t="s">
        <v>158</v>
      </c>
      <c r="AQ119" s="601" t="s">
        <v>159</v>
      </c>
      <c r="AR119" s="601"/>
      <c r="AS119" s="601"/>
      <c r="AT119" s="601"/>
      <c r="AU119" s="601"/>
      <c r="AV119" s="601"/>
      <c r="AW119" s="601"/>
      <c r="AX119" s="601"/>
      <c r="AY119" s="601"/>
      <c r="AZ119" s="601"/>
      <c r="BA119" s="601"/>
      <c r="BB119" s="601"/>
    </row>
    <row r="120" spans="1:62" s="42" customFormat="1">
      <c r="A120" s="218"/>
      <c r="AD120" s="602" t="s">
        <v>160</v>
      </c>
      <c r="AE120" s="602"/>
      <c r="AF120" s="602"/>
      <c r="AG120" s="602"/>
      <c r="AH120" s="602"/>
      <c r="AI120" s="602"/>
      <c r="AJ120" s="602"/>
      <c r="AK120" s="602"/>
      <c r="AL120" s="602"/>
      <c r="AM120" s="602"/>
      <c r="AN120" s="602"/>
      <c r="AO120" s="602"/>
      <c r="AQ120" s="602" t="s">
        <v>161</v>
      </c>
      <c r="AR120" s="602"/>
      <c r="AS120" s="602"/>
      <c r="AT120" s="602"/>
      <c r="AU120" s="602"/>
      <c r="AV120" s="602"/>
      <c r="AW120" s="602"/>
      <c r="AX120" s="602"/>
      <c r="AY120" s="602"/>
      <c r="AZ120" s="602"/>
      <c r="BA120" s="602"/>
      <c r="BB120" s="602"/>
      <c r="BF120" s="404"/>
      <c r="BG120" s="404"/>
      <c r="BH120" s="404"/>
      <c r="BI120" s="404"/>
      <c r="BJ120" s="56"/>
    </row>
    <row r="121" spans="1:62" s="42" customFormat="1">
      <c r="A121" s="218"/>
      <c r="B121" s="43"/>
      <c r="D121" s="149">
        <v>1990</v>
      </c>
      <c r="E121" s="149">
        <v>2005</v>
      </c>
      <c r="F121" s="149">
        <v>2007</v>
      </c>
      <c r="G121" s="149">
        <v>2010</v>
      </c>
      <c r="H121" s="149">
        <v>2015</v>
      </c>
      <c r="I121" s="149">
        <v>2016</v>
      </c>
      <c r="J121" s="149">
        <v>2017</v>
      </c>
      <c r="K121" s="149">
        <v>2018</v>
      </c>
      <c r="L121" s="149">
        <v>2019</v>
      </c>
      <c r="M121" s="149">
        <v>2020</v>
      </c>
      <c r="N121" s="149">
        <v>2021</v>
      </c>
      <c r="O121" s="149">
        <v>2022</v>
      </c>
      <c r="P121" s="404"/>
      <c r="Q121" s="149">
        <v>1990</v>
      </c>
      <c r="R121" s="149">
        <v>2005</v>
      </c>
      <c r="S121" s="149">
        <v>2007</v>
      </c>
      <c r="T121" s="149">
        <v>2010</v>
      </c>
      <c r="U121" s="149">
        <v>2015</v>
      </c>
      <c r="V121" s="149">
        <v>2016</v>
      </c>
      <c r="W121" s="149">
        <v>2017</v>
      </c>
      <c r="X121" s="149">
        <v>2018</v>
      </c>
      <c r="Y121" s="149">
        <v>2019</v>
      </c>
      <c r="Z121" s="149">
        <v>2020</v>
      </c>
      <c r="AA121" s="149">
        <v>2021</v>
      </c>
      <c r="AB121" s="149">
        <v>2022</v>
      </c>
      <c r="AC121" s="44"/>
      <c r="AD121" s="149">
        <v>1990</v>
      </c>
      <c r="AE121" s="149">
        <v>2005</v>
      </c>
      <c r="AF121" s="149">
        <v>2007</v>
      </c>
      <c r="AG121" s="149">
        <v>2010</v>
      </c>
      <c r="AH121" s="149">
        <v>2015</v>
      </c>
      <c r="AI121" s="149">
        <v>2016</v>
      </c>
      <c r="AJ121" s="149">
        <v>2017</v>
      </c>
      <c r="AK121" s="149">
        <v>2018</v>
      </c>
      <c r="AL121" s="149">
        <v>2019</v>
      </c>
      <c r="AM121" s="149">
        <v>2020</v>
      </c>
      <c r="AN121" s="149">
        <v>2021</v>
      </c>
      <c r="AO121" s="149">
        <v>2022</v>
      </c>
      <c r="AP121" s="404"/>
      <c r="AQ121" s="149">
        <v>1990</v>
      </c>
      <c r="AR121" s="149">
        <v>2005</v>
      </c>
      <c r="AS121" s="149">
        <v>2007</v>
      </c>
      <c r="AT121" s="149">
        <v>2010</v>
      </c>
      <c r="AU121" s="149">
        <v>2015</v>
      </c>
      <c r="AV121" s="149">
        <v>2016</v>
      </c>
      <c r="AW121" s="149">
        <v>2017</v>
      </c>
      <c r="AX121" s="149">
        <v>2018</v>
      </c>
      <c r="AY121" s="149">
        <v>2019</v>
      </c>
      <c r="AZ121" s="149">
        <v>2020</v>
      </c>
      <c r="BA121" s="149">
        <v>2021</v>
      </c>
      <c r="BB121" s="149">
        <v>2022</v>
      </c>
      <c r="BF121" s="404"/>
      <c r="BG121" s="404"/>
      <c r="BH121" s="404"/>
      <c r="BI121" s="404"/>
      <c r="BJ121" s="56"/>
    </row>
    <row r="122" spans="1:62" s="42" customFormat="1">
      <c r="B122" s="90" t="s">
        <v>162</v>
      </c>
      <c r="D122" s="70">
        <f>VLOOKUP(D$45,'ODS Subs Data'!$A$168:$W$200,'ODS Subs Data'!$W$165,FALSE)</f>
        <v>6000.7921562745933</v>
      </c>
      <c r="E122" s="70">
        <f>VLOOKUP(E$45,'ODS Subs Data'!$A$168:$W$200,'ODS Subs Data'!$W$165,FALSE)</f>
        <v>7492.5777720403885</v>
      </c>
      <c r="F122" s="70">
        <f>VLOOKUP(F$45,'ODS Subs Data'!$A$168:$W$200,'ODS Subs Data'!$W$165,FALSE)</f>
        <v>7475.9487419435745</v>
      </c>
      <c r="G122" s="70">
        <f>VLOOKUP(G$45,'ODS Subs Data'!$A$168:$W$200,'ODS Subs Data'!$W$165,FALSE)</f>
        <v>7525.7686330649558</v>
      </c>
      <c r="H122" s="70">
        <f>VLOOKUP(H$45,'ODS Subs Data'!$A$168:$W$200,'ODS Subs Data'!$W$165,FALSE)</f>
        <v>8570.4086985732993</v>
      </c>
      <c r="I122" s="70">
        <f>VLOOKUP(I$45,'ODS Subs Data'!$A$168:$W$200,'ODS Subs Data'!$W$165,FALSE)</f>
        <v>8662.3682167360421</v>
      </c>
      <c r="J122" s="70">
        <f>VLOOKUP(J$45,'ODS Subs Data'!$A$168:$W$200,'ODS Subs Data'!$W$165,FALSE)</f>
        <v>8759.5484185773112</v>
      </c>
      <c r="K122" s="70">
        <f>VLOOKUP(K$45,'ODS Subs Data'!$A$168:$W$200,'ODS Subs Data'!$W$165,FALSE)</f>
        <v>8827.7717667350753</v>
      </c>
      <c r="L122" s="70">
        <f>VLOOKUP(L$45,'ODS Subs Data'!$A$168:$W$200,'ODS Subs Data'!$W$165,FALSE)</f>
        <v>9056.2294880878562</v>
      </c>
      <c r="M122" s="70">
        <f>VLOOKUP(M$45,'ODS Subs Data'!$A$168:$W$200,'ODS Subs Data'!$W$165,FALSE)</f>
        <v>8628.2211380465887</v>
      </c>
      <c r="N122" s="70">
        <f>VLOOKUP(N$45,'ODS Subs Data'!$A$168:$W$200,'ODS Subs Data'!$W$165,FALSE)</f>
        <v>8586.0236948937199</v>
      </c>
      <c r="O122" s="70">
        <f>VLOOKUP(O$45,'ODS Subs Data'!$A$168:$W$200,'ODS Subs Data'!$W$165,FALSE)</f>
        <v>8866.0840365181084</v>
      </c>
      <c r="P122" s="403"/>
      <c r="Q122" s="226">
        <f>VLOOKUP(Q121,'ODS Subs Data'!$A$89:$C$121,2,FALSE)+VLOOKUP(Q121,'ODS Subs Data'!$A$89:$C$121,3,FALSE)</f>
        <v>188170927</v>
      </c>
      <c r="R122" s="226">
        <f>VLOOKUP(R121,'ODS Subs Data'!$A$89:$C$121,2,FALSE)+VLOOKUP(R121,'ODS Subs Data'!$A$89:$C$121,3,FALSE)</f>
        <v>240386921</v>
      </c>
      <c r="S122" s="226">
        <f>VLOOKUP(S121,'ODS Subs Data'!$A$89:$C$121,2,FALSE)+VLOOKUP(S121,'ODS Subs Data'!$A$89:$C$121,3,FALSE)</f>
        <v>246430169</v>
      </c>
      <c r="T122" s="226">
        <f>VLOOKUP(T121,'ODS Subs Data'!$A$89:$C$121,2,FALSE)+VLOOKUP(T121,'ODS Subs Data'!$A$89:$C$121,3,FALSE)</f>
        <v>241214494</v>
      </c>
      <c r="U122" s="226">
        <f>VLOOKUP(U121,'ODS Subs Data'!$A$89:$C$121,2,FALSE)+VLOOKUP(U121,'ODS Subs Data'!$A$89:$C$121,3,FALSE)</f>
        <v>254120376</v>
      </c>
      <c r="V122" s="226">
        <f>VLOOKUP(V121,'ODS Subs Data'!$A$89:$C$121,2,FALSE)+VLOOKUP(V121,'ODS Subs Data'!$A$89:$C$121,3,FALSE)</f>
        <v>259143542</v>
      </c>
      <c r="W122" s="226">
        <f>VLOOKUP(W121,'ODS Subs Data'!$A$89:$C$121,2,FALSE)+VLOOKUP(W121,'ODS Subs Data'!$A$89:$C$121,3,FALSE)</f>
        <v>262782463</v>
      </c>
      <c r="X122" s="226">
        <f>VLOOKUP(X121,'ODS Subs Data'!$A$89:$C$121,2,FALSE)+VLOOKUP(X121,'ODS Subs Data'!$A$89:$C$121,3,FALSE)</f>
        <v>263943762.85966885</v>
      </c>
      <c r="Y122" s="226">
        <f>VLOOKUP(Y121,'ODS Subs Data'!$A$89:$C$121,2,FALSE)+VLOOKUP(Y121,'ODS Subs Data'!$A$89:$C$121,3,FALSE)</f>
        <v>266899827.15515292</v>
      </c>
      <c r="Z122" s="226">
        <f>VLOOKUP(Z121,'ODS Subs Data'!$A$89:$C$121,2,FALSE)+VLOOKUP(Z121,'ODS Subs Data'!$A$89:$C$121,3,FALSE)</f>
        <v>266578628</v>
      </c>
      <c r="AA122" s="226">
        <f>VLOOKUP(AA121,'ODS Subs Data'!$A$89:$C$121,2,FALSE)+VLOOKUP(AA121,'ODS Subs Data'!$A$89:$C$121,3,FALSE)</f>
        <v>271534359.57747412</v>
      </c>
      <c r="AB122" s="226">
        <f>VLOOKUP(AB121,'ODS Subs Data'!$A$89:$C$121,2,FALSE)+VLOOKUP(AB121,'ODS Subs Data'!$A$89:$C$121,3,FALSE)</f>
        <v>272879203.49339122</v>
      </c>
      <c r="AC122" s="227"/>
      <c r="AD122" s="70">
        <f>VLOOKUP($B122,'ODS Subs Data'!$A$46:$AH$54,INDEX('ODS Subs Data'!$A$43:$AH$43,MATCH(AD121,'ODS Subs Data'!$A$45:$AH$45,0)),FALSE)</f>
        <v>0</v>
      </c>
      <c r="AE122" s="70">
        <f>VLOOKUP($B122,'ODS Subs Data'!$A$46:$AH$54,INDEX('ODS Subs Data'!$A$43:$AH$43,MATCH(AE121,'ODS Subs Data'!$A$45:$AH$45,0)),FALSE)</f>
        <v>61.533466841699997</v>
      </c>
      <c r="AF122" s="70">
        <f>VLOOKUP($B122,'ODS Subs Data'!$A$46:$AH$54,INDEX('ODS Subs Data'!$A$43:$AH$43,MATCH(AF121,'ODS Subs Data'!$A$45:$AH$45,0)),FALSE)</f>
        <v>62.910223398300005</v>
      </c>
      <c r="AG122" s="70">
        <f>VLOOKUP($B122,'ODS Subs Data'!$A$46:$AH$54,INDEX('ODS Subs Data'!$A$43:$AH$43,MATCH(AG121,'ODS Subs Data'!$A$45:$AH$45,0)),FALSE)</f>
        <v>59.223563384900004</v>
      </c>
      <c r="AH122" s="70">
        <f>VLOOKUP($B122,'ODS Subs Data'!$A$46:$AH$54,INDEX('ODS Subs Data'!$A$43:$AH$43,MATCH(AH121,'ODS Subs Data'!$A$45:$AH$45,0)),FALSE)</f>
        <v>37.220865681900008</v>
      </c>
      <c r="AI122" s="70">
        <f>VLOOKUP($B122,'ODS Subs Data'!$A$46:$AH$54,INDEX('ODS Subs Data'!$A$43:$AH$43,MATCH(AI121,'ODS Subs Data'!$A$45:$AH$45,0)),FALSE)</f>
        <v>34.005905660899998</v>
      </c>
      <c r="AJ122" s="70">
        <f>VLOOKUP($B122,'ODS Subs Data'!$A$46:$AH$54,INDEX('ODS Subs Data'!$A$43:$AH$43,MATCH(AJ121,'ODS Subs Data'!$A$45:$AH$45,0)),FALSE)</f>
        <v>30.674008980899998</v>
      </c>
      <c r="AK122" s="70">
        <f>VLOOKUP($B122,'ODS Subs Data'!$A$46:$AH$54,INDEX('ODS Subs Data'!$A$43:$AH$43,MATCH(AK121,'ODS Subs Data'!$A$45:$AH$45,0)),FALSE)</f>
        <v>28.664453929199993</v>
      </c>
      <c r="AL122" s="70">
        <f>VLOOKUP($B122,'ODS Subs Data'!$A$46:$AH$54,INDEX('ODS Subs Data'!$A$43:$AH$43,MATCH(AL121,'ODS Subs Data'!$A$45:$AH$45,0)),FALSE)</f>
        <v>26.643254329600001</v>
      </c>
      <c r="AM122" s="70">
        <f>VLOOKUP($B122,'ODS Subs Data'!$A$46:$AH$54,INDEX('ODS Subs Data'!$A$43:$AH$43,MATCH(AM121,'ODS Subs Data'!$A$45:$AH$45,0)),FALSE)</f>
        <v>24.630521789999996</v>
      </c>
      <c r="AN122" s="70">
        <f>VLOOKUP($B122,'ODS Subs Data'!$A$46:$AH$54,INDEX('ODS Subs Data'!$A$43:$AH$43,MATCH(AN121,'ODS Subs Data'!$A$45:$AH$45,0)),FALSE)</f>
        <v>22.854063608300002</v>
      </c>
      <c r="AO122" s="70">
        <f>VLOOKUP($B122,'ODS Subs Data'!$A$46:$AH$54,INDEX('ODS Subs Data'!$A$43:$AH$43,MATCH(AO121,'ODS Subs Data'!$A$45:$AH$45,0)),FALSE)</f>
        <v>20.792943220800002</v>
      </c>
      <c r="AP122" s="403"/>
      <c r="AQ122" s="228">
        <f t="shared" ref="AQ122:BB122" si="200">D122/Q122*AD122</f>
        <v>0</v>
      </c>
      <c r="AR122" s="228">
        <f t="shared" si="200"/>
        <v>1.9179258338048505E-3</v>
      </c>
      <c r="AS122" s="228">
        <f t="shared" si="200"/>
        <v>1.9085066060637655E-3</v>
      </c>
      <c r="AT122" s="228">
        <f t="shared" si="200"/>
        <v>1.8477448360147656E-3</v>
      </c>
      <c r="AU122" s="228">
        <f t="shared" si="200"/>
        <v>1.2553028451704488E-3</v>
      </c>
      <c r="AV122" s="228">
        <f t="shared" si="200"/>
        <v>1.1367123953963105E-3</v>
      </c>
      <c r="AW122" s="228">
        <f t="shared" si="200"/>
        <v>1.0224824891000006E-3</v>
      </c>
      <c r="AX122" s="228">
        <f t="shared" si="200"/>
        <v>9.5870140807080063E-4</v>
      </c>
      <c r="AY122" s="228">
        <f t="shared" si="200"/>
        <v>9.0403739893800666E-4</v>
      </c>
      <c r="AZ122" s="228">
        <f t="shared" si="200"/>
        <v>7.972041507753393E-4</v>
      </c>
      <c r="BA122" s="228">
        <f t="shared" si="200"/>
        <v>7.226545177222225E-4</v>
      </c>
      <c r="BB122" s="228">
        <f t="shared" si="200"/>
        <v>6.7558091493266571E-4</v>
      </c>
      <c r="BE122" s="67"/>
      <c r="BF122" s="403"/>
      <c r="BG122" s="229"/>
      <c r="BH122" s="403"/>
      <c r="BI122" s="229"/>
    </row>
    <row r="123" spans="1:62" s="42" customFormat="1">
      <c r="D123" s="72"/>
      <c r="E123" s="72"/>
      <c r="F123" s="72"/>
      <c r="G123" s="72"/>
      <c r="H123" s="72"/>
      <c r="I123" s="72"/>
      <c r="J123" s="72"/>
      <c r="K123" s="72"/>
      <c r="L123" s="72"/>
      <c r="M123" s="72"/>
      <c r="N123" s="72"/>
      <c r="O123" s="72"/>
      <c r="P123" s="403"/>
      <c r="Q123" s="230"/>
      <c r="R123" s="230"/>
      <c r="S123" s="230"/>
      <c r="T123" s="72"/>
      <c r="U123" s="72"/>
      <c r="V123" s="72"/>
      <c r="W123" s="72"/>
      <c r="X123" s="72"/>
      <c r="Y123" s="72"/>
      <c r="Z123" s="72"/>
      <c r="AA123" s="72"/>
      <c r="AB123" s="72"/>
      <c r="AC123" s="231"/>
      <c r="AD123" s="72"/>
      <c r="AE123" s="72"/>
      <c r="AF123" s="72"/>
      <c r="AG123" s="72"/>
      <c r="AH123" s="72"/>
      <c r="AI123" s="72"/>
      <c r="AJ123" s="72"/>
      <c r="AK123" s="72"/>
      <c r="AL123" s="72"/>
      <c r="AM123" s="72"/>
      <c r="AN123" s="72"/>
      <c r="AO123" s="72"/>
      <c r="AP123" s="403"/>
      <c r="AQ123" s="230"/>
      <c r="AR123" s="230"/>
      <c r="AS123" s="230"/>
      <c r="AT123" s="72"/>
      <c r="AU123" s="72"/>
      <c r="AV123" s="72"/>
      <c r="AW123" s="72"/>
      <c r="AX123" s="72"/>
      <c r="AY123" s="72"/>
      <c r="AZ123" s="72"/>
      <c r="BA123" s="72"/>
      <c r="BB123" s="72"/>
      <c r="BE123" s="67"/>
      <c r="BF123" s="403"/>
      <c r="BG123" s="229"/>
      <c r="BH123" s="403"/>
      <c r="BI123" s="229"/>
    </row>
    <row r="124" spans="1:62" s="42" customFormat="1" ht="13.35" customHeight="1">
      <c r="D124" s="603" t="s">
        <v>163</v>
      </c>
      <c r="E124" s="603"/>
      <c r="F124" s="603"/>
      <c r="G124" s="603"/>
      <c r="H124" s="603"/>
      <c r="I124" s="603"/>
      <c r="J124" s="603"/>
      <c r="K124" s="603"/>
      <c r="L124" s="603"/>
      <c r="M124" s="603"/>
      <c r="N124" s="603"/>
      <c r="O124" s="603"/>
      <c r="P124" s="403" t="s">
        <v>155</v>
      </c>
      <c r="Q124" s="599" t="s">
        <v>147</v>
      </c>
      <c r="R124" s="599"/>
      <c r="S124" s="599"/>
      <c r="T124" s="599"/>
      <c r="U124" s="599"/>
      <c r="V124" s="599"/>
      <c r="W124" s="599"/>
      <c r="X124" s="599"/>
      <c r="Y124" s="599"/>
      <c r="Z124" s="599"/>
      <c r="AA124" s="599"/>
      <c r="AB124" s="599"/>
      <c r="AC124" s="231" t="s">
        <v>156</v>
      </c>
      <c r="AD124" s="599" t="s">
        <v>157</v>
      </c>
      <c r="AE124" s="599"/>
      <c r="AF124" s="599"/>
      <c r="AG124" s="599"/>
      <c r="AH124" s="599"/>
      <c r="AI124" s="599"/>
      <c r="AJ124" s="599"/>
      <c r="AK124" s="599"/>
      <c r="AL124" s="599"/>
      <c r="AM124" s="599"/>
      <c r="AN124" s="599"/>
      <c r="AO124" s="599"/>
      <c r="AP124" s="47" t="s">
        <v>158</v>
      </c>
      <c r="AQ124" s="599" t="s">
        <v>159</v>
      </c>
      <c r="AR124" s="599"/>
      <c r="AS124" s="599"/>
      <c r="AT124" s="599"/>
      <c r="AU124" s="599"/>
      <c r="AV124" s="599"/>
      <c r="AW124" s="599"/>
      <c r="AX124" s="599"/>
      <c r="AY124" s="599"/>
      <c r="AZ124" s="599"/>
      <c r="BA124" s="599"/>
      <c r="BB124" s="599"/>
      <c r="BE124" s="414"/>
      <c r="BF124" s="403"/>
      <c r="BG124" s="229"/>
      <c r="BH124" s="403"/>
      <c r="BI124" s="229"/>
    </row>
    <row r="125" spans="1:62" s="42" customFormat="1">
      <c r="D125" s="149">
        <v>1990</v>
      </c>
      <c r="E125" s="149">
        <v>2005</v>
      </c>
      <c r="F125" s="149">
        <v>2007</v>
      </c>
      <c r="G125" s="149">
        <v>2010</v>
      </c>
      <c r="H125" s="149">
        <v>2015</v>
      </c>
      <c r="I125" s="149">
        <v>2016</v>
      </c>
      <c r="J125" s="149">
        <v>2017</v>
      </c>
      <c r="K125" s="149">
        <v>2018</v>
      </c>
      <c r="L125" s="149">
        <v>2019</v>
      </c>
      <c r="M125" s="149">
        <v>2020</v>
      </c>
      <c r="N125" s="149">
        <v>2021</v>
      </c>
      <c r="O125" s="149">
        <v>2022</v>
      </c>
      <c r="P125" s="404"/>
      <c r="Q125" s="149">
        <v>1990</v>
      </c>
      <c r="R125" s="149">
        <v>2005</v>
      </c>
      <c r="S125" s="149">
        <v>2007</v>
      </c>
      <c r="T125" s="149">
        <v>2010</v>
      </c>
      <c r="U125" s="149">
        <v>2015</v>
      </c>
      <c r="V125" s="149">
        <v>2016</v>
      </c>
      <c r="W125" s="149">
        <v>2017</v>
      </c>
      <c r="X125" s="149">
        <v>2018</v>
      </c>
      <c r="Y125" s="149">
        <v>2019</v>
      </c>
      <c r="Z125" s="149">
        <v>2020</v>
      </c>
      <c r="AA125" s="149">
        <v>2021</v>
      </c>
      <c r="AB125" s="149">
        <v>2022</v>
      </c>
      <c r="AC125" s="44"/>
      <c r="AD125" s="149">
        <v>1990</v>
      </c>
      <c r="AE125" s="149">
        <v>2005</v>
      </c>
      <c r="AF125" s="149">
        <v>2007</v>
      </c>
      <c r="AG125" s="149">
        <v>2010</v>
      </c>
      <c r="AH125" s="149">
        <v>2015</v>
      </c>
      <c r="AI125" s="149">
        <v>2016</v>
      </c>
      <c r="AJ125" s="149">
        <v>2017</v>
      </c>
      <c r="AK125" s="149">
        <v>2018</v>
      </c>
      <c r="AL125" s="149">
        <v>2019</v>
      </c>
      <c r="AM125" s="149">
        <v>2020</v>
      </c>
      <c r="AN125" s="149">
        <v>2021</v>
      </c>
      <c r="AO125" s="149">
        <v>2022</v>
      </c>
      <c r="AP125" s="404"/>
      <c r="AQ125" s="149">
        <v>1990</v>
      </c>
      <c r="AR125" s="149">
        <v>2005</v>
      </c>
      <c r="AS125" s="149">
        <v>2007</v>
      </c>
      <c r="AT125" s="149">
        <v>2010</v>
      </c>
      <c r="AU125" s="149">
        <v>2015</v>
      </c>
      <c r="AV125" s="149">
        <v>2016</v>
      </c>
      <c r="AW125" s="149">
        <v>2017</v>
      </c>
      <c r="AX125" s="149">
        <v>2018</v>
      </c>
      <c r="AY125" s="149">
        <v>2019</v>
      </c>
      <c r="AZ125" s="149">
        <v>2020</v>
      </c>
      <c r="BA125" s="149">
        <v>2021</v>
      </c>
      <c r="BB125" s="149">
        <v>2022</v>
      </c>
      <c r="BE125" s="67"/>
      <c r="BF125" s="403"/>
      <c r="BG125" s="229"/>
      <c r="BH125" s="403"/>
      <c r="BI125" s="229"/>
    </row>
    <row r="126" spans="1:62" s="42" customFormat="1">
      <c r="B126" s="90" t="s">
        <v>164</v>
      </c>
      <c r="D126" s="70">
        <f>(VLOOKUP(D125,'ODS Subs Data'!$A$206:$N$229,'ODS Subs Data'!$N$204,FALSE)/VLOOKUP(D125,'ODS Subs Data'!$A$206:$N$229,'ODS Subs Data'!$D$204,FALSE))*VLOOKUP(D125,'ODS Subs Data'!$A$206:$N$229,'ODS Subs Data'!$C$204,FALSE)</f>
        <v>2629.5707768838242</v>
      </c>
      <c r="E126" s="70">
        <f>(VLOOKUP(E125,'ODS Subs Data'!$A$206:$N$229,'ODS Subs Data'!$N$204,FALSE)/VLOOKUP(E125,'ODS Subs Data'!$A$206:$N$229,'ODS Subs Data'!$D$204,FALSE))*VLOOKUP(E125,'ODS Subs Data'!$A$206:$N$229,'ODS Subs Data'!$C$204,FALSE)</f>
        <v>2849.644789411484</v>
      </c>
      <c r="F126" s="70">
        <f>(VLOOKUP(F125,'ODS Subs Data'!$A$206:$N$229,'ODS Subs Data'!$N$204,FALSE)/VLOOKUP(F125,'ODS Subs Data'!$A$206:$N$229,'ODS Subs Data'!$D$204,FALSE))*VLOOKUP(F125,'ODS Subs Data'!$A$206:$N$229,'ODS Subs Data'!$C$204,FALSE)</f>
        <v>3023.1117891129265</v>
      </c>
      <c r="G126" s="70">
        <f>(VLOOKUP(G125,'ODS Subs Data'!$A$206:$N$229,'ODS Subs Data'!$N$204,FALSE)/VLOOKUP(G125,'ODS Subs Data'!$A$206:$N$229,'ODS Subs Data'!$D$204,FALSE))*VLOOKUP(G125,'ODS Subs Data'!$A$206:$N$229,'ODS Subs Data'!$C$204,FALSE)</f>
        <v>3407.1474145511406</v>
      </c>
      <c r="H126" s="70">
        <f>(VLOOKUP(H125,'ODS Subs Data'!$A$206:$N$229,'ODS Subs Data'!$N$204,FALSE)/VLOOKUP(H125,'ODS Subs Data'!$A$206:$N$229,'ODS Subs Data'!$D$204,FALSE))*VLOOKUP(H125,'ODS Subs Data'!$A$206:$N$229,'ODS Subs Data'!$C$204,FALSE)</f>
        <v>3941.3395096047398</v>
      </c>
      <c r="I126" s="70">
        <f>(VLOOKUP(I125,'ODS Subs Data'!$A$206:$N$229,'ODS Subs Data'!$N$204,FALSE)/VLOOKUP(I125,'ODS Subs Data'!$A$206:$N$229,'ODS Subs Data'!$D$204,FALSE))*VLOOKUP(I125,'ODS Subs Data'!$A$206:$N$229,'ODS Subs Data'!$C$204,FALSE)</f>
        <v>3918.8164801503281</v>
      </c>
      <c r="J126" s="70">
        <f>(VLOOKUP(J125,'ODS Subs Data'!$A$206:$N$229,'ODS Subs Data'!$N$204,FALSE)/VLOOKUP(J125,'ODS Subs Data'!$A$206:$N$229,'ODS Subs Data'!$D$204,FALSE))*VLOOKUP(J125,'ODS Subs Data'!$A$206:$N$229,'ODS Subs Data'!$C$204,FALSE)</f>
        <v>3897.2606488947986</v>
      </c>
      <c r="K126" s="70">
        <f>(VLOOKUP(K125,'ODS Subs Data'!$A$206:$N$229,'ODS Subs Data'!$N$204,FALSE)/VLOOKUP(K125,'ODS Subs Data'!$A$206:$N$229,'ODS Subs Data'!$D$204,FALSE))*VLOOKUP(K125,'ODS Subs Data'!$A$206:$N$229,'ODS Subs Data'!$C$204,FALSE)</f>
        <v>3914.2975060763051</v>
      </c>
      <c r="L126" s="70">
        <f>(VLOOKUP(L125,'ODS Subs Data'!$A$206:$N$229,'ODS Subs Data'!$N$204,FALSE)/VLOOKUP(L125,'ODS Subs Data'!$A$206:$N$229,'ODS Subs Data'!$D$204,FALSE))*VLOOKUP(L125,'ODS Subs Data'!$A$206:$N$229,'ODS Subs Data'!$C$204,FALSE)</f>
        <v>3878.044914141778</v>
      </c>
      <c r="M126" s="70">
        <f>(VLOOKUP(M125,'ODS Subs Data'!$A$206:$N$229,'ODS Subs Data'!$N$204,FALSE)/VLOOKUP(M125,'ODS Subs Data'!$A$206:$N$229,'ODS Subs Data'!$D$204,FALSE))*VLOOKUP(M125,'ODS Subs Data'!$A$206:$N$229,'ODS Subs Data'!$C$204,FALSE)</f>
        <v>3093.5930921174845</v>
      </c>
      <c r="N126" s="70">
        <f>(VLOOKUP(N125,'ODS Subs Data'!$A$206:$N$229,'ODS Subs Data'!$N$204,FALSE)/VLOOKUP(N125,'ODS Subs Data'!$A$206:$N$229,'ODS Subs Data'!$D$204,FALSE))*VLOOKUP(N125,'ODS Subs Data'!$A$206:$N$229,'ODS Subs Data'!$C$204,FALSE)</f>
        <v>3594.6292583748013</v>
      </c>
      <c r="O126" s="70">
        <f>(VLOOKUP(O125,'ODS Subs Data'!$A$206:$N$229,'ODS Subs Data'!$N$204,FALSE)/VLOOKUP(O125,'ODS Subs Data'!$A$206:$N$229,'ODS Subs Data'!$D$204,FALSE))*VLOOKUP(O125,'ODS Subs Data'!$A$206:$N$229,'ODS Subs Data'!$C$204,FALSE)</f>
        <v>3644.4126582456297</v>
      </c>
      <c r="P126" s="403"/>
      <c r="Q126" s="70">
        <f>VLOOKUP(Q125,'ODS Subs Data'!$A$206:$I$229,'ODS Subs Data'!$B$204,FALSE)</f>
        <v>66133333.333333284</v>
      </c>
      <c r="R126" s="70">
        <f>VLOOKUP(R125,'ODS Subs Data'!$A$206:$I$229,'ODS Subs Data'!$B$204,FALSE)</f>
        <v>88133333.333333313</v>
      </c>
      <c r="S126" s="70">
        <f>VLOOKUP(S125,'ODS Subs Data'!$A$206:$I$229,'ODS Subs Data'!$B$204,FALSE)</f>
        <v>91066666.666666657</v>
      </c>
      <c r="T126" s="70">
        <f>VLOOKUP(T125,'ODS Subs Data'!$A$206:$I$229,'ODS Subs Data'!$B$204,FALSE)</f>
        <v>95466666.666666672</v>
      </c>
      <c r="U126" s="70">
        <f>VLOOKUP(U125,'ODS Subs Data'!$A$206:$I$229,'ODS Subs Data'!$B$204,FALSE)</f>
        <v>102800000</v>
      </c>
      <c r="V126" s="70">
        <f>VLOOKUP(V125,'ODS Subs Data'!$A$206:$I$229,'ODS Subs Data'!$B$204,FALSE)</f>
        <v>104024000</v>
      </c>
      <c r="W126" s="70">
        <f>VLOOKUP(W125,'ODS Subs Data'!$A$206:$I$229,'ODS Subs Data'!$B$204,FALSE)</f>
        <v>105248000</v>
      </c>
      <c r="X126" s="70">
        <f>VLOOKUP(X125,'ODS Subs Data'!$A$206:$I$229,'ODS Subs Data'!$B$204,FALSE)</f>
        <v>106472000</v>
      </c>
      <c r="Y126" s="70">
        <f>VLOOKUP(Y125,'ODS Subs Data'!$A$206:$I$229,'ODS Subs Data'!$B$204,FALSE)</f>
        <v>107696000</v>
      </c>
      <c r="Z126" s="70">
        <f>VLOOKUP(Z125,'ODS Subs Data'!$A$206:$I$229,'ODS Subs Data'!$B$204,FALSE)</f>
        <v>108920000</v>
      </c>
      <c r="AA126" s="70">
        <f>VLOOKUP(AA125,'ODS Subs Data'!$A$206:$I$229,'ODS Subs Data'!$B$204,FALSE)</f>
        <v>110144000</v>
      </c>
      <c r="AB126" s="70">
        <f>VLOOKUP(AB125,'ODS Subs Data'!$A$206:$I$229,'ODS Subs Data'!$B$204,FALSE)</f>
        <v>111368000</v>
      </c>
      <c r="AC126" s="227"/>
      <c r="AD126" s="48">
        <f>HLOOKUP(AD125,'ODS Subs Data'!$A$45:$AH$49,ROWS('ODS Subs Data'!$A$45:$A$48),FALSE)</f>
        <v>1.5331524000000001E-2</v>
      </c>
      <c r="AE126" s="48">
        <f>HLOOKUP(AE125,'ODS Subs Data'!$A$45:$AH$49,ROWS('ODS Subs Data'!$A$45:$A$48),FALSE)</f>
        <v>2.9636769795000002</v>
      </c>
      <c r="AF126" s="48">
        <f>HLOOKUP(AF125,'ODS Subs Data'!$A$45:$AH$49,ROWS('ODS Subs Data'!$A$45:$A$48),FALSE)</f>
        <v>4.9444058864999993</v>
      </c>
      <c r="AG126" s="48">
        <f>HLOOKUP(AG125,'ODS Subs Data'!$A$45:$AH$49,ROWS('ODS Subs Data'!$A$45:$A$48),FALSE)</f>
        <v>9.4590427961999985</v>
      </c>
      <c r="AH126" s="48">
        <f>HLOOKUP(AH125,'ODS Subs Data'!$A$45:$AH$49,ROWS('ODS Subs Data'!$A$45:$A$48),FALSE)</f>
        <v>22.076133818999999</v>
      </c>
      <c r="AI126" s="48">
        <f>HLOOKUP(AI125,'ODS Subs Data'!$A$45:$AH$49,ROWS('ODS Subs Data'!$A$45:$A$48),FALSE)</f>
        <v>25.363225943400003</v>
      </c>
      <c r="AJ126" s="48">
        <f>HLOOKUP(AJ125,'ODS Subs Data'!$A$45:$AH$49,ROWS('ODS Subs Data'!$A$45:$A$48),FALSE)</f>
        <v>28.835006181299995</v>
      </c>
      <c r="AK126" s="48">
        <f>HLOOKUP(AK125,'ODS Subs Data'!$A$45:$AH$49,ROWS('ODS Subs Data'!$A$45:$A$48),FALSE)</f>
        <v>32.43467263334</v>
      </c>
      <c r="AL126" s="48">
        <f>HLOOKUP(AL125,'ODS Subs Data'!$A$45:$AH$49,ROWS('ODS Subs Data'!$A$45:$A$48),FALSE)</f>
        <v>35.986680838900007</v>
      </c>
      <c r="AM126" s="48">
        <f>HLOOKUP(AM125,'ODS Subs Data'!$A$45:$AH$49,ROWS('ODS Subs Data'!$A$45:$A$48),FALSE)</f>
        <v>40.1213199269</v>
      </c>
      <c r="AN126" s="48">
        <f>HLOOKUP(AN125,'ODS Subs Data'!$A$45:$AH$49,ROWS('ODS Subs Data'!$A$45:$A$48),FALSE)</f>
        <v>48.790876858400004</v>
      </c>
      <c r="AO126" s="48">
        <f>HLOOKUP(AO125,'ODS Subs Data'!$A$45:$AH$49,ROWS('ODS Subs Data'!$A$45:$A$48),FALSE)</f>
        <v>54.039902339999998</v>
      </c>
      <c r="AP126" s="403"/>
      <c r="AQ126" s="228">
        <f t="shared" ref="AQ126:BB126" si="201">D126/Q126*AD126</f>
        <v>6.0960676626249544E-7</v>
      </c>
      <c r="AR126" s="228">
        <f t="shared" si="201"/>
        <v>9.5825567270774691E-5</v>
      </c>
      <c r="AS126" s="228">
        <f t="shared" si="201"/>
        <v>1.6413790328298865E-4</v>
      </c>
      <c r="AT126" s="228">
        <f t="shared" si="201"/>
        <v>3.375874986787858E-4</v>
      </c>
      <c r="AU126" s="228">
        <f t="shared" si="201"/>
        <v>8.4639628832826905E-4</v>
      </c>
      <c r="AV126" s="228">
        <f t="shared" si="201"/>
        <v>9.5548938530312503E-4</v>
      </c>
      <c r="AW126" s="228">
        <f t="shared" si="201"/>
        <v>1.0677403361680862E-3</v>
      </c>
      <c r="AX126" s="228">
        <f t="shared" si="201"/>
        <v>1.1924163930337004E-3</v>
      </c>
      <c r="AY126" s="228">
        <f t="shared" si="201"/>
        <v>1.2958509564342179E-3</v>
      </c>
      <c r="AZ126" s="228">
        <f t="shared" si="201"/>
        <v>1.1395431341580373E-3</v>
      </c>
      <c r="BA126" s="228">
        <f t="shared" si="201"/>
        <v>1.5923256237013971E-3</v>
      </c>
      <c r="BB126" s="228">
        <f t="shared" si="201"/>
        <v>1.7684047853804828E-3</v>
      </c>
      <c r="BE126" s="67"/>
      <c r="BF126" s="403"/>
      <c r="BG126" s="229"/>
      <c r="BH126" s="403"/>
      <c r="BI126" s="229"/>
    </row>
    <row r="127" spans="1:62" s="42" customFormat="1">
      <c r="D127" s="72"/>
      <c r="E127" s="72"/>
      <c r="F127" s="72"/>
      <c r="G127" s="72"/>
      <c r="H127" s="72"/>
      <c r="I127" s="72"/>
      <c r="J127" s="72"/>
      <c r="K127" s="72"/>
      <c r="L127" s="72"/>
      <c r="M127" s="72"/>
      <c r="N127" s="72"/>
      <c r="O127" s="72"/>
      <c r="P127" s="403"/>
      <c r="Q127" s="230"/>
      <c r="R127" s="230"/>
      <c r="S127" s="230"/>
      <c r="T127" s="72"/>
      <c r="U127" s="72"/>
      <c r="V127" s="72"/>
      <c r="W127" s="72"/>
      <c r="X127" s="72"/>
      <c r="Y127" s="72"/>
      <c r="Z127" s="72"/>
      <c r="AA127" s="72"/>
      <c r="AB127" s="72"/>
      <c r="AC127" s="231"/>
      <c r="AD127" s="72"/>
      <c r="AE127" s="72"/>
      <c r="AF127" s="72"/>
      <c r="AG127" s="72"/>
      <c r="AH127" s="72"/>
      <c r="AI127" s="72"/>
      <c r="AJ127" s="72"/>
      <c r="AK127" s="72"/>
      <c r="AL127" s="72"/>
      <c r="AM127" s="72"/>
      <c r="AN127" s="72"/>
      <c r="AO127" s="72"/>
      <c r="AP127" s="403"/>
      <c r="AQ127" s="230"/>
      <c r="AR127" s="230"/>
      <c r="AS127" s="230"/>
      <c r="AT127" s="72"/>
      <c r="AU127" s="72"/>
      <c r="AV127" s="72"/>
      <c r="AW127" s="72"/>
      <c r="AX127" s="72"/>
      <c r="AY127" s="72"/>
      <c r="AZ127" s="72"/>
      <c r="BA127" s="72"/>
      <c r="BB127" s="72"/>
      <c r="BE127" s="67"/>
      <c r="BF127" s="403"/>
      <c r="BG127" s="229"/>
      <c r="BH127" s="403"/>
      <c r="BI127" s="229"/>
    </row>
    <row r="128" spans="1:62" s="42" customFormat="1" ht="13.35" customHeight="1">
      <c r="B128" s="129"/>
      <c r="D128" s="599" t="s">
        <v>165</v>
      </c>
      <c r="E128" s="599"/>
      <c r="F128" s="599"/>
      <c r="G128" s="599"/>
      <c r="H128" s="599"/>
      <c r="I128" s="599"/>
      <c r="J128" s="599"/>
      <c r="K128" s="599"/>
      <c r="L128" s="599"/>
      <c r="M128" s="599"/>
      <c r="N128" s="599"/>
      <c r="O128" s="599"/>
      <c r="P128" s="403" t="s">
        <v>155</v>
      </c>
      <c r="Q128" s="599" t="s">
        <v>152</v>
      </c>
      <c r="R128" s="599"/>
      <c r="S128" s="599"/>
      <c r="T128" s="599"/>
      <c r="U128" s="599"/>
      <c r="V128" s="599"/>
      <c r="W128" s="599"/>
      <c r="X128" s="599"/>
      <c r="Y128" s="599"/>
      <c r="Z128" s="599"/>
      <c r="AA128" s="599"/>
      <c r="AB128" s="599"/>
      <c r="AC128" s="44" t="s">
        <v>156</v>
      </c>
      <c r="AD128" s="599" t="s">
        <v>157</v>
      </c>
      <c r="AE128" s="599"/>
      <c r="AF128" s="599"/>
      <c r="AG128" s="599"/>
      <c r="AH128" s="599"/>
      <c r="AI128" s="599"/>
      <c r="AJ128" s="599"/>
      <c r="AK128" s="599"/>
      <c r="AL128" s="599"/>
      <c r="AM128" s="599"/>
      <c r="AN128" s="599"/>
      <c r="AO128" s="599"/>
      <c r="AP128" s="47" t="s">
        <v>158</v>
      </c>
      <c r="AQ128" s="599" t="s">
        <v>159</v>
      </c>
      <c r="AR128" s="599"/>
      <c r="AS128" s="599"/>
      <c r="AT128" s="599"/>
      <c r="AU128" s="599"/>
      <c r="AV128" s="599"/>
      <c r="AW128" s="599"/>
      <c r="AX128" s="599"/>
      <c r="AY128" s="599"/>
      <c r="AZ128" s="599"/>
      <c r="BA128" s="599"/>
      <c r="BB128" s="599"/>
      <c r="BE128" s="67"/>
      <c r="BF128" s="403"/>
      <c r="BG128" s="229"/>
      <c r="BH128" s="403"/>
      <c r="BI128" s="229"/>
    </row>
    <row r="129" spans="1:62" s="42" customFormat="1">
      <c r="B129" s="129"/>
      <c r="AD129" s="600" t="s">
        <v>161</v>
      </c>
      <c r="AE129" s="600"/>
      <c r="AF129" s="600"/>
      <c r="AG129" s="600"/>
      <c r="AH129" s="600"/>
      <c r="AI129" s="600"/>
      <c r="AJ129" s="600"/>
      <c r="AK129" s="600"/>
      <c r="AL129" s="600"/>
      <c r="AM129" s="600"/>
      <c r="AN129" s="600"/>
      <c r="AO129" s="600"/>
      <c r="AQ129" s="600" t="s">
        <v>161</v>
      </c>
      <c r="AR129" s="600"/>
      <c r="AS129" s="600"/>
      <c r="AT129" s="600"/>
      <c r="AU129" s="600"/>
      <c r="AV129" s="600"/>
      <c r="AW129" s="600"/>
      <c r="AX129" s="600"/>
      <c r="AY129" s="600"/>
      <c r="AZ129" s="600"/>
      <c r="BA129" s="600"/>
      <c r="BB129" s="600"/>
      <c r="BE129" s="67"/>
      <c r="BF129" s="403"/>
      <c r="BG129" s="229"/>
      <c r="BH129" s="403"/>
      <c r="BI129" s="229"/>
    </row>
    <row r="130" spans="1:62" s="42" customFormat="1">
      <c r="B130" s="134" t="s">
        <v>166</v>
      </c>
      <c r="D130" s="70">
        <f>INDEX('ODS Subs Data'!$N$206:$N$229,MATCH('ODS Subs'!D$121,'ODS Subs Data'!$A$206:$A$229,0))</f>
        <v>7738.0590394616092</v>
      </c>
      <c r="E130" s="70">
        <f>INDEX('ODS Subs Data'!$N$206:$N$229,MATCH('ODS Subs'!E$121,'ODS Subs Data'!$A$206:$A$229,0))</f>
        <v>8873.7570423139932</v>
      </c>
      <c r="F130" s="70">
        <f>INDEX('ODS Subs Data'!$N$206:$N$229,MATCH('ODS Subs'!F$121,'ODS Subs Data'!$A$206:$A$229,0))</f>
        <v>9114.758129651691</v>
      </c>
      <c r="G130" s="70">
        <f>INDEX('ODS Subs Data'!$N$206:$N$229,MATCH('ODS Subs'!G$121,'ODS Subs Data'!$A$206:$A$229,0))</f>
        <v>9795.8414874778082</v>
      </c>
      <c r="H130" s="70">
        <f>INDEX('ODS Subs Data'!$N$206:$N$229,MATCH('ODS Subs'!H$121,'ODS Subs Data'!$A$206:$A$229,0))</f>
        <v>10724.644307848004</v>
      </c>
      <c r="I130" s="70">
        <f>INDEX('ODS Subs Data'!$N$206:$N$229,MATCH('ODS Subs'!I$121,'ODS Subs Data'!$A$206:$A$229,0))</f>
        <v>10882.496520278768</v>
      </c>
      <c r="J130" s="70">
        <f>INDEX('ODS Subs Data'!$N$206:$N$229,MATCH('ODS Subs'!J$121,'ODS Subs Data'!$A$206:$A$229,0))</f>
        <v>11014.895189213683</v>
      </c>
      <c r="K130" s="70">
        <f>INDEX('ODS Subs Data'!$N$206:$N$229,MATCH('ODS Subs'!K$121,'ODS Subs Data'!$A$206:$A$229,0))</f>
        <v>11232.709108852057</v>
      </c>
      <c r="L130" s="70">
        <f>INDEX('ODS Subs Data'!$N$206:$N$229,MATCH('ODS Subs'!L$121,'ODS Subs Data'!$A$206:$A$229,0))</f>
        <v>11295.839933135236</v>
      </c>
      <c r="M130" s="70">
        <f>INDEX('ODS Subs Data'!$N$206:$N$229,MATCH('ODS Subs'!M$121,'ODS Subs Data'!$A$206:$A$229,0))</f>
        <v>9078.8664767143473</v>
      </c>
      <c r="N130" s="70">
        <f>INDEX('ODS Subs Data'!$N$206:$N$229,MATCH('ODS Subs'!N$121,'ODS Subs Data'!$A$206:$A$229,0))</f>
        <v>10713.27572913246</v>
      </c>
      <c r="O130" s="70">
        <f>INDEX('ODS Subs Data'!$N$206:$N$229,MATCH('ODS Subs'!O$121,'ODS Subs Data'!$A$206:$A$229,0))</f>
        <v>11079.635723757467</v>
      </c>
      <c r="P130" s="403"/>
      <c r="Q130" s="226">
        <f>Q111</f>
        <v>249622814</v>
      </c>
      <c r="R130" s="226">
        <f>R111</f>
        <v>295516599</v>
      </c>
      <c r="S130" s="226">
        <f t="shared" ref="S130:W130" si="202">S111</f>
        <v>301231207</v>
      </c>
      <c r="T130" s="226">
        <f t="shared" si="202"/>
        <v>309327143</v>
      </c>
      <c r="U130" s="226">
        <f t="shared" si="202"/>
        <v>320738994</v>
      </c>
      <c r="V130" s="226">
        <f>V111</f>
        <v>323071755</v>
      </c>
      <c r="W130" s="226">
        <f t="shared" si="202"/>
        <v>325122128</v>
      </c>
      <c r="X130" s="226">
        <f t="shared" ref="X130:Y130" si="203">X111</f>
        <v>326838199</v>
      </c>
      <c r="Y130" s="226">
        <f t="shared" si="203"/>
        <v>328329953</v>
      </c>
      <c r="Z130" s="226">
        <f t="shared" ref="Z130:AA130" si="204">Z111</f>
        <v>331511512</v>
      </c>
      <c r="AA130" s="226">
        <f t="shared" si="204"/>
        <v>332031554</v>
      </c>
      <c r="AB130" s="226">
        <f t="shared" ref="AB130" si="205">AB111</f>
        <v>333287557</v>
      </c>
      <c r="AC130" s="227"/>
      <c r="AD130" s="70">
        <f>VLOOKUP($B130,'ODS Subs Data'!$A$46:$AH$54,'ODS Subs Data'!$B$43,FALSE)</f>
        <v>3.5485200000000001E-4</v>
      </c>
      <c r="AE130" s="70">
        <f>VLOOKUP($B130,'ODS Subs Data'!$A$46:$AH$54,'ODS Subs Data'!$Q$43,FALSE)</f>
        <v>18.4710840109</v>
      </c>
      <c r="AF130" s="70">
        <f>VLOOKUP($B130,'ODS Subs Data'!$A$46:$AH$54,'ODS Subs Data'!$S$43,FALSE)</f>
        <v>26.201877207300001</v>
      </c>
      <c r="AG130" s="70">
        <f>VLOOKUP($B130,'ODS Subs Data'!$A$46:$AH$54,'ODS Subs Data'!$V$43,FALSE)</f>
        <v>42.267351500799997</v>
      </c>
      <c r="AH130" s="70">
        <f>VLOOKUP($B130,'ODS Subs Data'!$A$46:$AH$54,'ODS Subs Data'!$AA$43,FALSE)</f>
        <v>58.965182780299997</v>
      </c>
      <c r="AI130" s="70">
        <f>VLOOKUP($B130,'ODS Subs Data'!$A$46:$AH$54,'ODS Subs Data'!$AB$43,FALSE)</f>
        <v>60.648990855000008</v>
      </c>
      <c r="AJ130" s="70">
        <f>VLOOKUP($B130,'ODS Subs Data'!$A$46:$AH$54,'ODS Subs Data'!$AC$43,FALSE)</f>
        <v>60.933447877739994</v>
      </c>
      <c r="AK130" s="70">
        <f>VLOOKUP($B130,'ODS Subs Data'!$A$46:$AH$54,'ODS Subs Data'!$AD$43,FALSE)</f>
        <v>61.568224540540008</v>
      </c>
      <c r="AL130" s="70">
        <f>VLOOKUP($B130,'ODS Subs Data'!$A$46:$AH$54,'ODS Subs Data'!$AE$43,FALSE)</f>
        <v>63.839829161980006</v>
      </c>
      <c r="AM130" s="70">
        <f>VLOOKUP($B130,'ODS Subs Data'!$A$46:$AH$54,'ODS Subs Data'!$AF$43,FALSE)</f>
        <v>65.861211760999993</v>
      </c>
      <c r="AN130" s="70">
        <f>VLOOKUP($B130,'ODS Subs Data'!$A$46:$AH$54,'ODS Subs Data'!$AG$43,FALSE)</f>
        <v>67.901135420939994</v>
      </c>
      <c r="AO130" s="70">
        <f>VLOOKUP($B130,'ODS Subs Data'!$A$46:$AH$54,'ODS Subs Data'!$AH$43,FALSE)</f>
        <v>69.80410859541999</v>
      </c>
      <c r="AP130" s="403"/>
      <c r="AQ130" s="228">
        <f t="shared" ref="AQ130:BB134" si="206">D130/Q130*AD130</f>
        <v>1.1000059178369133E-8</v>
      </c>
      <c r="AR130" s="228">
        <f t="shared" si="206"/>
        <v>5.546487485831457E-4</v>
      </c>
      <c r="AS130" s="228">
        <f t="shared" si="206"/>
        <v>7.9282547006284459E-4</v>
      </c>
      <c r="AT130" s="228">
        <f t="shared" si="206"/>
        <v>1.338531987143928E-3</v>
      </c>
      <c r="AU130" s="228">
        <f t="shared" si="206"/>
        <v>1.9716362016960168E-3</v>
      </c>
      <c r="AV130" s="228">
        <f t="shared" si="206"/>
        <v>2.0429283022217661E-3</v>
      </c>
      <c r="AW130" s="228">
        <f t="shared" si="206"/>
        <v>2.0643797640581417E-3</v>
      </c>
      <c r="AX130" s="228">
        <f t="shared" si="206"/>
        <v>2.1159642866970165E-3</v>
      </c>
      <c r="AY130" s="228">
        <f t="shared" si="206"/>
        <v>2.1963408607207548E-3</v>
      </c>
      <c r="AZ130" s="228">
        <f t="shared" si="206"/>
        <v>1.8036934644149779E-3</v>
      </c>
      <c r="BA130" s="228">
        <f t="shared" si="206"/>
        <v>2.1908869121688743E-3</v>
      </c>
      <c r="BB130" s="228">
        <f t="shared" si="206"/>
        <v>2.3205309619730597E-3</v>
      </c>
      <c r="BE130" s="414"/>
      <c r="BF130" s="403"/>
      <c r="BG130" s="229"/>
      <c r="BH130" s="403"/>
      <c r="BI130" s="229"/>
    </row>
    <row r="131" spans="1:62" s="42" customFormat="1">
      <c r="B131" s="219" t="s">
        <v>167</v>
      </c>
      <c r="D131" s="70">
        <f>D130</f>
        <v>7738.0590394616092</v>
      </c>
      <c r="E131" s="70">
        <f>E130</f>
        <v>8873.7570423139932</v>
      </c>
      <c r="F131" s="70">
        <f t="shared" ref="F131" si="207">F130</f>
        <v>9114.758129651691</v>
      </c>
      <c r="G131" s="70">
        <f t="shared" ref="G131" si="208">G130</f>
        <v>9795.8414874778082</v>
      </c>
      <c r="H131" s="70">
        <f t="shared" ref="H131:L131" si="209">H130</f>
        <v>10724.644307848004</v>
      </c>
      <c r="I131" s="70">
        <f t="shared" si="209"/>
        <v>10882.496520278768</v>
      </c>
      <c r="J131" s="70">
        <f t="shared" si="209"/>
        <v>11014.895189213683</v>
      </c>
      <c r="K131" s="70">
        <f t="shared" si="209"/>
        <v>11232.709108852057</v>
      </c>
      <c r="L131" s="70">
        <f t="shared" si="209"/>
        <v>11295.839933135236</v>
      </c>
      <c r="M131" s="70">
        <f t="shared" ref="M131:N131" si="210">M130</f>
        <v>9078.8664767143473</v>
      </c>
      <c r="N131" s="70">
        <f t="shared" si="210"/>
        <v>10713.27572913246</v>
      </c>
      <c r="O131" s="70">
        <f t="shared" ref="O131" si="211">O130</f>
        <v>11079.635723757467</v>
      </c>
      <c r="P131" s="403"/>
      <c r="Q131" s="226">
        <f t="shared" ref="Q131:W131" si="212">Q112</f>
        <v>249622814</v>
      </c>
      <c r="R131" s="226">
        <f t="shared" ref="R131" si="213">R112</f>
        <v>295516599</v>
      </c>
      <c r="S131" s="226">
        <f t="shared" si="212"/>
        <v>301231207</v>
      </c>
      <c r="T131" s="226">
        <f t="shared" si="212"/>
        <v>309327143</v>
      </c>
      <c r="U131" s="226">
        <f t="shared" si="212"/>
        <v>320738994</v>
      </c>
      <c r="V131" s="226">
        <f>V112</f>
        <v>323071755</v>
      </c>
      <c r="W131" s="226">
        <f t="shared" si="212"/>
        <v>325122128</v>
      </c>
      <c r="X131" s="226">
        <f t="shared" ref="X131:Y131" si="214">X112</f>
        <v>326838199</v>
      </c>
      <c r="Y131" s="226">
        <f t="shared" si="214"/>
        <v>328329953</v>
      </c>
      <c r="Z131" s="226">
        <f t="shared" ref="Z131:AA131" si="215">Z112</f>
        <v>331511512</v>
      </c>
      <c r="AA131" s="226">
        <f t="shared" si="215"/>
        <v>332031554</v>
      </c>
      <c r="AB131" s="226">
        <f t="shared" ref="AB131" si="216">AB112</f>
        <v>333287557</v>
      </c>
      <c r="AC131" s="227"/>
      <c r="AD131" s="70">
        <f>VLOOKUP($B131,'ODS Subs Data'!$A$46:$AH$54,'ODS Subs Data'!$B$43,FALSE)</f>
        <v>0.23051244000000001</v>
      </c>
      <c r="AE131" s="70">
        <f>VLOOKUP($B131,'ODS Subs Data'!$A$46:$AH$54,'ODS Subs Data'!$Q$43,FALSE)</f>
        <v>10.175936419999999</v>
      </c>
      <c r="AF131" s="70">
        <f>VLOOKUP($B131,'ODS Subs Data'!$A$46:$AH$54,'ODS Subs Data'!$S$43,FALSE)</f>
        <v>11.7735906</v>
      </c>
      <c r="AG131" s="70">
        <f>VLOOKUP($B131,'ODS Subs Data'!$A$46:$AH$54,'ODS Subs Data'!$V$43,FALSE)</f>
        <v>15.597268</v>
      </c>
      <c r="AH131" s="70">
        <f>VLOOKUP($B131,'ODS Subs Data'!$A$46:$AH$54,'ODS Subs Data'!$AA$43,FALSE)</f>
        <v>19.694944899999996</v>
      </c>
      <c r="AI131" s="70">
        <f>VLOOKUP($B131,'ODS Subs Data'!$A$46:$AH$54,'ODS Subs Data'!$AB$43,FALSE)</f>
        <v>18.665525850000002</v>
      </c>
      <c r="AJ131" s="70">
        <f>VLOOKUP($B131,'ODS Subs Data'!$A$46:$AH$54,'ODS Subs Data'!$AC$43,FALSE)</f>
        <v>17.711663850000001</v>
      </c>
      <c r="AK131" s="70">
        <f>VLOOKUP($B131,'ODS Subs Data'!$A$46:$AH$54,'ODS Subs Data'!$AD$43,FALSE)</f>
        <v>16.695425880000002</v>
      </c>
      <c r="AL131" s="70">
        <f>VLOOKUP($B131,'ODS Subs Data'!$A$46:$AH$54,'ODS Subs Data'!$AE$43,FALSE)</f>
        <v>17.014575400000002</v>
      </c>
      <c r="AM131" s="70">
        <f>VLOOKUP($B131,'ODS Subs Data'!$A$46:$AH$54,'ODS Subs Data'!$AF$43,FALSE)</f>
        <v>17.339892519999999</v>
      </c>
      <c r="AN131" s="70">
        <f>VLOOKUP($B131,'ODS Subs Data'!$A$46:$AH$54,'ODS Subs Data'!$AG$43,FALSE)</f>
        <v>17.671530189999999</v>
      </c>
      <c r="AO131" s="70">
        <f>VLOOKUP($B131,'ODS Subs Data'!$A$46:$AH$54,'ODS Subs Data'!$AH$43,FALSE)</f>
        <v>17.037062899999999</v>
      </c>
      <c r="AP131" s="403"/>
      <c r="AQ131" s="228">
        <f t="shared" si="206"/>
        <v>7.1456564464911121E-6</v>
      </c>
      <c r="AR131" s="228">
        <f t="shared" si="206"/>
        <v>3.0556248878972256E-4</v>
      </c>
      <c r="AS131" s="228">
        <f t="shared" si="206"/>
        <v>3.5624937968840902E-4</v>
      </c>
      <c r="AT131" s="228">
        <f t="shared" si="206"/>
        <v>4.9393778859461426E-4</v>
      </c>
      <c r="AU131" s="228">
        <f t="shared" si="206"/>
        <v>6.5854567940424799E-4</v>
      </c>
      <c r="AV131" s="228">
        <f t="shared" si="206"/>
        <v>6.287380960053237E-4</v>
      </c>
      <c r="AW131" s="228">
        <f t="shared" si="206"/>
        <v>6.0005796017161559E-4</v>
      </c>
      <c r="AX131" s="228">
        <f t="shared" si="206"/>
        <v>5.7378501941396517E-4</v>
      </c>
      <c r="AY131" s="228">
        <f t="shared" si="206"/>
        <v>5.8536822026914012E-4</v>
      </c>
      <c r="AZ131" s="228">
        <f t="shared" si="206"/>
        <v>4.748751195996411E-4</v>
      </c>
      <c r="BA131" s="228">
        <f t="shared" si="206"/>
        <v>5.7018669822314085E-4</v>
      </c>
      <c r="BB131" s="228">
        <f t="shared" si="206"/>
        <v>5.6637113138533087E-4</v>
      </c>
    </row>
    <row r="132" spans="1:62" s="42" customFormat="1">
      <c r="B132" s="134" t="s">
        <v>168</v>
      </c>
      <c r="D132" s="70">
        <f>D130</f>
        <v>7738.0590394616092</v>
      </c>
      <c r="E132" s="70">
        <f>E130</f>
        <v>8873.7570423139932</v>
      </c>
      <c r="F132" s="70">
        <f t="shared" ref="F132:H132" si="217">F130</f>
        <v>9114.758129651691</v>
      </c>
      <c r="G132" s="70">
        <f t="shared" si="217"/>
        <v>9795.8414874778082</v>
      </c>
      <c r="H132" s="70">
        <f t="shared" si="217"/>
        <v>10724.644307848004</v>
      </c>
      <c r="I132" s="70">
        <f t="shared" ref="I132:L132" si="218">I130</f>
        <v>10882.496520278768</v>
      </c>
      <c r="J132" s="70">
        <f t="shared" si="218"/>
        <v>11014.895189213683</v>
      </c>
      <c r="K132" s="70">
        <f t="shared" si="218"/>
        <v>11232.709108852057</v>
      </c>
      <c r="L132" s="70">
        <f t="shared" si="218"/>
        <v>11295.839933135236</v>
      </c>
      <c r="M132" s="70">
        <f t="shared" ref="M132:N132" si="219">M130</f>
        <v>9078.8664767143473</v>
      </c>
      <c r="N132" s="70">
        <f t="shared" si="219"/>
        <v>10713.27572913246</v>
      </c>
      <c r="O132" s="70">
        <f t="shared" ref="O132" si="220">O130</f>
        <v>11079.635723757467</v>
      </c>
      <c r="P132" s="403"/>
      <c r="Q132" s="226">
        <f t="shared" ref="Q132:W132" si="221">Q113</f>
        <v>249622814</v>
      </c>
      <c r="R132" s="226">
        <f t="shared" ref="R132" si="222">R113</f>
        <v>295516599</v>
      </c>
      <c r="S132" s="226">
        <f t="shared" si="221"/>
        <v>301231207</v>
      </c>
      <c r="T132" s="226">
        <f t="shared" si="221"/>
        <v>309327143</v>
      </c>
      <c r="U132" s="226">
        <f t="shared" si="221"/>
        <v>320738994</v>
      </c>
      <c r="V132" s="226">
        <f>V113</f>
        <v>323071755</v>
      </c>
      <c r="W132" s="226">
        <f t="shared" si="221"/>
        <v>325122128</v>
      </c>
      <c r="X132" s="226">
        <f t="shared" ref="X132:Y132" si="223">X113</f>
        <v>326838199</v>
      </c>
      <c r="Y132" s="226">
        <f t="shared" si="223"/>
        <v>328329953</v>
      </c>
      <c r="Z132" s="226">
        <f t="shared" ref="Z132:AA132" si="224">Z113</f>
        <v>331511512</v>
      </c>
      <c r="AA132" s="226">
        <f t="shared" si="224"/>
        <v>332031554</v>
      </c>
      <c r="AB132" s="226">
        <f t="shared" ref="AB132" si="225">AB113</f>
        <v>333287557</v>
      </c>
      <c r="AC132" s="227"/>
      <c r="AD132" s="70">
        <f>VLOOKUP($B132,'ODS Subs Data'!$A$46:$AH$54,'ODS Subs Data'!$B$43,FALSE)</f>
        <v>6.6005399999999994E-3</v>
      </c>
      <c r="AE132" s="70">
        <f>VLOOKUP($B132,'ODS Subs Data'!$A$46:$AH$54,'ODS Subs Data'!$Q$43,FALSE)</f>
        <v>3.4888586672000002</v>
      </c>
      <c r="AF132" s="70">
        <f>VLOOKUP($B132,'ODS Subs Data'!$A$46:$AH$54,'ODS Subs Data'!$S$43,FALSE)</f>
        <v>4.2187536218000004</v>
      </c>
      <c r="AG132" s="70">
        <f>VLOOKUP($B132,'ODS Subs Data'!$A$46:$AH$54,'ODS Subs Data'!$V$43,FALSE)</f>
        <v>7.8990071527999977</v>
      </c>
      <c r="AH132" s="70">
        <f>VLOOKUP($B132,'ODS Subs Data'!$A$46:$AH$54,'ODS Subs Data'!$AA$43,FALSE)</f>
        <v>12.148485258799999</v>
      </c>
      <c r="AI132" s="70">
        <f>VLOOKUP($B132,'ODS Subs Data'!$A$46:$AH$54,'ODS Subs Data'!$AB$43,FALSE)</f>
        <v>13.061289361200002</v>
      </c>
      <c r="AJ132" s="70">
        <f>VLOOKUP($B132,'ODS Subs Data'!$A$46:$AH$54,'ODS Subs Data'!$AC$43,FALSE)</f>
        <v>13.815900991199996</v>
      </c>
      <c r="AK132" s="70">
        <f>VLOOKUP($B132,'ODS Subs Data'!$A$46:$AH$54,'ODS Subs Data'!$AD$43,FALSE)</f>
        <v>14.173388369400003</v>
      </c>
      <c r="AL132" s="70">
        <f>VLOOKUP($B132,'ODS Subs Data'!$A$46:$AH$54,'ODS Subs Data'!$AE$43,FALSE)</f>
        <v>14.1360476226</v>
      </c>
      <c r="AM132" s="70">
        <f>VLOOKUP($B132,'ODS Subs Data'!$A$46:$AH$54,'ODS Subs Data'!$AF$43,FALSE)</f>
        <v>13.699476005200001</v>
      </c>
      <c r="AN132" s="70">
        <f>VLOOKUP($B132,'ODS Subs Data'!$A$46:$AH$54,'ODS Subs Data'!$AG$43,FALSE)</f>
        <v>10.779920445200004</v>
      </c>
      <c r="AO132" s="70">
        <f>VLOOKUP($B132,'ODS Subs Data'!$A$46:$AH$54,'ODS Subs Data'!$AH$43,FALSE)</f>
        <v>11.687077275200004</v>
      </c>
      <c r="AP132" s="403"/>
      <c r="AQ132" s="228">
        <f t="shared" si="206"/>
        <v>2.0461017722654117E-7</v>
      </c>
      <c r="AR132" s="228">
        <f t="shared" si="206"/>
        <v>1.047632663358589E-4</v>
      </c>
      <c r="AS132" s="228">
        <f t="shared" si="206"/>
        <v>1.2765250736886325E-4</v>
      </c>
      <c r="AT132" s="228">
        <f t="shared" si="206"/>
        <v>2.501475338595882E-4</v>
      </c>
      <c r="AU132" s="228">
        <f t="shared" si="206"/>
        <v>4.0621248341186976E-4</v>
      </c>
      <c r="AV132" s="228">
        <f t="shared" si="206"/>
        <v>4.3996243504361166E-4</v>
      </c>
      <c r="AW132" s="228">
        <f t="shared" si="206"/>
        <v>4.6807242035098079E-4</v>
      </c>
      <c r="AX132" s="228">
        <f t="shared" si="206"/>
        <v>4.8710814441936523E-4</v>
      </c>
      <c r="AY132" s="228">
        <f t="shared" si="206"/>
        <v>4.863355590102572E-4</v>
      </c>
      <c r="AZ132" s="228">
        <f t="shared" si="206"/>
        <v>3.7517766035275081E-4</v>
      </c>
      <c r="BA132" s="228">
        <f t="shared" si="206"/>
        <v>3.4782314715648977E-4</v>
      </c>
      <c r="BB132" s="228">
        <f t="shared" si="206"/>
        <v>3.8851903158394849E-4</v>
      </c>
      <c r="BE132" s="67"/>
      <c r="BF132" s="403"/>
      <c r="BG132" s="229"/>
      <c r="BH132" s="403"/>
      <c r="BI132" s="229"/>
    </row>
    <row r="133" spans="1:62" s="42" customFormat="1">
      <c r="B133" s="134" t="s">
        <v>169</v>
      </c>
      <c r="D133" s="70">
        <f>D130</f>
        <v>7738.0590394616092</v>
      </c>
      <c r="E133" s="70">
        <f>E130</f>
        <v>8873.7570423139932</v>
      </c>
      <c r="F133" s="70">
        <f t="shared" ref="F133:H133" si="226">F130</f>
        <v>9114.758129651691</v>
      </c>
      <c r="G133" s="70">
        <f t="shared" si="226"/>
        <v>9795.8414874778082</v>
      </c>
      <c r="H133" s="70">
        <f t="shared" si="226"/>
        <v>10724.644307848004</v>
      </c>
      <c r="I133" s="70">
        <f t="shared" ref="I133:L133" si="227">I130</f>
        <v>10882.496520278768</v>
      </c>
      <c r="J133" s="70">
        <f t="shared" si="227"/>
        <v>11014.895189213683</v>
      </c>
      <c r="K133" s="70">
        <f t="shared" si="227"/>
        <v>11232.709108852057</v>
      </c>
      <c r="L133" s="70">
        <f t="shared" si="227"/>
        <v>11295.839933135236</v>
      </c>
      <c r="M133" s="70">
        <f t="shared" ref="M133:N133" si="228">M130</f>
        <v>9078.8664767143473</v>
      </c>
      <c r="N133" s="70">
        <f t="shared" si="228"/>
        <v>10713.27572913246</v>
      </c>
      <c r="O133" s="70">
        <f t="shared" ref="O133" si="229">O130</f>
        <v>11079.635723757467</v>
      </c>
      <c r="P133" s="403"/>
      <c r="Q133" s="226">
        <f t="shared" ref="Q133:W133" si="230">Q114</f>
        <v>249622814</v>
      </c>
      <c r="R133" s="226">
        <f t="shared" ref="R133" si="231">R114</f>
        <v>295516599</v>
      </c>
      <c r="S133" s="226">
        <f t="shared" si="230"/>
        <v>301231207</v>
      </c>
      <c r="T133" s="226">
        <f t="shared" si="230"/>
        <v>309327143</v>
      </c>
      <c r="U133" s="226">
        <f t="shared" si="230"/>
        <v>320738994</v>
      </c>
      <c r="V133" s="226">
        <f>V114</f>
        <v>323071755</v>
      </c>
      <c r="W133" s="226">
        <f t="shared" si="230"/>
        <v>325122128</v>
      </c>
      <c r="X133" s="226">
        <f t="shared" ref="X133:Y133" si="232">X114</f>
        <v>326838199</v>
      </c>
      <c r="Y133" s="226">
        <f t="shared" si="232"/>
        <v>328329953</v>
      </c>
      <c r="Z133" s="226">
        <f t="shared" ref="Z133:AA133" si="233">Z114</f>
        <v>331511512</v>
      </c>
      <c r="AA133" s="226">
        <f t="shared" si="233"/>
        <v>332031554</v>
      </c>
      <c r="AB133" s="226">
        <f t="shared" ref="AB133" si="234">AB114</f>
        <v>333287557</v>
      </c>
      <c r="AC133" s="227"/>
      <c r="AD133" s="70">
        <f>VLOOKUP($B133,'ODS Subs Data'!$A$46:$AH$54,'ODS Subs Data'!$B$43,FALSE)</f>
        <v>0</v>
      </c>
      <c r="AE133" s="70">
        <f>VLOOKUP($B133,'ODS Subs Data'!$A$46:$AH$54,'ODS Subs Data'!$Q$43,FALSE)</f>
        <v>1.6416810000000002</v>
      </c>
      <c r="AF133" s="70">
        <f>VLOOKUP($B133,'ODS Subs Data'!$A$46:$AH$54,'ODS Subs Data'!$S$43,FALSE)</f>
        <v>1.6456378</v>
      </c>
      <c r="AG133" s="70">
        <f>VLOOKUP($B133,'ODS Subs Data'!$A$46:$AH$54,'ODS Subs Data'!$V$43,FALSE)</f>
        <v>1.6802280000000001</v>
      </c>
      <c r="AH133" s="70">
        <f>VLOOKUP($B133,'ODS Subs Data'!$A$46:$AH$54,'ODS Subs Data'!$AA$43,FALSE)</f>
        <v>1.8550949999999999</v>
      </c>
      <c r="AI133" s="70">
        <f>VLOOKUP($B133,'ODS Subs Data'!$A$46:$AH$54,'ODS Subs Data'!$AB$43,FALSE)</f>
        <v>1.8922034999999999</v>
      </c>
      <c r="AJ133" s="70">
        <f>VLOOKUP($B133,'ODS Subs Data'!$A$46:$AH$54,'ODS Subs Data'!$AC$43,FALSE)</f>
        <v>1.9300545</v>
      </c>
      <c r="AK133" s="70">
        <f>VLOOKUP($B133,'ODS Subs Data'!$A$46:$AH$54,'ODS Subs Data'!$AD$43,FALSE)</f>
        <v>1.968648</v>
      </c>
      <c r="AL133" s="70">
        <f>VLOOKUP($B133,'ODS Subs Data'!$A$46:$AH$54,'ODS Subs Data'!$AE$43,FALSE)</f>
        <v>2.0080334999999998</v>
      </c>
      <c r="AM133" s="70">
        <f>VLOOKUP($B133,'ODS Subs Data'!$A$46:$AH$54,'ODS Subs Data'!$AF$43,FALSE)</f>
        <v>2.0481945000000001</v>
      </c>
      <c r="AN133" s="70">
        <f>VLOOKUP($B133,'ODS Subs Data'!$A$46:$AH$54,'ODS Subs Data'!$AG$43,FALSE)</f>
        <v>2.0891640000000002</v>
      </c>
      <c r="AO133" s="70">
        <f>VLOOKUP($B133,'ODS Subs Data'!$A$46:$AH$54,'ODS Subs Data'!$AH$43,FALSE)</f>
        <v>2.1309420000000001</v>
      </c>
      <c r="AP133" s="403"/>
      <c r="AQ133" s="228">
        <f t="shared" si="206"/>
        <v>0</v>
      </c>
      <c r="AR133" s="228">
        <f t="shared" si="206"/>
        <v>4.9296311558401091E-5</v>
      </c>
      <c r="AS133" s="228">
        <f t="shared" si="206"/>
        <v>4.9794278173881646E-5</v>
      </c>
      <c r="AT133" s="228">
        <f t="shared" si="206"/>
        <v>5.3209837944359968E-5</v>
      </c>
      <c r="AU133" s="228">
        <f t="shared" si="206"/>
        <v>6.2029358464182544E-5</v>
      </c>
      <c r="AV133" s="228">
        <f t="shared" si="206"/>
        <v>6.373784673441757E-5</v>
      </c>
      <c r="AW133" s="228">
        <f t="shared" si="206"/>
        <v>6.538880683928785E-5</v>
      </c>
      <c r="AX133" s="228">
        <f t="shared" si="206"/>
        <v>6.7658096236552156E-5</v>
      </c>
      <c r="AY133" s="228">
        <f t="shared" si="206"/>
        <v>6.9084239159786042E-5</v>
      </c>
      <c r="AZ133" s="228">
        <f t="shared" si="206"/>
        <v>5.6092424277081232E-5</v>
      </c>
      <c r="BA133" s="228">
        <f t="shared" si="206"/>
        <v>6.7408623384563292E-5</v>
      </c>
      <c r="BB133" s="228">
        <f t="shared" si="206"/>
        <v>7.0839911699599351E-5</v>
      </c>
      <c r="BE133" s="151"/>
      <c r="BG133" s="151"/>
      <c r="BI133" s="151"/>
    </row>
    <row r="134" spans="1:62" s="42" customFormat="1">
      <c r="B134" s="134" t="s">
        <v>170</v>
      </c>
      <c r="D134" s="70">
        <f>D130</f>
        <v>7738.0590394616092</v>
      </c>
      <c r="E134" s="70">
        <f>E130</f>
        <v>8873.7570423139932</v>
      </c>
      <c r="F134" s="70">
        <f t="shared" ref="F134:H134" si="235">F130</f>
        <v>9114.758129651691</v>
      </c>
      <c r="G134" s="70">
        <f t="shared" si="235"/>
        <v>9795.8414874778082</v>
      </c>
      <c r="H134" s="70">
        <f t="shared" si="235"/>
        <v>10724.644307848004</v>
      </c>
      <c r="I134" s="70">
        <f t="shared" ref="I134:L134" si="236">I130</f>
        <v>10882.496520278768</v>
      </c>
      <c r="J134" s="70">
        <f t="shared" si="236"/>
        <v>11014.895189213683</v>
      </c>
      <c r="K134" s="70">
        <f t="shared" si="236"/>
        <v>11232.709108852057</v>
      </c>
      <c r="L134" s="70">
        <f t="shared" si="236"/>
        <v>11295.839933135236</v>
      </c>
      <c r="M134" s="70">
        <f t="shared" ref="M134:N134" si="237">M130</f>
        <v>9078.8664767143473</v>
      </c>
      <c r="N134" s="70">
        <f t="shared" si="237"/>
        <v>10713.27572913246</v>
      </c>
      <c r="O134" s="70">
        <f t="shared" ref="O134" si="238">O130</f>
        <v>11079.635723757467</v>
      </c>
      <c r="P134" s="403"/>
      <c r="Q134" s="226">
        <f t="shared" ref="Q134:W134" si="239">Q115</f>
        <v>249622814</v>
      </c>
      <c r="R134" s="226">
        <f t="shared" ref="R134" si="240">R115</f>
        <v>295516599</v>
      </c>
      <c r="S134" s="226">
        <f t="shared" si="239"/>
        <v>301231207</v>
      </c>
      <c r="T134" s="226">
        <f t="shared" si="239"/>
        <v>309327143</v>
      </c>
      <c r="U134" s="226">
        <f t="shared" si="239"/>
        <v>320738994</v>
      </c>
      <c r="V134" s="226">
        <f>V115</f>
        <v>323071755</v>
      </c>
      <c r="W134" s="226">
        <f t="shared" si="239"/>
        <v>325122128</v>
      </c>
      <c r="X134" s="226">
        <f t="shared" ref="X134:Y134" si="241">X115</f>
        <v>326838199</v>
      </c>
      <c r="Y134" s="226">
        <f t="shared" si="241"/>
        <v>328329953</v>
      </c>
      <c r="Z134" s="226">
        <f t="shared" ref="Z134:AA134" si="242">Z115</f>
        <v>331511512</v>
      </c>
      <c r="AA134" s="226">
        <f t="shared" si="242"/>
        <v>332031554</v>
      </c>
      <c r="AB134" s="226">
        <f t="shared" ref="AB134" si="243">AB115</f>
        <v>333287557</v>
      </c>
      <c r="AC134" s="227"/>
      <c r="AD134" s="70">
        <f>VLOOKUP($B134,'ODS Subs Data'!$A$46:$AH$54,'ODS Subs Data'!$B$43,FALSE)</f>
        <v>0</v>
      </c>
      <c r="AE134" s="70">
        <f>VLOOKUP($B134,'ODS Subs Data'!$A$46:$AH$54,'ODS Subs Data'!$Q$43,FALSE)</f>
        <v>1.2058041080000002</v>
      </c>
      <c r="AF134" s="70">
        <f>VLOOKUP($B134,'ODS Subs Data'!$A$46:$AH$54,'ODS Subs Data'!$S$43,FALSE)</f>
        <v>1.3957860959999999</v>
      </c>
      <c r="AG134" s="70">
        <f>VLOOKUP($B134,'ODS Subs Data'!$A$46:$AH$54,'ODS Subs Data'!$V$43,FALSE)</f>
        <v>1.6717140079999999</v>
      </c>
      <c r="AH134" s="70">
        <f>VLOOKUP($B134,'ODS Subs Data'!$A$46:$AH$54,'ODS Subs Data'!$AA$43,FALSE)</f>
        <v>2.1273369799999995</v>
      </c>
      <c r="AI134" s="70">
        <f>VLOOKUP($B134,'ODS Subs Data'!$A$46:$AH$54,'ODS Subs Data'!$AB$43,FALSE)</f>
        <v>2.2160628099999999</v>
      </c>
      <c r="AJ134" s="70">
        <f>VLOOKUP($B134,'ODS Subs Data'!$A$46:$AH$54,'ODS Subs Data'!$AC$43,FALSE)</f>
        <v>2.30331245</v>
      </c>
      <c r="AK134" s="70">
        <f>VLOOKUP($B134,'ODS Subs Data'!$A$46:$AH$54,'ODS Subs Data'!$AD$43,FALSE)</f>
        <v>2.3889430579999997</v>
      </c>
      <c r="AL134" s="70">
        <f>VLOOKUP($B134,'ODS Subs Data'!$A$46:$AH$54,'ODS Subs Data'!$AE$43,FALSE)</f>
        <v>2.4728295379999996</v>
      </c>
      <c r="AM134" s="70">
        <f>VLOOKUP($B134,'ODS Subs Data'!$A$46:$AH$54,'ODS Subs Data'!$AF$43,FALSE)</f>
        <v>2.52815089</v>
      </c>
      <c r="AN134" s="70">
        <f>VLOOKUP($B134,'ODS Subs Data'!$A$46:$AH$54,'ODS Subs Data'!$AG$43,FALSE)</f>
        <v>2.5844474119999998</v>
      </c>
      <c r="AO134" s="70">
        <f>VLOOKUP($B134,'ODS Subs Data'!$A$46:$AH$54,'ODS Subs Data'!$AH$43,FALSE)</f>
        <v>2.6420306999999998</v>
      </c>
      <c r="AP134" s="403"/>
      <c r="AQ134" s="228">
        <f t="shared" si="206"/>
        <v>0</v>
      </c>
      <c r="AR134" s="228">
        <f t="shared" si="206"/>
        <v>3.6207822948775017E-5</v>
      </c>
      <c r="AS134" s="228">
        <f t="shared" si="206"/>
        <v>4.223417883051803E-5</v>
      </c>
      <c r="AT134" s="228">
        <f t="shared" si="206"/>
        <v>5.2940214932138064E-5</v>
      </c>
      <c r="AU134" s="228">
        <f t="shared" si="206"/>
        <v>7.1132393816236629E-5</v>
      </c>
      <c r="AV134" s="228">
        <f t="shared" si="206"/>
        <v>7.4646871616939055E-5</v>
      </c>
      <c r="AW134" s="228">
        <f t="shared" si="206"/>
        <v>7.8034507773524974E-5</v>
      </c>
      <c r="AX134" s="228">
        <f t="shared" si="206"/>
        <v>8.2102711770619827E-5</v>
      </c>
      <c r="AY134" s="228">
        <f t="shared" si="206"/>
        <v>8.5075048401620393E-5</v>
      </c>
      <c r="AZ134" s="228">
        <f t="shared" si="206"/>
        <v>6.9236643472268144E-5</v>
      </c>
      <c r="BA134" s="228">
        <f t="shared" si="206"/>
        <v>8.3389356820583372E-5</v>
      </c>
      <c r="BB134" s="228">
        <f t="shared" si="206"/>
        <v>8.7830274824763239E-5</v>
      </c>
    </row>
    <row r="135" spans="1:62" s="42" customFormat="1">
      <c r="B135" s="56"/>
      <c r="Q135" s="403"/>
      <c r="R135" s="403"/>
    </row>
    <row r="136" spans="1:62" s="43" customFormat="1">
      <c r="A136" s="232"/>
      <c r="B136" s="220" t="s">
        <v>175</v>
      </c>
      <c r="C136" s="232"/>
      <c r="D136" s="233"/>
      <c r="E136" s="233"/>
      <c r="F136" s="233"/>
      <c r="G136" s="233"/>
      <c r="H136" s="233"/>
      <c r="I136" s="233"/>
      <c r="J136" s="233"/>
      <c r="K136" s="233"/>
      <c r="L136" s="233"/>
      <c r="M136" s="233"/>
      <c r="N136" s="233"/>
      <c r="O136" s="233"/>
      <c r="P136" s="234"/>
      <c r="Q136" s="235"/>
      <c r="R136" s="235"/>
      <c r="S136" s="235"/>
      <c r="T136" s="233"/>
      <c r="U136" s="233"/>
      <c r="V136" s="233"/>
      <c r="W136" s="233"/>
      <c r="X136" s="233"/>
      <c r="Y136" s="233"/>
      <c r="Z136" s="233"/>
      <c r="AA136" s="233"/>
      <c r="AB136" s="233"/>
      <c r="AC136" s="236"/>
      <c r="AD136" s="233"/>
      <c r="AE136" s="233"/>
      <c r="AF136" s="233"/>
      <c r="AG136" s="233"/>
      <c r="AH136" s="233"/>
      <c r="AI136" s="233"/>
      <c r="AJ136" s="233"/>
      <c r="AK136" s="233"/>
      <c r="AL136" s="233"/>
      <c r="AM136" s="233"/>
      <c r="AN136" s="233"/>
      <c r="AO136" s="233"/>
      <c r="AP136" s="234"/>
      <c r="AQ136" s="237">
        <f>SUM(AQ130:AQ134,AQ122,AQ126)</f>
        <v>7.9708734491585171E-6</v>
      </c>
      <c r="AR136" s="237">
        <f>SUM(AR130:AR134,AR122,AR126)</f>
        <v>3.0642300392915282E-3</v>
      </c>
      <c r="AS136" s="237">
        <f t="shared" ref="AS136:AW136" si="244">SUM(AS130:AS134,AS122,AS126)</f>
        <v>3.4414003234712709E-3</v>
      </c>
      <c r="AT136" s="237">
        <f>SUM(AT130:AT134,AT122,AT126)</f>
        <v>4.3740996971681802E-3</v>
      </c>
      <c r="AU136" s="237">
        <f t="shared" si="244"/>
        <v>5.2712552502912719E-3</v>
      </c>
      <c r="AV136" s="237">
        <f t="shared" si="244"/>
        <v>5.3422153323214941E-3</v>
      </c>
      <c r="AW136" s="237">
        <f t="shared" si="244"/>
        <v>5.3661562844616369E-3</v>
      </c>
      <c r="AX136" s="237">
        <f t="shared" ref="AX136:AY136" si="245">SUM(AX130:AX134,AX122,AX126)</f>
        <v>5.47773605964202E-3</v>
      </c>
      <c r="AY136" s="237">
        <f t="shared" si="245"/>
        <v>5.6220922829337827E-3</v>
      </c>
      <c r="AZ136" s="237">
        <f t="shared" ref="AZ136:BB136" si="246">SUM(AZ130:AZ134,AZ122,AZ126)</f>
        <v>4.7158225970500957E-3</v>
      </c>
      <c r="BA136" s="237">
        <f t="shared" si="246"/>
        <v>5.5746748791772709E-3</v>
      </c>
      <c r="BB136" s="237">
        <f t="shared" si="246"/>
        <v>5.8780770117798503E-3</v>
      </c>
    </row>
    <row r="137" spans="1:62" s="222" customFormat="1">
      <c r="B137" s="239"/>
      <c r="D137" s="240"/>
      <c r="E137" s="240"/>
      <c r="F137" s="240"/>
      <c r="G137" s="240"/>
      <c r="H137" s="240"/>
      <c r="I137" s="240"/>
      <c r="J137" s="240"/>
      <c r="K137" s="240"/>
      <c r="L137" s="240"/>
      <c r="M137" s="240"/>
      <c r="N137" s="240"/>
      <c r="O137" s="240"/>
      <c r="Q137" s="405"/>
      <c r="R137" s="405"/>
      <c r="T137" s="240"/>
      <c r="U137" s="240"/>
      <c r="V137" s="240"/>
      <c r="W137" s="240"/>
      <c r="X137" s="240"/>
      <c r="Y137" s="240"/>
      <c r="Z137" s="240"/>
      <c r="AA137" s="240"/>
      <c r="AB137" s="240"/>
      <c r="AC137" s="240"/>
      <c r="AF137" s="238"/>
      <c r="AG137" s="240"/>
      <c r="AH137" s="240"/>
      <c r="AI137" s="240"/>
      <c r="AJ137" s="240"/>
      <c r="AK137" s="151"/>
      <c r="AL137" s="151"/>
      <c r="AM137" s="151"/>
      <c r="AN137" s="151"/>
      <c r="AO137" s="151"/>
      <c r="AP137" s="403"/>
      <c r="AQ137" s="230"/>
      <c r="AR137" s="230"/>
      <c r="AS137" s="230"/>
      <c r="AT137" s="240"/>
      <c r="AU137" s="240"/>
      <c r="AV137" s="240"/>
      <c r="AW137" s="240"/>
      <c r="AX137" s="240"/>
      <c r="AY137" s="240"/>
      <c r="AZ137" s="240"/>
      <c r="BA137" s="240"/>
      <c r="BB137" s="240"/>
    </row>
    <row r="138" spans="1:62" s="42" customFormat="1" ht="13.35" customHeight="1">
      <c r="A138" s="216" t="s">
        <v>89</v>
      </c>
      <c r="D138" s="601" t="s">
        <v>154</v>
      </c>
      <c r="E138" s="601"/>
      <c r="F138" s="601"/>
      <c r="G138" s="601"/>
      <c r="H138" s="601"/>
      <c r="I138" s="601"/>
      <c r="J138" s="601"/>
      <c r="K138" s="601"/>
      <c r="L138" s="601"/>
      <c r="M138" s="601"/>
      <c r="N138" s="601"/>
      <c r="O138" s="601"/>
      <c r="P138" s="403" t="s">
        <v>155</v>
      </c>
      <c r="Q138" s="601" t="s">
        <v>143</v>
      </c>
      <c r="R138" s="601"/>
      <c r="S138" s="601"/>
      <c r="T138" s="601"/>
      <c r="U138" s="601"/>
      <c r="V138" s="601"/>
      <c r="W138" s="601"/>
      <c r="X138" s="601"/>
      <c r="Y138" s="601"/>
      <c r="Z138" s="601"/>
      <c r="AA138" s="601"/>
      <c r="AB138" s="601"/>
      <c r="AC138" s="44" t="s">
        <v>156</v>
      </c>
      <c r="AD138" s="601" t="s">
        <v>157</v>
      </c>
      <c r="AE138" s="601"/>
      <c r="AF138" s="601"/>
      <c r="AG138" s="601"/>
      <c r="AH138" s="601"/>
      <c r="AI138" s="601"/>
      <c r="AJ138" s="601"/>
      <c r="AK138" s="601"/>
      <c r="AL138" s="601"/>
      <c r="AM138" s="601"/>
      <c r="AN138" s="601"/>
      <c r="AO138" s="601"/>
      <c r="AP138" s="242" t="s">
        <v>158</v>
      </c>
      <c r="AQ138" s="601" t="s">
        <v>159</v>
      </c>
      <c r="AR138" s="601"/>
      <c r="AS138" s="601"/>
      <c r="AT138" s="601"/>
      <c r="AU138" s="601"/>
      <c r="AV138" s="601"/>
      <c r="AW138" s="601"/>
      <c r="AX138" s="601"/>
      <c r="AY138" s="601"/>
      <c r="AZ138" s="601"/>
      <c r="BA138" s="601"/>
      <c r="BB138" s="601"/>
    </row>
    <row r="139" spans="1:62" s="42" customFormat="1">
      <c r="A139" s="218"/>
      <c r="AD139" s="602" t="s">
        <v>160</v>
      </c>
      <c r="AE139" s="602"/>
      <c r="AF139" s="602"/>
      <c r="AG139" s="602"/>
      <c r="AH139" s="602"/>
      <c r="AI139" s="602"/>
      <c r="AJ139" s="602"/>
      <c r="AK139" s="602"/>
      <c r="AL139" s="602"/>
      <c r="AM139" s="602"/>
      <c r="AN139" s="602"/>
      <c r="AO139" s="602"/>
      <c r="AQ139" s="602" t="s">
        <v>161</v>
      </c>
      <c r="AR139" s="602"/>
      <c r="AS139" s="602"/>
      <c r="AT139" s="602"/>
      <c r="AU139" s="602"/>
      <c r="AV139" s="602"/>
      <c r="AW139" s="602"/>
      <c r="AX139" s="602"/>
      <c r="AY139" s="602"/>
      <c r="AZ139" s="602"/>
      <c r="BA139" s="602"/>
      <c r="BB139" s="602"/>
      <c r="BF139" s="404"/>
      <c r="BG139" s="404"/>
      <c r="BH139" s="404"/>
      <c r="BI139" s="404"/>
      <c r="BJ139" s="56"/>
    </row>
    <row r="140" spans="1:62" s="42" customFormat="1">
      <c r="A140" s="218"/>
      <c r="B140" s="43"/>
      <c r="D140" s="149">
        <v>1990</v>
      </c>
      <c r="E140" s="149">
        <v>2005</v>
      </c>
      <c r="F140" s="149">
        <v>2007</v>
      </c>
      <c r="G140" s="149">
        <v>2010</v>
      </c>
      <c r="H140" s="149">
        <v>2015</v>
      </c>
      <c r="I140" s="149">
        <v>2016</v>
      </c>
      <c r="J140" s="149">
        <v>2017</v>
      </c>
      <c r="K140" s="149">
        <v>2018</v>
      </c>
      <c r="L140" s="149">
        <v>2019</v>
      </c>
      <c r="M140" s="149">
        <v>2020</v>
      </c>
      <c r="N140" s="149">
        <v>2021</v>
      </c>
      <c r="O140" s="149">
        <v>2022</v>
      </c>
      <c r="P140" s="404"/>
      <c r="Q140" s="149">
        <v>1990</v>
      </c>
      <c r="R140" s="149">
        <v>2005</v>
      </c>
      <c r="S140" s="149">
        <v>2007</v>
      </c>
      <c r="T140" s="149">
        <v>2010</v>
      </c>
      <c r="U140" s="149">
        <v>2015</v>
      </c>
      <c r="V140" s="149">
        <v>2016</v>
      </c>
      <c r="W140" s="149">
        <v>2017</v>
      </c>
      <c r="X140" s="149">
        <v>2018</v>
      </c>
      <c r="Y140" s="149">
        <v>2019</v>
      </c>
      <c r="Z140" s="149">
        <v>2020</v>
      </c>
      <c r="AA140" s="149">
        <v>2021</v>
      </c>
      <c r="AB140" s="149">
        <v>2022</v>
      </c>
      <c r="AC140" s="44"/>
      <c r="AD140" s="149">
        <v>1990</v>
      </c>
      <c r="AE140" s="149">
        <v>2005</v>
      </c>
      <c r="AF140" s="149">
        <v>2007</v>
      </c>
      <c r="AG140" s="149">
        <v>2010</v>
      </c>
      <c r="AH140" s="149">
        <v>2015</v>
      </c>
      <c r="AI140" s="149">
        <v>2016</v>
      </c>
      <c r="AJ140" s="149">
        <v>2017</v>
      </c>
      <c r="AK140" s="149">
        <v>2018</v>
      </c>
      <c r="AL140" s="149">
        <v>2019</v>
      </c>
      <c r="AM140" s="149">
        <v>2020</v>
      </c>
      <c r="AN140" s="149">
        <v>2021</v>
      </c>
      <c r="AO140" s="149">
        <v>2022</v>
      </c>
      <c r="AP140" s="404"/>
      <c r="AQ140" s="149">
        <v>1990</v>
      </c>
      <c r="AR140" s="149">
        <v>2005</v>
      </c>
      <c r="AS140" s="149">
        <v>2007</v>
      </c>
      <c r="AT140" s="149">
        <v>2010</v>
      </c>
      <c r="AU140" s="149">
        <v>2015</v>
      </c>
      <c r="AV140" s="149">
        <v>2016</v>
      </c>
      <c r="AW140" s="149">
        <v>2017</v>
      </c>
      <c r="AX140" s="149">
        <v>2018</v>
      </c>
      <c r="AY140" s="149">
        <v>2019</v>
      </c>
      <c r="AZ140" s="149">
        <v>2020</v>
      </c>
      <c r="BA140" s="149">
        <v>2021</v>
      </c>
      <c r="BB140" s="149">
        <v>2022</v>
      </c>
      <c r="BF140" s="404"/>
      <c r="BG140" s="404"/>
      <c r="BH140" s="404"/>
      <c r="BI140" s="404"/>
      <c r="BJ140" s="56"/>
    </row>
    <row r="141" spans="1:62" s="42" customFormat="1">
      <c r="B141" s="90" t="s">
        <v>162</v>
      </c>
      <c r="D141" s="70">
        <f>VLOOKUP(D$45,'ODS Subs Data'!$A$168:$W$200,'ODS Subs Data'!$V$165,FALSE)</f>
        <v>2054.9801457399899</v>
      </c>
      <c r="E141" s="70">
        <f>VLOOKUP(E$45,'ODS Subs Data'!$A$168:$W$200,'ODS Subs Data'!$V$165,FALSE)</f>
        <v>3905.5670148984123</v>
      </c>
      <c r="F141" s="70">
        <f>VLOOKUP(F$45,'ODS Subs Data'!$A$168:$W$200,'ODS Subs Data'!$V$165,FALSE)</f>
        <v>3894.0509131948475</v>
      </c>
      <c r="G141" s="70">
        <f>VLOOKUP(G$45,'ODS Subs Data'!$A$168:$W$200,'ODS Subs Data'!$V$165,FALSE)</f>
        <v>3740.0511372520623</v>
      </c>
      <c r="H141" s="70">
        <f>VLOOKUP(H$45,'ODS Subs Data'!$A$168:$W$200,'ODS Subs Data'!$V$165,FALSE)</f>
        <v>4259.2017324295248</v>
      </c>
      <c r="I141" s="70">
        <f>VLOOKUP(I$45,'ODS Subs Data'!$A$168:$W$200,'ODS Subs Data'!$V$165,FALSE)</f>
        <v>4304.9024863664217</v>
      </c>
      <c r="J141" s="70">
        <f>VLOOKUP(J$45,'ODS Subs Data'!$A$168:$W$200,'ODS Subs Data'!$V$165,FALSE)</f>
        <v>4353.1977425902141</v>
      </c>
      <c r="K141" s="70">
        <f>VLOOKUP(K$45,'ODS Subs Data'!$A$168:$W$200,'ODS Subs Data'!$V$165,FALSE)</f>
        <v>4387.1024270557355</v>
      </c>
      <c r="L141" s="70">
        <f>VLOOKUP(L$45,'ODS Subs Data'!$A$168:$W$200,'ODS Subs Data'!$V$165,FALSE)</f>
        <v>4500.6381470890929</v>
      </c>
      <c r="M141" s="70">
        <f>VLOOKUP(M$45,'ODS Subs Data'!$A$168:$W$200,'ODS Subs Data'!$V$165,FALSE)</f>
        <v>4287.9325492459539</v>
      </c>
      <c r="N141" s="70">
        <f>VLOOKUP(N$45,'ODS Subs Data'!$A$168:$W$200,'ODS Subs Data'!$V$165,FALSE)</f>
        <v>4266.961854696613</v>
      </c>
      <c r="O141" s="70">
        <f>VLOOKUP(O$45,'ODS Subs Data'!$A$168:$W$200,'ODS Subs Data'!$V$165,FALSE)</f>
        <v>4406.1423225347407</v>
      </c>
      <c r="P141" s="403"/>
      <c r="Q141" s="226">
        <f>VLOOKUP(Q140,'ODS Subs Data'!$A$89:$C$121,2,FALSE)+VLOOKUP(Q140,'ODS Subs Data'!$A$89:$C$121,3,FALSE)</f>
        <v>188170927</v>
      </c>
      <c r="R141" s="226">
        <f>VLOOKUP(R140,'ODS Subs Data'!$A$89:$C$121,2,FALSE)+VLOOKUP(R140,'ODS Subs Data'!$A$89:$C$121,3,FALSE)</f>
        <v>240386921</v>
      </c>
      <c r="S141" s="226">
        <f>VLOOKUP(S140,'ODS Subs Data'!$A$89:$C$121,2,FALSE)+VLOOKUP(S140,'ODS Subs Data'!$A$89:$C$121,3,FALSE)</f>
        <v>246430169</v>
      </c>
      <c r="T141" s="226">
        <f>VLOOKUP(T140,'ODS Subs Data'!$A$89:$C$121,2,FALSE)+VLOOKUP(T140,'ODS Subs Data'!$A$89:$C$121,3,FALSE)</f>
        <v>241214494</v>
      </c>
      <c r="U141" s="226">
        <f>VLOOKUP(U140,'ODS Subs Data'!$A$89:$C$121,2,FALSE)+VLOOKUP(U140,'ODS Subs Data'!$A$89:$C$121,3,FALSE)</f>
        <v>254120376</v>
      </c>
      <c r="V141" s="226">
        <f>VLOOKUP(V140,'ODS Subs Data'!$A$89:$C$121,2,FALSE)+VLOOKUP(V140,'ODS Subs Data'!$A$89:$C$121,3,FALSE)</f>
        <v>259143542</v>
      </c>
      <c r="W141" s="226">
        <f>VLOOKUP(W140,'ODS Subs Data'!$A$89:$C$121,2,FALSE)+VLOOKUP(W140,'ODS Subs Data'!$A$89:$C$121,3,FALSE)</f>
        <v>262782463</v>
      </c>
      <c r="X141" s="226">
        <f>VLOOKUP(X140,'ODS Subs Data'!$A$89:$C$121,2,FALSE)+VLOOKUP(X140,'ODS Subs Data'!$A$89:$C$121,3,FALSE)</f>
        <v>263943762.85966885</v>
      </c>
      <c r="Y141" s="226">
        <f>VLOOKUP(Y140,'ODS Subs Data'!$A$89:$C$121,2,FALSE)+VLOOKUP(Y140,'ODS Subs Data'!$A$89:$C$121,3,FALSE)</f>
        <v>266899827.15515292</v>
      </c>
      <c r="Z141" s="226">
        <f>VLOOKUP(Z140,'ODS Subs Data'!$A$89:$C$121,2,FALSE)+VLOOKUP(Z140,'ODS Subs Data'!$A$89:$C$121,3,FALSE)</f>
        <v>266578628</v>
      </c>
      <c r="AA141" s="226">
        <f>VLOOKUP(AA140,'ODS Subs Data'!$A$89:$C$121,2,FALSE)+VLOOKUP(AA140,'ODS Subs Data'!$A$89:$C$121,3,FALSE)</f>
        <v>271534359.57747412</v>
      </c>
      <c r="AB141" s="226">
        <f>VLOOKUP(AB140,'ODS Subs Data'!$A$89:$C$121,2,FALSE)+VLOOKUP(AB140,'ODS Subs Data'!$A$89:$C$121,3,FALSE)</f>
        <v>272879203.49339122</v>
      </c>
      <c r="AC141" s="227"/>
      <c r="AD141" s="70">
        <f>VLOOKUP($B141,'ODS Subs Data'!$A$46:$AH$54,INDEX('ODS Subs Data'!$A$43:$AH$43,MATCH(AD140,'ODS Subs Data'!$A$45:$AH$45,0)),FALSE)</f>
        <v>0</v>
      </c>
      <c r="AE141" s="70">
        <f>VLOOKUP($B141,'ODS Subs Data'!$A$46:$AH$54,INDEX('ODS Subs Data'!$A$43:$AH$43,MATCH(AE140,'ODS Subs Data'!$A$45:$AH$45,0)),FALSE)</f>
        <v>61.533466841699997</v>
      </c>
      <c r="AF141" s="70">
        <f>VLOOKUP($B141,'ODS Subs Data'!$A$46:$AH$54,INDEX('ODS Subs Data'!$A$43:$AH$43,MATCH(AF140,'ODS Subs Data'!$A$45:$AH$45,0)),FALSE)</f>
        <v>62.910223398300005</v>
      </c>
      <c r="AG141" s="70">
        <f>VLOOKUP($B141,'ODS Subs Data'!$A$46:$AH$54,INDEX('ODS Subs Data'!$A$43:$AH$43,MATCH(AG140,'ODS Subs Data'!$A$45:$AH$45,0)),FALSE)</f>
        <v>59.223563384900004</v>
      </c>
      <c r="AH141" s="70">
        <f>VLOOKUP($B141,'ODS Subs Data'!$A$46:$AH$54,INDEX('ODS Subs Data'!$A$43:$AH$43,MATCH(AH140,'ODS Subs Data'!$A$45:$AH$45,0)),FALSE)</f>
        <v>37.220865681900008</v>
      </c>
      <c r="AI141" s="70">
        <f>VLOOKUP($B141,'ODS Subs Data'!$A$46:$AH$54,INDEX('ODS Subs Data'!$A$43:$AH$43,MATCH(AI140,'ODS Subs Data'!$A$45:$AH$45,0)),FALSE)</f>
        <v>34.005905660899998</v>
      </c>
      <c r="AJ141" s="70">
        <f>VLOOKUP($B141,'ODS Subs Data'!$A$46:$AH$54,INDEX('ODS Subs Data'!$A$43:$AH$43,MATCH(AJ140,'ODS Subs Data'!$A$45:$AH$45,0)),FALSE)</f>
        <v>30.674008980899998</v>
      </c>
      <c r="AK141" s="70">
        <f>VLOOKUP($B141,'ODS Subs Data'!$A$46:$AH$54,INDEX('ODS Subs Data'!$A$43:$AH$43,MATCH(AK140,'ODS Subs Data'!$A$45:$AH$45,0)),FALSE)</f>
        <v>28.664453929199993</v>
      </c>
      <c r="AL141" s="70">
        <f>VLOOKUP($B141,'ODS Subs Data'!$A$46:$AH$54,INDEX('ODS Subs Data'!$A$43:$AH$43,MATCH(AL140,'ODS Subs Data'!$A$45:$AH$45,0)),FALSE)</f>
        <v>26.643254329600001</v>
      </c>
      <c r="AM141" s="70">
        <f>VLOOKUP($B141,'ODS Subs Data'!$A$46:$AH$54,INDEX('ODS Subs Data'!$A$43:$AH$43,MATCH(AM140,'ODS Subs Data'!$A$45:$AH$45,0)),FALSE)</f>
        <v>24.630521789999996</v>
      </c>
      <c r="AN141" s="70">
        <f>VLOOKUP($B141,'ODS Subs Data'!$A$46:$AH$54,INDEX('ODS Subs Data'!$A$43:$AH$43,MATCH(AN140,'ODS Subs Data'!$A$45:$AH$45,0)),FALSE)</f>
        <v>22.854063608300002</v>
      </c>
      <c r="AO141" s="70">
        <f>VLOOKUP($B141,'ODS Subs Data'!$A$46:$AH$54,INDEX('ODS Subs Data'!$A$43:$AH$43,MATCH(AO140,'ODS Subs Data'!$A$45:$AH$45,0)),FALSE)</f>
        <v>20.792943220800002</v>
      </c>
      <c r="AP141" s="403"/>
      <c r="AQ141" s="228">
        <f t="shared" ref="AQ141:BB141" si="247">D141/Q141*AD141</f>
        <v>0</v>
      </c>
      <c r="AR141" s="228">
        <f t="shared" si="247"/>
        <v>9.9973441736993956E-4</v>
      </c>
      <c r="AS141" s="228">
        <f t="shared" si="247"/>
        <v>9.9409749166483753E-4</v>
      </c>
      <c r="AT141" s="228">
        <f t="shared" si="247"/>
        <v>9.1826636085066624E-4</v>
      </c>
      <c r="AU141" s="228">
        <f t="shared" si="247"/>
        <v>6.2384283421206314E-4</v>
      </c>
      <c r="AV141" s="228">
        <f t="shared" si="247"/>
        <v>5.6490741270623823E-4</v>
      </c>
      <c r="AW141" s="228">
        <f t="shared" si="247"/>
        <v>5.081390330520109E-4</v>
      </c>
      <c r="AX141" s="228">
        <f t="shared" si="247"/>
        <v>4.7644200431392746E-4</v>
      </c>
      <c r="AY141" s="228">
        <f t="shared" si="247"/>
        <v>4.4927585033124781E-4</v>
      </c>
      <c r="AZ141" s="228">
        <f t="shared" si="247"/>
        <v>3.9618335828576893E-4</v>
      </c>
      <c r="BA141" s="228">
        <f t="shared" si="247"/>
        <v>3.5913472531862953E-4</v>
      </c>
      <c r="BB141" s="228">
        <f t="shared" si="247"/>
        <v>3.3574074521749899E-4</v>
      </c>
      <c r="BE141" s="67"/>
      <c r="BF141" s="403"/>
      <c r="BG141" s="229"/>
      <c r="BH141" s="403"/>
      <c r="BI141" s="229"/>
    </row>
    <row r="142" spans="1:62" s="42" customFormat="1">
      <c r="D142" s="72"/>
      <c r="E142" s="72"/>
      <c r="F142" s="72"/>
      <c r="G142" s="72"/>
      <c r="H142" s="72"/>
      <c r="I142" s="72"/>
      <c r="J142" s="72"/>
      <c r="K142" s="72"/>
      <c r="L142" s="72"/>
      <c r="M142" s="72"/>
      <c r="N142" s="72"/>
      <c r="O142" s="72"/>
      <c r="P142" s="403"/>
      <c r="Q142" s="230"/>
      <c r="R142" s="230"/>
      <c r="S142" s="230"/>
      <c r="T142" s="72"/>
      <c r="U142" s="72"/>
      <c r="V142" s="72"/>
      <c r="W142" s="72"/>
      <c r="X142" s="72"/>
      <c r="Y142" s="72"/>
      <c r="Z142" s="72"/>
      <c r="AA142" s="72"/>
      <c r="AB142" s="72"/>
      <c r="AC142" s="231"/>
      <c r="AD142" s="72"/>
      <c r="AE142" s="72"/>
      <c r="AF142" s="72"/>
      <c r="AG142" s="72"/>
      <c r="AH142" s="72"/>
      <c r="AI142" s="72"/>
      <c r="AJ142" s="72"/>
      <c r="AK142" s="72"/>
      <c r="AL142" s="72"/>
      <c r="AM142" s="72"/>
      <c r="AN142" s="72"/>
      <c r="AO142" s="72"/>
      <c r="AP142" s="403"/>
      <c r="AQ142" s="230"/>
      <c r="AR142" s="230"/>
      <c r="AS142" s="230"/>
      <c r="AT142" s="72"/>
      <c r="AU142" s="72"/>
      <c r="AV142" s="72"/>
      <c r="AW142" s="72"/>
      <c r="AX142" s="72"/>
      <c r="AY142" s="72"/>
      <c r="AZ142" s="72"/>
      <c r="BA142" s="72"/>
      <c r="BB142" s="72"/>
      <c r="BE142" s="67"/>
      <c r="BF142" s="403"/>
      <c r="BG142" s="229"/>
      <c r="BH142" s="403"/>
      <c r="BI142" s="229"/>
    </row>
    <row r="143" spans="1:62" s="42" customFormat="1" ht="13.35" customHeight="1">
      <c r="D143" s="603" t="s">
        <v>163</v>
      </c>
      <c r="E143" s="603"/>
      <c r="F143" s="603"/>
      <c r="G143" s="603"/>
      <c r="H143" s="603"/>
      <c r="I143" s="603"/>
      <c r="J143" s="603"/>
      <c r="K143" s="603"/>
      <c r="L143" s="603"/>
      <c r="M143" s="603"/>
      <c r="N143" s="603"/>
      <c r="O143" s="603"/>
      <c r="P143" s="403" t="s">
        <v>155</v>
      </c>
      <c r="Q143" s="599" t="s">
        <v>147</v>
      </c>
      <c r="R143" s="599"/>
      <c r="S143" s="599"/>
      <c r="T143" s="599"/>
      <c r="U143" s="599"/>
      <c r="V143" s="599"/>
      <c r="W143" s="599"/>
      <c r="X143" s="599"/>
      <c r="Y143" s="599"/>
      <c r="Z143" s="599"/>
      <c r="AA143" s="599"/>
      <c r="AB143" s="599"/>
      <c r="AC143" s="231" t="s">
        <v>156</v>
      </c>
      <c r="AD143" s="599" t="s">
        <v>157</v>
      </c>
      <c r="AE143" s="599"/>
      <c r="AF143" s="599"/>
      <c r="AG143" s="599"/>
      <c r="AH143" s="599"/>
      <c r="AI143" s="599"/>
      <c r="AJ143" s="599"/>
      <c r="AK143" s="599"/>
      <c r="AL143" s="599"/>
      <c r="AM143" s="599"/>
      <c r="AN143" s="599"/>
      <c r="AO143" s="599"/>
      <c r="AP143" s="47" t="s">
        <v>158</v>
      </c>
      <c r="AQ143" s="599" t="s">
        <v>159</v>
      </c>
      <c r="AR143" s="599"/>
      <c r="AS143" s="599"/>
      <c r="AT143" s="599"/>
      <c r="AU143" s="599"/>
      <c r="AV143" s="599"/>
      <c r="AW143" s="599"/>
      <c r="AX143" s="599"/>
      <c r="AY143" s="599"/>
      <c r="AZ143" s="599"/>
      <c r="BA143" s="599"/>
      <c r="BB143" s="599"/>
      <c r="BE143" s="414"/>
      <c r="BF143" s="403"/>
      <c r="BG143" s="229"/>
      <c r="BH143" s="403"/>
      <c r="BI143" s="229"/>
    </row>
    <row r="144" spans="1:62" s="42" customFormat="1">
      <c r="D144" s="149">
        <v>1990</v>
      </c>
      <c r="E144" s="149">
        <v>2005</v>
      </c>
      <c r="F144" s="149">
        <v>2007</v>
      </c>
      <c r="G144" s="149">
        <v>2010</v>
      </c>
      <c r="H144" s="149">
        <v>2015</v>
      </c>
      <c r="I144" s="149">
        <v>2016</v>
      </c>
      <c r="J144" s="149">
        <v>2017</v>
      </c>
      <c r="K144" s="149">
        <v>2018</v>
      </c>
      <c r="L144" s="149">
        <v>2019</v>
      </c>
      <c r="M144" s="149">
        <v>2020</v>
      </c>
      <c r="N144" s="149">
        <v>2021</v>
      </c>
      <c r="O144" s="149">
        <v>2022</v>
      </c>
      <c r="P144" s="404"/>
      <c r="Q144" s="149">
        <v>1990</v>
      </c>
      <c r="R144" s="149">
        <v>2005</v>
      </c>
      <c r="S144" s="149">
        <v>2007</v>
      </c>
      <c r="T144" s="149">
        <v>2010</v>
      </c>
      <c r="U144" s="149">
        <v>2015</v>
      </c>
      <c r="V144" s="149">
        <v>2016</v>
      </c>
      <c r="W144" s="149">
        <v>2017</v>
      </c>
      <c r="X144" s="149">
        <v>2018</v>
      </c>
      <c r="Y144" s="149">
        <v>2019</v>
      </c>
      <c r="Z144" s="149">
        <v>2020</v>
      </c>
      <c r="AA144" s="149">
        <v>2021</v>
      </c>
      <c r="AB144" s="149">
        <v>2022</v>
      </c>
      <c r="AC144" s="44"/>
      <c r="AD144" s="149">
        <v>1990</v>
      </c>
      <c r="AE144" s="149">
        <v>2005</v>
      </c>
      <c r="AF144" s="149">
        <v>2007</v>
      </c>
      <c r="AG144" s="149">
        <v>2010</v>
      </c>
      <c r="AH144" s="149">
        <v>2015</v>
      </c>
      <c r="AI144" s="149">
        <v>2016</v>
      </c>
      <c r="AJ144" s="149">
        <v>2017</v>
      </c>
      <c r="AK144" s="149">
        <v>2018</v>
      </c>
      <c r="AL144" s="149">
        <v>2019</v>
      </c>
      <c r="AM144" s="149">
        <v>2020</v>
      </c>
      <c r="AN144" s="149">
        <v>2021</v>
      </c>
      <c r="AO144" s="149">
        <v>2022</v>
      </c>
      <c r="AP144" s="404"/>
      <c r="AQ144" s="149">
        <v>1990</v>
      </c>
      <c r="AR144" s="149">
        <v>2005</v>
      </c>
      <c r="AS144" s="149">
        <v>2007</v>
      </c>
      <c r="AT144" s="149">
        <v>2010</v>
      </c>
      <c r="AU144" s="149">
        <v>2015</v>
      </c>
      <c r="AV144" s="149">
        <v>2016</v>
      </c>
      <c r="AW144" s="149">
        <v>2017</v>
      </c>
      <c r="AX144" s="149">
        <v>2018</v>
      </c>
      <c r="AY144" s="149">
        <v>2019</v>
      </c>
      <c r="AZ144" s="149">
        <v>2020</v>
      </c>
      <c r="BA144" s="149">
        <v>2021</v>
      </c>
      <c r="BB144" s="149">
        <v>2022</v>
      </c>
      <c r="BE144" s="67"/>
      <c r="BF144" s="403"/>
      <c r="BG144" s="229"/>
      <c r="BH144" s="403"/>
      <c r="BI144" s="229"/>
    </row>
    <row r="145" spans="1:62" s="42" customFormat="1">
      <c r="B145" s="90" t="s">
        <v>164</v>
      </c>
      <c r="D145" s="70">
        <f>(VLOOKUP(D144,'ODS Subs Data'!$A$206:$N$229,'ODS Subs Data'!$M$204,FALSE)/VLOOKUP(D144,'ODS Subs Data'!$A$206:$N$229,'ODS Subs Data'!$D$204,FALSE))*VLOOKUP(D144,'ODS Subs Data'!$A$206:$N$229,'ODS Subs Data'!$C$204,FALSE)</f>
        <v>900.50040021200653</v>
      </c>
      <c r="E145" s="70">
        <f>(VLOOKUP(E144,'ODS Subs Data'!$A$206:$N$229,'ODS Subs Data'!$M$204,FALSE)/VLOOKUP(E144,'ODS Subs Data'!$A$206:$N$229,'ODS Subs Data'!$D$204,FALSE))*VLOOKUP(E144,'ODS Subs Data'!$A$206:$N$229,'ODS Subs Data'!$C$204,FALSE)</f>
        <v>1485.4004899667304</v>
      </c>
      <c r="F145" s="70">
        <f>(VLOOKUP(F144,'ODS Subs Data'!$A$206:$N$229,'ODS Subs Data'!$M$204,FALSE)/VLOOKUP(F144,'ODS Subs Data'!$A$206:$N$229,'ODS Subs Data'!$D$204,FALSE))*VLOOKUP(F144,'ODS Subs Data'!$A$206:$N$229,'ODS Subs Data'!$C$204,FALSE)</f>
        <v>1574.6698685931349</v>
      </c>
      <c r="G145" s="70">
        <f>(VLOOKUP(G144,'ODS Subs Data'!$A$206:$N$229,'ODS Subs Data'!$M$204,FALSE)/VLOOKUP(G144,'ODS Subs Data'!$A$206:$N$229,'ODS Subs Data'!$D$204,FALSE))*VLOOKUP(G144,'ODS Subs Data'!$A$206:$N$229,'ODS Subs Data'!$C$204,FALSE)</f>
        <v>1693.2364232658747</v>
      </c>
      <c r="H145" s="70">
        <f>(VLOOKUP(H144,'ODS Subs Data'!$A$206:$N$229,'ODS Subs Data'!$M$204,FALSE)/VLOOKUP(H144,'ODS Subs Data'!$A$206:$N$229,'ODS Subs Data'!$D$204,FALSE))*VLOOKUP(H144,'ODS Subs Data'!$A$206:$N$229,'ODS Subs Data'!$C$204,FALSE)</f>
        <v>1958.7117321716451</v>
      </c>
      <c r="I145" s="70">
        <f>(VLOOKUP(I144,'ODS Subs Data'!$A$206:$N$229,'ODS Subs Data'!$M$204,FALSE)/VLOOKUP(I144,'ODS Subs Data'!$A$206:$N$229,'ODS Subs Data'!$D$204,FALSE))*VLOOKUP(I144,'ODS Subs Data'!$A$206:$N$229,'ODS Subs Data'!$C$204,FALSE)</f>
        <v>1947.5185523075672</v>
      </c>
      <c r="J145" s="70">
        <f>(VLOOKUP(J144,'ODS Subs Data'!$A$206:$N$229,'ODS Subs Data'!$M$204,FALSE)/VLOOKUP(J144,'ODS Subs Data'!$A$206:$N$229,'ODS Subs Data'!$D$204,FALSE))*VLOOKUP(J144,'ODS Subs Data'!$A$206:$N$229,'ODS Subs Data'!$C$204,FALSE)</f>
        <v>1936.8060370639494</v>
      </c>
      <c r="K145" s="70">
        <f>(VLOOKUP(K144,'ODS Subs Data'!$A$206:$N$229,'ODS Subs Data'!$M$204,FALSE)/VLOOKUP(K144,'ODS Subs Data'!$A$206:$N$229,'ODS Subs Data'!$D$204,FALSE))*VLOOKUP(K144,'ODS Subs Data'!$A$206:$N$229,'ODS Subs Data'!$C$204,FALSE)</f>
        <v>1945.2727758362444</v>
      </c>
      <c r="L145" s="70">
        <f>(VLOOKUP(L144,'ODS Subs Data'!$A$206:$N$229,'ODS Subs Data'!$M$204,FALSE)/VLOOKUP(L144,'ODS Subs Data'!$A$206:$N$229,'ODS Subs Data'!$D$204,FALSE))*VLOOKUP(L144,'ODS Subs Data'!$A$206:$N$229,'ODS Subs Data'!$C$204,FALSE)</f>
        <v>1927.2564702196523</v>
      </c>
      <c r="M145" s="70">
        <f>(VLOOKUP(M144,'ODS Subs Data'!$A$206:$N$229,'ODS Subs Data'!$M$204,FALSE)/VLOOKUP(M144,'ODS Subs Data'!$A$206:$N$229,'ODS Subs Data'!$D$204,FALSE))*VLOOKUP(M144,'ODS Subs Data'!$A$206:$N$229,'ODS Subs Data'!$C$204,FALSE)</f>
        <v>1537.4105857486395</v>
      </c>
      <c r="N145" s="70">
        <f>(VLOOKUP(N144,'ODS Subs Data'!$A$206:$N$229,'ODS Subs Data'!$M$204,FALSE)/VLOOKUP(N144,'ODS Subs Data'!$A$206:$N$229,'ODS Subs Data'!$D$204,FALSE))*VLOOKUP(N144,'ODS Subs Data'!$A$206:$N$229,'ODS Subs Data'!$C$204,FALSE)</f>
        <v>1786.4085253321109</v>
      </c>
      <c r="O145" s="70">
        <f>(VLOOKUP(O144,'ODS Subs Data'!$A$206:$N$229,'ODS Subs Data'!$M$204,FALSE)/VLOOKUP(O144,'ODS Subs Data'!$A$206:$N$229,'ODS Subs Data'!$D$204,FALSE))*VLOOKUP(O144,'ODS Subs Data'!$A$206:$N$229,'ODS Subs Data'!$C$204,FALSE)</f>
        <v>1811.1491824505235</v>
      </c>
      <c r="P145" s="403"/>
      <c r="Q145" s="70">
        <f>VLOOKUP(Q144,'ODS Subs Data'!$A$206:$I$229,'ODS Subs Data'!$B$204,FALSE)</f>
        <v>66133333.333333284</v>
      </c>
      <c r="R145" s="70">
        <f>VLOOKUP(R144,'ODS Subs Data'!$A$206:$I$229,'ODS Subs Data'!$B$204,FALSE)</f>
        <v>88133333.333333313</v>
      </c>
      <c r="S145" s="70">
        <f>VLOOKUP(S144,'ODS Subs Data'!$A$206:$I$229,'ODS Subs Data'!$B$204,FALSE)</f>
        <v>91066666.666666657</v>
      </c>
      <c r="T145" s="70">
        <f>VLOOKUP(T144,'ODS Subs Data'!$A$206:$I$229,'ODS Subs Data'!$B$204,FALSE)</f>
        <v>95466666.666666672</v>
      </c>
      <c r="U145" s="70">
        <f>VLOOKUP(U144,'ODS Subs Data'!$A$206:$I$229,'ODS Subs Data'!$B$204,FALSE)</f>
        <v>102800000</v>
      </c>
      <c r="V145" s="70">
        <f>VLOOKUP(V144,'ODS Subs Data'!$A$206:$I$229,'ODS Subs Data'!$B$204,FALSE)</f>
        <v>104024000</v>
      </c>
      <c r="W145" s="70">
        <f>VLOOKUP(W144,'ODS Subs Data'!$A$206:$I$229,'ODS Subs Data'!$B$204,FALSE)</f>
        <v>105248000</v>
      </c>
      <c r="X145" s="70">
        <f>VLOOKUP(X144,'ODS Subs Data'!$A$206:$I$229,'ODS Subs Data'!$B$204,FALSE)</f>
        <v>106472000</v>
      </c>
      <c r="Y145" s="70">
        <f>VLOOKUP(Y144,'ODS Subs Data'!$A$206:$I$229,'ODS Subs Data'!$B$204,FALSE)</f>
        <v>107696000</v>
      </c>
      <c r="Z145" s="70">
        <f>VLOOKUP(Z144,'ODS Subs Data'!$A$206:$I$229,'ODS Subs Data'!$B$204,FALSE)</f>
        <v>108920000</v>
      </c>
      <c r="AA145" s="70">
        <f>VLOOKUP(AA144,'ODS Subs Data'!$A$206:$I$229,'ODS Subs Data'!$B$204,FALSE)</f>
        <v>110144000</v>
      </c>
      <c r="AB145" s="70">
        <f>VLOOKUP(AB144,'ODS Subs Data'!$A$206:$I$229,'ODS Subs Data'!$B$204,FALSE)</f>
        <v>111368000</v>
      </c>
      <c r="AC145" s="227"/>
      <c r="AD145" s="48">
        <f>HLOOKUP(AD144,'ODS Subs Data'!$A$45:$AH$49,ROWS('ODS Subs Data'!$A$45:$A$48),FALSE)</f>
        <v>1.5331524000000001E-2</v>
      </c>
      <c r="AE145" s="48">
        <f>HLOOKUP(AE144,'ODS Subs Data'!$A$45:$AH$49,ROWS('ODS Subs Data'!$A$45:$A$48),FALSE)</f>
        <v>2.9636769795000002</v>
      </c>
      <c r="AF145" s="48">
        <f>HLOOKUP(AF144,'ODS Subs Data'!$A$45:$AH$49,ROWS('ODS Subs Data'!$A$45:$A$48),FALSE)</f>
        <v>4.9444058864999993</v>
      </c>
      <c r="AG145" s="48">
        <f>HLOOKUP(AG144,'ODS Subs Data'!$A$45:$AH$49,ROWS('ODS Subs Data'!$A$45:$A$48),FALSE)</f>
        <v>9.4590427961999985</v>
      </c>
      <c r="AH145" s="48">
        <f>HLOOKUP(AH144,'ODS Subs Data'!$A$45:$AH$49,ROWS('ODS Subs Data'!$A$45:$A$48),FALSE)</f>
        <v>22.076133818999999</v>
      </c>
      <c r="AI145" s="48">
        <f>HLOOKUP(AI144,'ODS Subs Data'!$A$45:$AH$49,ROWS('ODS Subs Data'!$A$45:$A$48),FALSE)</f>
        <v>25.363225943400003</v>
      </c>
      <c r="AJ145" s="48">
        <f>HLOOKUP(AJ144,'ODS Subs Data'!$A$45:$AH$49,ROWS('ODS Subs Data'!$A$45:$A$48),FALSE)</f>
        <v>28.835006181299995</v>
      </c>
      <c r="AK145" s="48">
        <f>HLOOKUP(AK144,'ODS Subs Data'!$A$45:$AH$49,ROWS('ODS Subs Data'!$A$45:$A$48),FALSE)</f>
        <v>32.43467263334</v>
      </c>
      <c r="AL145" s="48">
        <f>HLOOKUP(AL144,'ODS Subs Data'!$A$45:$AG$49,ROWS('ODS Subs Data'!$A$45:$A$48),FALSE)</f>
        <v>35.986680838900007</v>
      </c>
      <c r="AM145" s="48">
        <f>HLOOKUP(AM144,'ODS Subs Data'!$A$45:$AH$49,ROWS('ODS Subs Data'!$A$45:$A$48),FALSE)</f>
        <v>40.1213199269</v>
      </c>
      <c r="AN145" s="48">
        <f>HLOOKUP(AN144,'ODS Subs Data'!$A$45:$AH$49,ROWS('ODS Subs Data'!$A$45:$A$48),FALSE)</f>
        <v>48.790876858400004</v>
      </c>
      <c r="AO145" s="48">
        <f>HLOOKUP(AO144,'ODS Subs Data'!$A$45:$AH$49,ROWS('ODS Subs Data'!$A$45:$A$48),FALSE)</f>
        <v>54.039902339999998</v>
      </c>
      <c r="AP145" s="403"/>
      <c r="AQ145" s="228">
        <f t="shared" ref="AQ145:BB145" si="248">D145/Q145*AD145</f>
        <v>2.0876073837489911E-7</v>
      </c>
      <c r="AR145" s="228">
        <f t="shared" si="248"/>
        <v>4.9949855190458642E-5</v>
      </c>
      <c r="AS145" s="228">
        <f t="shared" si="248"/>
        <v>8.5495684124078453E-5</v>
      </c>
      <c r="AT145" s="228">
        <f t="shared" si="248"/>
        <v>1.6776950899186302E-4</v>
      </c>
      <c r="AU145" s="228">
        <f t="shared" si="248"/>
        <v>4.2063017813488837E-4</v>
      </c>
      <c r="AV145" s="228">
        <f t="shared" si="248"/>
        <v>4.7484573820599199E-4</v>
      </c>
      <c r="AW145" s="228">
        <f t="shared" si="248"/>
        <v>5.3063064429460067E-4</v>
      </c>
      <c r="AX145" s="228">
        <f t="shared" si="248"/>
        <v>5.925904056164735E-4</v>
      </c>
      <c r="AY145" s="228">
        <f t="shared" si="248"/>
        <v>6.4399386688920315E-4</v>
      </c>
      <c r="AZ145" s="228">
        <f t="shared" si="248"/>
        <v>5.6631419362673427E-4</v>
      </c>
      <c r="BA145" s="228">
        <f t="shared" si="248"/>
        <v>7.9133169649072993E-4</v>
      </c>
      <c r="BB145" s="228">
        <f t="shared" si="248"/>
        <v>8.7883705321813383E-4</v>
      </c>
      <c r="BE145" s="67"/>
      <c r="BF145" s="403"/>
      <c r="BG145" s="229"/>
      <c r="BH145" s="403"/>
      <c r="BI145" s="229"/>
    </row>
    <row r="146" spans="1:62" s="42" customFormat="1">
      <c r="D146" s="72"/>
      <c r="E146" s="72"/>
      <c r="F146" s="72"/>
      <c r="G146" s="72"/>
      <c r="H146" s="72"/>
      <c r="I146" s="72"/>
      <c r="J146" s="72"/>
      <c r="K146" s="72"/>
      <c r="L146" s="72"/>
      <c r="M146" s="72"/>
      <c r="N146" s="72"/>
      <c r="O146" s="72"/>
      <c r="P146" s="403"/>
      <c r="Q146" s="230"/>
      <c r="R146" s="230"/>
      <c r="S146" s="230"/>
      <c r="T146" s="72"/>
      <c r="U146" s="72"/>
      <c r="V146" s="72"/>
      <c r="W146" s="72"/>
      <c r="X146" s="72"/>
      <c r="Y146" s="72"/>
      <c r="Z146" s="72"/>
      <c r="AA146" s="72"/>
      <c r="AB146" s="72"/>
      <c r="AC146" s="231"/>
      <c r="AD146" s="72"/>
      <c r="AE146" s="72"/>
      <c r="AF146" s="72"/>
      <c r="AG146" s="72"/>
      <c r="AH146" s="72"/>
      <c r="AI146" s="72"/>
      <c r="AJ146" s="72"/>
      <c r="AK146" s="72"/>
      <c r="AL146" s="72"/>
      <c r="AM146" s="72"/>
      <c r="AN146" s="72"/>
      <c r="AO146" s="72"/>
      <c r="AP146" s="403"/>
      <c r="AQ146" s="230"/>
      <c r="AR146" s="230"/>
      <c r="AS146" s="230"/>
      <c r="AT146" s="72"/>
      <c r="AU146" s="72"/>
      <c r="AV146" s="72"/>
      <c r="AW146" s="72"/>
      <c r="AX146" s="72"/>
      <c r="AY146" s="72"/>
      <c r="AZ146" s="72"/>
      <c r="BA146" s="72"/>
      <c r="BB146" s="72"/>
      <c r="BE146" s="67"/>
      <c r="BF146" s="403"/>
      <c r="BG146" s="229"/>
      <c r="BH146" s="403"/>
      <c r="BI146" s="229"/>
    </row>
    <row r="147" spans="1:62" s="42" customFormat="1" ht="13.35" customHeight="1">
      <c r="B147" s="129"/>
      <c r="D147" s="599" t="s">
        <v>165</v>
      </c>
      <c r="E147" s="599"/>
      <c r="F147" s="599"/>
      <c r="G147" s="599"/>
      <c r="H147" s="599"/>
      <c r="I147" s="599"/>
      <c r="J147" s="599"/>
      <c r="K147" s="599"/>
      <c r="L147" s="599"/>
      <c r="M147" s="599"/>
      <c r="N147" s="599"/>
      <c r="O147" s="599"/>
      <c r="P147" s="403" t="s">
        <v>155</v>
      </c>
      <c r="Q147" s="599" t="s">
        <v>152</v>
      </c>
      <c r="R147" s="599"/>
      <c r="S147" s="599"/>
      <c r="T147" s="599"/>
      <c r="U147" s="599"/>
      <c r="V147" s="599"/>
      <c r="W147" s="599"/>
      <c r="X147" s="599"/>
      <c r="Y147" s="599"/>
      <c r="Z147" s="599"/>
      <c r="AA147" s="599"/>
      <c r="AB147" s="599"/>
      <c r="AC147" s="44" t="s">
        <v>156</v>
      </c>
      <c r="AD147" s="599" t="s">
        <v>157</v>
      </c>
      <c r="AE147" s="599"/>
      <c r="AF147" s="599"/>
      <c r="AG147" s="599"/>
      <c r="AH147" s="599"/>
      <c r="AI147" s="599"/>
      <c r="AJ147" s="599"/>
      <c r="AK147" s="599"/>
      <c r="AL147" s="599"/>
      <c r="AM147" s="599"/>
      <c r="AN147" s="599"/>
      <c r="AO147" s="599"/>
      <c r="AP147" s="47" t="s">
        <v>158</v>
      </c>
      <c r="AQ147" s="599" t="s">
        <v>159</v>
      </c>
      <c r="AR147" s="599"/>
      <c r="AS147" s="599"/>
      <c r="AT147" s="599"/>
      <c r="AU147" s="599"/>
      <c r="AV147" s="599"/>
      <c r="AW147" s="599"/>
      <c r="AX147" s="599"/>
      <c r="AY147" s="599"/>
      <c r="AZ147" s="599"/>
      <c r="BA147" s="599"/>
      <c r="BB147" s="599"/>
      <c r="BE147" s="67"/>
      <c r="BF147" s="403"/>
      <c r="BG147" s="229"/>
      <c r="BH147" s="403"/>
      <c r="BI147" s="229"/>
    </row>
    <row r="148" spans="1:62" s="42" customFormat="1">
      <c r="B148" s="129"/>
      <c r="AD148" s="600" t="s">
        <v>161</v>
      </c>
      <c r="AE148" s="600"/>
      <c r="AF148" s="600"/>
      <c r="AG148" s="600"/>
      <c r="AH148" s="600"/>
      <c r="AI148" s="600"/>
      <c r="AJ148" s="600"/>
      <c r="AK148" s="600"/>
      <c r="AL148" s="600"/>
      <c r="AM148" s="600"/>
      <c r="AN148" s="600"/>
      <c r="AO148" s="600"/>
      <c r="AQ148" s="600" t="s">
        <v>161</v>
      </c>
      <c r="AR148" s="600"/>
      <c r="AS148" s="600"/>
      <c r="AT148" s="600"/>
      <c r="AU148" s="600"/>
      <c r="AV148" s="600"/>
      <c r="AW148" s="600"/>
      <c r="AX148" s="600"/>
      <c r="AY148" s="600"/>
      <c r="AZ148" s="600"/>
      <c r="BA148" s="600"/>
      <c r="BB148" s="600"/>
      <c r="BE148" s="67"/>
      <c r="BF148" s="403"/>
      <c r="BG148" s="229"/>
      <c r="BH148" s="403"/>
      <c r="BI148" s="229"/>
    </row>
    <row r="149" spans="1:62" s="42" customFormat="1">
      <c r="B149" s="134" t="s">
        <v>166</v>
      </c>
      <c r="D149" s="70">
        <f>INDEX('ODS Subs Data'!$M$206:$M$229,MATCH('ODS Subs'!D$140,'ODS Subs Data'!$A$206:$A$229,0))</f>
        <v>2649.9097583358825</v>
      </c>
      <c r="E149" s="70">
        <f>INDEX('ODS Subs Data'!$M$206:$M$229,MATCH('ODS Subs'!E$140,'ODS Subs Data'!$A$206:$A$229,0))</f>
        <v>4625.5179268224238</v>
      </c>
      <c r="F149" s="70">
        <f>INDEX('ODS Subs Data'!$M$206:$M$229,MATCH('ODS Subs'!F$140,'ODS Subs Data'!$A$206:$A$229,0))</f>
        <v>4747.6692849947067</v>
      </c>
      <c r="G149" s="70">
        <f>INDEX('ODS Subs Data'!$M$206:$M$229,MATCH('ODS Subs'!G$140,'ODS Subs Data'!$A$206:$A$229,0))</f>
        <v>4868.2001642484047</v>
      </c>
      <c r="H149" s="70">
        <f>INDEX('ODS Subs Data'!$M$206:$M$229,MATCH('ODS Subs'!H$140,'ODS Subs Data'!$A$206:$A$229,0))</f>
        <v>5329.783587016178</v>
      </c>
      <c r="I149" s="70">
        <f>INDEX('ODS Subs Data'!$M$206:$M$229,MATCH('ODS Subs'!I$140,'ODS Subs Data'!$A$206:$A$229,0))</f>
        <v>5408.2307696767757</v>
      </c>
      <c r="J149" s="70">
        <f>INDEX('ODS Subs Data'!$M$206:$M$229,MATCH('ODS Subs'!J$140,'ODS Subs Data'!$A$206:$A$229,0))</f>
        <v>5474.0284066311087</v>
      </c>
      <c r="K149" s="70">
        <f>INDEX('ODS Subs Data'!$M$206:$M$229,MATCH('ODS Subs'!K$140,'ODS Subs Data'!$A$206:$A$229,0))</f>
        <v>5582.2745190977712</v>
      </c>
      <c r="L149" s="70">
        <f>INDEX('ODS Subs Data'!$M$206:$M$229,MATCH('ODS Subs'!L$140,'ODS Subs Data'!$A$206:$A$229,0))</f>
        <v>5613.6483923415735</v>
      </c>
      <c r="M149" s="70">
        <f>INDEX('ODS Subs Data'!$M$206:$M$229,MATCH('ODS Subs'!M$140,'ODS Subs Data'!$A$206:$A$229,0))</f>
        <v>4511.887960787124</v>
      </c>
      <c r="N149" s="70">
        <f>INDEX('ODS Subs Data'!$M$206:$M$229,MATCH('ODS Subs'!N$140,'ODS Subs Data'!$A$206:$A$229,0))</f>
        <v>5324.1337899220762</v>
      </c>
      <c r="O149" s="70">
        <f>INDEX('ODS Subs Data'!$M$206:$M$229,MATCH('ODS Subs'!O$140,'ODS Subs Data'!$A$206:$A$229,0))</f>
        <v>5506.2022511448713</v>
      </c>
      <c r="P149" s="403"/>
      <c r="Q149" s="226">
        <f>Q130</f>
        <v>249622814</v>
      </c>
      <c r="R149" s="226">
        <f>R130</f>
        <v>295516599</v>
      </c>
      <c r="S149" s="226">
        <f t="shared" ref="S149:W149" si="249">S130</f>
        <v>301231207</v>
      </c>
      <c r="T149" s="226">
        <f t="shared" si="249"/>
        <v>309327143</v>
      </c>
      <c r="U149" s="226">
        <f t="shared" si="249"/>
        <v>320738994</v>
      </c>
      <c r="V149" s="226">
        <f>V130</f>
        <v>323071755</v>
      </c>
      <c r="W149" s="226">
        <f t="shared" si="249"/>
        <v>325122128</v>
      </c>
      <c r="X149" s="226">
        <f t="shared" ref="X149:Y149" si="250">X130</f>
        <v>326838199</v>
      </c>
      <c r="Y149" s="226">
        <f t="shared" si="250"/>
        <v>328329953</v>
      </c>
      <c r="Z149" s="226">
        <f t="shared" ref="Z149:AA149" si="251">Z130</f>
        <v>331511512</v>
      </c>
      <c r="AA149" s="226">
        <f t="shared" si="251"/>
        <v>332031554</v>
      </c>
      <c r="AB149" s="226">
        <f t="shared" ref="AB149" si="252">AB130</f>
        <v>333287557</v>
      </c>
      <c r="AC149" s="227"/>
      <c r="AD149" s="70">
        <f>VLOOKUP($B149,'ODS Subs Data'!$A$46:$AH$54,'ODS Subs Data'!$B$43,FALSE)</f>
        <v>3.5485200000000001E-4</v>
      </c>
      <c r="AE149" s="70">
        <f>VLOOKUP($B149,'ODS Subs Data'!$A$46:$AH$54,'ODS Subs Data'!$Q$43,FALSE)</f>
        <v>18.4710840109</v>
      </c>
      <c r="AF149" s="70">
        <f>VLOOKUP($B149,'ODS Subs Data'!$A$46:$AH$54,'ODS Subs Data'!$S$43,FALSE)</f>
        <v>26.201877207300001</v>
      </c>
      <c r="AG149" s="70">
        <f>VLOOKUP($B149,'ODS Subs Data'!$A$46:$AH$54,'ODS Subs Data'!$V$43,FALSE)</f>
        <v>42.267351500799997</v>
      </c>
      <c r="AH149" s="70">
        <f>VLOOKUP($B149,'ODS Subs Data'!$A$46:$AH$54,'ODS Subs Data'!$AA$43,FALSE)</f>
        <v>58.965182780299997</v>
      </c>
      <c r="AI149" s="70">
        <f>VLOOKUP($B149,'ODS Subs Data'!$A$46:$AH$54,'ODS Subs Data'!$AB$43,FALSE)</f>
        <v>60.648990855000008</v>
      </c>
      <c r="AJ149" s="70">
        <f>VLOOKUP($B149,'ODS Subs Data'!$A$46:$AH$54,'ODS Subs Data'!$AC$43,FALSE)</f>
        <v>60.933447877739994</v>
      </c>
      <c r="AK149" s="70">
        <f>VLOOKUP($B149,'ODS Subs Data'!$A$46:$AH$54,'ODS Subs Data'!$AD$43,FALSE)</f>
        <v>61.568224540540008</v>
      </c>
      <c r="AL149" s="70">
        <f>VLOOKUP($B149,'ODS Subs Data'!$A$46:$AH$54,'ODS Subs Data'!$AE$43,FALSE)</f>
        <v>63.839829161980006</v>
      </c>
      <c r="AM149" s="70">
        <f>VLOOKUP($B149,'ODS Subs Data'!$A$46:$AH$54,'ODS Subs Data'!$AF$43,FALSE)</f>
        <v>65.861211760999993</v>
      </c>
      <c r="AN149" s="70">
        <f>VLOOKUP($B149,'ODS Subs Data'!$A$46:$AH$54,'ODS Subs Data'!$AG$43,FALSE)</f>
        <v>67.901135420939994</v>
      </c>
      <c r="AO149" s="70">
        <f>VLOOKUP($B149,'ODS Subs Data'!$A$46:$AH$54,'ODS Subs Data'!$AH$43,FALSE)</f>
        <v>69.80410859541999</v>
      </c>
      <c r="AP149" s="403"/>
      <c r="AQ149" s="228">
        <f t="shared" ref="AQ149:BB153" si="253">D149/Q149*AD149</f>
        <v>3.7669865285830993E-9</v>
      </c>
      <c r="AR149" s="228">
        <f t="shared" si="253"/>
        <v>2.8911516479742982E-4</v>
      </c>
      <c r="AS149" s="228">
        <f t="shared" si="253"/>
        <v>4.1296467542388825E-4</v>
      </c>
      <c r="AT149" s="228">
        <f t="shared" si="253"/>
        <v>6.6520488801249369E-4</v>
      </c>
      <c r="AU149" s="228">
        <f t="shared" si="253"/>
        <v>9.7983615733312395E-4</v>
      </c>
      <c r="AV149" s="228">
        <f t="shared" si="253"/>
        <v>1.0152659073890766E-3</v>
      </c>
      <c r="AW149" s="228">
        <f t="shared" si="253"/>
        <v>1.0259265545798986E-3</v>
      </c>
      <c r="AX149" s="228">
        <f t="shared" si="253"/>
        <v>1.051562308476515E-3</v>
      </c>
      <c r="AY149" s="228">
        <f t="shared" si="253"/>
        <v>1.0915067329921916E-3</v>
      </c>
      <c r="AZ149" s="228">
        <f t="shared" si="253"/>
        <v>8.9637432689609648E-4</v>
      </c>
      <c r="BA149" s="228">
        <f t="shared" si="253"/>
        <v>1.0887963059941629E-3</v>
      </c>
      <c r="BB149" s="228">
        <f t="shared" si="253"/>
        <v>1.1532249908965625E-3</v>
      </c>
      <c r="BE149" s="414"/>
      <c r="BF149" s="403"/>
      <c r="BG149" s="229"/>
      <c r="BH149" s="403"/>
      <c r="BI149" s="229"/>
    </row>
    <row r="150" spans="1:62" s="42" customFormat="1">
      <c r="B150" s="219" t="s">
        <v>167</v>
      </c>
      <c r="D150" s="70">
        <f>D149</f>
        <v>2649.9097583358825</v>
      </c>
      <c r="E150" s="70">
        <f>E149</f>
        <v>4625.5179268224238</v>
      </c>
      <c r="F150" s="70">
        <f t="shared" ref="F150" si="254">F149</f>
        <v>4747.6692849947067</v>
      </c>
      <c r="G150" s="70">
        <f t="shared" ref="G150" si="255">G149</f>
        <v>4868.2001642484047</v>
      </c>
      <c r="H150" s="70">
        <f t="shared" ref="H150:L150" si="256">H149</f>
        <v>5329.783587016178</v>
      </c>
      <c r="I150" s="70">
        <f t="shared" si="256"/>
        <v>5408.2307696767757</v>
      </c>
      <c r="J150" s="70">
        <f t="shared" si="256"/>
        <v>5474.0284066311087</v>
      </c>
      <c r="K150" s="70">
        <f t="shared" si="256"/>
        <v>5582.2745190977712</v>
      </c>
      <c r="L150" s="70">
        <f t="shared" si="256"/>
        <v>5613.6483923415735</v>
      </c>
      <c r="M150" s="70">
        <f t="shared" ref="M150:N150" si="257">M149</f>
        <v>4511.887960787124</v>
      </c>
      <c r="N150" s="70">
        <f t="shared" si="257"/>
        <v>5324.1337899220762</v>
      </c>
      <c r="O150" s="70">
        <f t="shared" ref="O150" si="258">O149</f>
        <v>5506.2022511448713</v>
      </c>
      <c r="P150" s="403"/>
      <c r="Q150" s="226">
        <f t="shared" ref="Q150:W150" si="259">Q131</f>
        <v>249622814</v>
      </c>
      <c r="R150" s="226">
        <f t="shared" ref="R150" si="260">R131</f>
        <v>295516599</v>
      </c>
      <c r="S150" s="226">
        <f t="shared" si="259"/>
        <v>301231207</v>
      </c>
      <c r="T150" s="226">
        <f t="shared" si="259"/>
        <v>309327143</v>
      </c>
      <c r="U150" s="226">
        <f t="shared" si="259"/>
        <v>320738994</v>
      </c>
      <c r="V150" s="226">
        <f>V131</f>
        <v>323071755</v>
      </c>
      <c r="W150" s="226">
        <f t="shared" si="259"/>
        <v>325122128</v>
      </c>
      <c r="X150" s="226">
        <f t="shared" ref="X150:Y150" si="261">X131</f>
        <v>326838199</v>
      </c>
      <c r="Y150" s="226">
        <f t="shared" si="261"/>
        <v>328329953</v>
      </c>
      <c r="Z150" s="226">
        <f t="shared" ref="Z150:AA150" si="262">Z131</f>
        <v>331511512</v>
      </c>
      <c r="AA150" s="226">
        <f t="shared" si="262"/>
        <v>332031554</v>
      </c>
      <c r="AB150" s="226">
        <f t="shared" ref="AB150" si="263">AB131</f>
        <v>333287557</v>
      </c>
      <c r="AC150" s="227"/>
      <c r="AD150" s="70">
        <f>VLOOKUP($B150,'ODS Subs Data'!$A$46:$AH$54,'ODS Subs Data'!$B$43,FALSE)</f>
        <v>0.23051244000000001</v>
      </c>
      <c r="AE150" s="70">
        <f>VLOOKUP($B150,'ODS Subs Data'!$A$46:$AH$54,'ODS Subs Data'!$Q$43,FALSE)</f>
        <v>10.175936419999999</v>
      </c>
      <c r="AF150" s="70">
        <f>VLOOKUP($B150,'ODS Subs Data'!$A$46:$AH$54,'ODS Subs Data'!$S$43,FALSE)</f>
        <v>11.7735906</v>
      </c>
      <c r="AG150" s="70">
        <f>VLOOKUP($B150,'ODS Subs Data'!$A$46:$AH$54,'ODS Subs Data'!$V$43,FALSE)</f>
        <v>15.597268</v>
      </c>
      <c r="AH150" s="70">
        <f>VLOOKUP($B150,'ODS Subs Data'!$A$46:$AH$54,'ODS Subs Data'!$AA$43,FALSE)</f>
        <v>19.694944899999996</v>
      </c>
      <c r="AI150" s="70">
        <f>VLOOKUP($B150,'ODS Subs Data'!$A$46:$AH$54,'ODS Subs Data'!$AB$43,FALSE)</f>
        <v>18.665525850000002</v>
      </c>
      <c r="AJ150" s="70">
        <f>VLOOKUP($B150,'ODS Subs Data'!$A$46:$AH$54,'ODS Subs Data'!$AC$43,FALSE)</f>
        <v>17.711663850000001</v>
      </c>
      <c r="AK150" s="70">
        <f>VLOOKUP($B150,'ODS Subs Data'!$A$46:$AH$54,'ODS Subs Data'!$AD$43,FALSE)</f>
        <v>16.695425880000002</v>
      </c>
      <c r="AL150" s="70">
        <f>VLOOKUP($B150,'ODS Subs Data'!$A$46:$AH$54,'ODS Subs Data'!$AE$43,FALSE)</f>
        <v>17.014575400000002</v>
      </c>
      <c r="AM150" s="70">
        <f>VLOOKUP($B150,'ODS Subs Data'!$A$46:$AH$54,'ODS Subs Data'!$AF$43,FALSE)</f>
        <v>17.339892519999999</v>
      </c>
      <c r="AN150" s="70">
        <f>VLOOKUP($B150,'ODS Subs Data'!$A$46:$AH$54,'ODS Subs Data'!$AG$43,FALSE)</f>
        <v>17.671530189999999</v>
      </c>
      <c r="AO150" s="70">
        <f>VLOOKUP($B150,'ODS Subs Data'!$A$46:$AH$54,'ODS Subs Data'!$AH$43,FALSE)</f>
        <v>17.037062899999999</v>
      </c>
      <c r="AP150" s="403"/>
      <c r="AQ150" s="228">
        <f t="shared" si="253"/>
        <v>2.4470406145402027E-6</v>
      </c>
      <c r="AR150" s="228">
        <f t="shared" si="253"/>
        <v>1.5927692891767203E-4</v>
      </c>
      <c r="AS150" s="228">
        <f t="shared" si="253"/>
        <v>1.855621634372112E-4</v>
      </c>
      <c r="AT150" s="228">
        <f t="shared" si="253"/>
        <v>2.4547028722735265E-4</v>
      </c>
      <c r="AU150" s="228">
        <f t="shared" si="253"/>
        <v>3.2727481235165297E-4</v>
      </c>
      <c r="AV150" s="228">
        <f t="shared" si="253"/>
        <v>3.1246145684932214E-4</v>
      </c>
      <c r="AW150" s="228">
        <f t="shared" si="253"/>
        <v>2.982084044540989E-4</v>
      </c>
      <c r="AX150" s="228">
        <f t="shared" si="253"/>
        <v>2.8515164616792389E-4</v>
      </c>
      <c r="AY150" s="228">
        <f t="shared" si="253"/>
        <v>2.9090810316835303E-4</v>
      </c>
      <c r="AZ150" s="228">
        <f t="shared" si="253"/>
        <v>2.3599678886062546E-4</v>
      </c>
      <c r="BA150" s="228">
        <f t="shared" si="253"/>
        <v>2.833634028776888E-4</v>
      </c>
      <c r="BB150" s="228">
        <f t="shared" si="253"/>
        <v>2.8146719588717425E-4</v>
      </c>
    </row>
    <row r="151" spans="1:62" s="42" customFormat="1">
      <c r="B151" s="134" t="s">
        <v>168</v>
      </c>
      <c r="D151" s="70">
        <f>D149</f>
        <v>2649.9097583358825</v>
      </c>
      <c r="E151" s="70">
        <f>E149</f>
        <v>4625.5179268224238</v>
      </c>
      <c r="F151" s="70">
        <f t="shared" ref="F151:H151" si="264">F149</f>
        <v>4747.6692849947067</v>
      </c>
      <c r="G151" s="70">
        <f t="shared" si="264"/>
        <v>4868.2001642484047</v>
      </c>
      <c r="H151" s="70">
        <f t="shared" si="264"/>
        <v>5329.783587016178</v>
      </c>
      <c r="I151" s="70">
        <f t="shared" ref="I151:L151" si="265">I149</f>
        <v>5408.2307696767757</v>
      </c>
      <c r="J151" s="70">
        <f t="shared" si="265"/>
        <v>5474.0284066311087</v>
      </c>
      <c r="K151" s="70">
        <f t="shared" si="265"/>
        <v>5582.2745190977712</v>
      </c>
      <c r="L151" s="70">
        <f t="shared" si="265"/>
        <v>5613.6483923415735</v>
      </c>
      <c r="M151" s="70">
        <f t="shared" ref="M151:N151" si="266">M149</f>
        <v>4511.887960787124</v>
      </c>
      <c r="N151" s="70">
        <f t="shared" si="266"/>
        <v>5324.1337899220762</v>
      </c>
      <c r="O151" s="70">
        <f t="shared" ref="O151" si="267">O149</f>
        <v>5506.2022511448713</v>
      </c>
      <c r="P151" s="403"/>
      <c r="Q151" s="226">
        <f t="shared" ref="Q151:W151" si="268">Q132</f>
        <v>249622814</v>
      </c>
      <c r="R151" s="226">
        <f t="shared" ref="R151" si="269">R132</f>
        <v>295516599</v>
      </c>
      <c r="S151" s="226">
        <f t="shared" si="268"/>
        <v>301231207</v>
      </c>
      <c r="T151" s="226">
        <f t="shared" si="268"/>
        <v>309327143</v>
      </c>
      <c r="U151" s="226">
        <f t="shared" si="268"/>
        <v>320738994</v>
      </c>
      <c r="V151" s="226">
        <f>V132</f>
        <v>323071755</v>
      </c>
      <c r="W151" s="226">
        <f t="shared" si="268"/>
        <v>325122128</v>
      </c>
      <c r="X151" s="226">
        <f t="shared" ref="X151:Y151" si="270">X132</f>
        <v>326838199</v>
      </c>
      <c r="Y151" s="226">
        <f t="shared" si="270"/>
        <v>328329953</v>
      </c>
      <c r="Z151" s="226">
        <f t="shared" ref="Z151:AA151" si="271">Z132</f>
        <v>331511512</v>
      </c>
      <c r="AA151" s="226">
        <f t="shared" si="271"/>
        <v>332031554</v>
      </c>
      <c r="AB151" s="226">
        <f t="shared" ref="AB151" si="272">AB132</f>
        <v>333287557</v>
      </c>
      <c r="AC151" s="227"/>
      <c r="AD151" s="70">
        <f>VLOOKUP($B151,'ODS Subs Data'!$A$46:$AH$54,'ODS Subs Data'!$B$43,FALSE)</f>
        <v>6.6005399999999994E-3</v>
      </c>
      <c r="AE151" s="70">
        <f>VLOOKUP($B151,'ODS Subs Data'!$A$46:$AH$54,'ODS Subs Data'!$Q$43,FALSE)</f>
        <v>3.4888586672000002</v>
      </c>
      <c r="AF151" s="70">
        <f>VLOOKUP($B151,'ODS Subs Data'!$A$46:$AH$54,'ODS Subs Data'!$S$43,FALSE)</f>
        <v>4.2187536218000004</v>
      </c>
      <c r="AG151" s="70">
        <f>VLOOKUP($B151,'ODS Subs Data'!$A$46:$AH$54,'ODS Subs Data'!$V$43,FALSE)</f>
        <v>7.8990071527999977</v>
      </c>
      <c r="AH151" s="70">
        <f>VLOOKUP($B151,'ODS Subs Data'!$A$46:$AH$54,'ODS Subs Data'!$AA$43,FALSE)</f>
        <v>12.148485258799999</v>
      </c>
      <c r="AI151" s="70">
        <f>VLOOKUP($B151,'ODS Subs Data'!$A$46:$AH$54,'ODS Subs Data'!$AB$43,FALSE)</f>
        <v>13.061289361200002</v>
      </c>
      <c r="AJ151" s="70">
        <f>VLOOKUP($B151,'ODS Subs Data'!$A$46:$AH$54,'ODS Subs Data'!$AC$43,FALSE)</f>
        <v>13.815900991199996</v>
      </c>
      <c r="AK151" s="70">
        <f>VLOOKUP($B151,'ODS Subs Data'!$A$46:$AH$54,'ODS Subs Data'!$AD$43,FALSE)</f>
        <v>14.173388369400003</v>
      </c>
      <c r="AL151" s="70">
        <f>VLOOKUP($B151,'ODS Subs Data'!$A$46:$AH$54,'ODS Subs Data'!$AE$43,FALSE)</f>
        <v>14.1360476226</v>
      </c>
      <c r="AM151" s="70">
        <f>VLOOKUP($B151,'ODS Subs Data'!$A$46:$AH$54,'ODS Subs Data'!$AF$43,FALSE)</f>
        <v>13.699476005200001</v>
      </c>
      <c r="AN151" s="70">
        <f>VLOOKUP($B151,'ODS Subs Data'!$A$46:$AH$54,'ODS Subs Data'!$AG$43,FALSE)</f>
        <v>10.779920445200004</v>
      </c>
      <c r="AO151" s="70">
        <f>VLOOKUP($B151,'ODS Subs Data'!$A$46:$AH$54,'ODS Subs Data'!$AH$43,FALSE)</f>
        <v>11.687077275200004</v>
      </c>
      <c r="AP151" s="403"/>
      <c r="AQ151" s="228">
        <f t="shared" si="253"/>
        <v>7.0069057695529086E-8</v>
      </c>
      <c r="AR151" s="228">
        <f t="shared" si="253"/>
        <v>5.4608703415957314E-5</v>
      </c>
      <c r="AS151" s="228">
        <f t="shared" si="253"/>
        <v>6.6491274893640211E-5</v>
      </c>
      <c r="AT151" s="228">
        <f t="shared" si="253"/>
        <v>1.2431481940354739E-4</v>
      </c>
      <c r="AU151" s="228">
        <f t="shared" si="253"/>
        <v>2.0187379317982215E-4</v>
      </c>
      <c r="AV151" s="228">
        <f t="shared" si="253"/>
        <v>2.1864637165478539E-4</v>
      </c>
      <c r="AW151" s="228">
        <f t="shared" si="253"/>
        <v>2.326160786233279E-4</v>
      </c>
      <c r="AX151" s="228">
        <f t="shared" si="253"/>
        <v>2.4207618627765831E-4</v>
      </c>
      <c r="AY151" s="228">
        <f t="shared" si="253"/>
        <v>2.4169223759695302E-4</v>
      </c>
      <c r="AZ151" s="228">
        <f t="shared" si="253"/>
        <v>1.8645054129207424E-4</v>
      </c>
      <c r="BA151" s="228">
        <f t="shared" si="253"/>
        <v>1.7285627827697719E-4</v>
      </c>
      <c r="BB151" s="228">
        <f t="shared" si="253"/>
        <v>1.930807491922368E-4</v>
      </c>
      <c r="BE151" s="67"/>
      <c r="BF151" s="403"/>
      <c r="BG151" s="229"/>
      <c r="BH151" s="403"/>
      <c r="BI151" s="229"/>
    </row>
    <row r="152" spans="1:62" s="42" customFormat="1">
      <c r="B152" s="134" t="s">
        <v>169</v>
      </c>
      <c r="D152" s="70">
        <f>D149</f>
        <v>2649.9097583358825</v>
      </c>
      <c r="E152" s="70">
        <f>E149</f>
        <v>4625.5179268224238</v>
      </c>
      <c r="F152" s="70">
        <f t="shared" ref="F152:H152" si="273">F149</f>
        <v>4747.6692849947067</v>
      </c>
      <c r="G152" s="70">
        <f t="shared" si="273"/>
        <v>4868.2001642484047</v>
      </c>
      <c r="H152" s="70">
        <f t="shared" si="273"/>
        <v>5329.783587016178</v>
      </c>
      <c r="I152" s="70">
        <f t="shared" ref="I152:L152" si="274">I149</f>
        <v>5408.2307696767757</v>
      </c>
      <c r="J152" s="70">
        <f t="shared" si="274"/>
        <v>5474.0284066311087</v>
      </c>
      <c r="K152" s="70">
        <f t="shared" si="274"/>
        <v>5582.2745190977712</v>
      </c>
      <c r="L152" s="70">
        <f t="shared" si="274"/>
        <v>5613.6483923415735</v>
      </c>
      <c r="M152" s="70">
        <f t="shared" ref="M152:N152" si="275">M149</f>
        <v>4511.887960787124</v>
      </c>
      <c r="N152" s="70">
        <f t="shared" si="275"/>
        <v>5324.1337899220762</v>
      </c>
      <c r="O152" s="70">
        <f t="shared" ref="O152" si="276">O149</f>
        <v>5506.2022511448713</v>
      </c>
      <c r="P152" s="403"/>
      <c r="Q152" s="226">
        <f t="shared" ref="Q152:W152" si="277">Q133</f>
        <v>249622814</v>
      </c>
      <c r="R152" s="226">
        <f t="shared" ref="R152" si="278">R133</f>
        <v>295516599</v>
      </c>
      <c r="S152" s="226">
        <f t="shared" si="277"/>
        <v>301231207</v>
      </c>
      <c r="T152" s="226">
        <f t="shared" si="277"/>
        <v>309327143</v>
      </c>
      <c r="U152" s="226">
        <f t="shared" si="277"/>
        <v>320738994</v>
      </c>
      <c r="V152" s="226">
        <f>V133</f>
        <v>323071755</v>
      </c>
      <c r="W152" s="226">
        <f t="shared" si="277"/>
        <v>325122128</v>
      </c>
      <c r="X152" s="226">
        <f t="shared" ref="X152:Y152" si="279">X133</f>
        <v>326838199</v>
      </c>
      <c r="Y152" s="226">
        <f t="shared" si="279"/>
        <v>328329953</v>
      </c>
      <c r="Z152" s="226">
        <f t="shared" ref="Z152:AA152" si="280">Z133</f>
        <v>331511512</v>
      </c>
      <c r="AA152" s="226">
        <f t="shared" si="280"/>
        <v>332031554</v>
      </c>
      <c r="AB152" s="226">
        <f t="shared" ref="AB152" si="281">AB133</f>
        <v>333287557</v>
      </c>
      <c r="AC152" s="227"/>
      <c r="AD152" s="70">
        <f>VLOOKUP($B152,'ODS Subs Data'!$A$46:$AH$54,'ODS Subs Data'!$B$43,FALSE)</f>
        <v>0</v>
      </c>
      <c r="AE152" s="70">
        <f>VLOOKUP($B152,'ODS Subs Data'!$A$46:$AH$54,'ODS Subs Data'!$Q$43,FALSE)</f>
        <v>1.6416810000000002</v>
      </c>
      <c r="AF152" s="70">
        <f>VLOOKUP($B152,'ODS Subs Data'!$A$46:$AH$54,'ODS Subs Data'!$S$43,FALSE)</f>
        <v>1.6456378</v>
      </c>
      <c r="AG152" s="70">
        <f>VLOOKUP($B152,'ODS Subs Data'!$A$46:$AH$54,'ODS Subs Data'!$V$43,FALSE)</f>
        <v>1.6802280000000001</v>
      </c>
      <c r="AH152" s="70">
        <f>VLOOKUP($B152,'ODS Subs Data'!$A$46:$AH$54,'ODS Subs Data'!$AA$43,FALSE)</f>
        <v>1.8550949999999999</v>
      </c>
      <c r="AI152" s="70">
        <f>VLOOKUP($B152,'ODS Subs Data'!$A$46:$AH$54,'ODS Subs Data'!$AB$43,FALSE)</f>
        <v>1.8922034999999999</v>
      </c>
      <c r="AJ152" s="70">
        <f>VLOOKUP($B152,'ODS Subs Data'!$A$46:$AH$54,'ODS Subs Data'!$AC$43,FALSE)</f>
        <v>1.9300545</v>
      </c>
      <c r="AK152" s="70">
        <f>VLOOKUP($B152,'ODS Subs Data'!$A$46:$AH$54,'ODS Subs Data'!$AD$43,FALSE)</f>
        <v>1.968648</v>
      </c>
      <c r="AL152" s="70">
        <f>VLOOKUP($B152,'ODS Subs Data'!$A$46:$AH$54,'ODS Subs Data'!$AE$43,FALSE)</f>
        <v>2.0080334999999998</v>
      </c>
      <c r="AM152" s="70">
        <f>VLOOKUP($B152,'ODS Subs Data'!$A$46:$AH$54,'ODS Subs Data'!$AF$43,FALSE)</f>
        <v>2.0481945000000001</v>
      </c>
      <c r="AN152" s="70">
        <f>VLOOKUP($B152,'ODS Subs Data'!$A$46:$AH$54,'ODS Subs Data'!$AG$43,FALSE)</f>
        <v>2.0891640000000002</v>
      </c>
      <c r="AO152" s="70">
        <f>VLOOKUP($B152,'ODS Subs Data'!$A$46:$AH$54,'ODS Subs Data'!$AH$43,FALSE)</f>
        <v>2.1309420000000001</v>
      </c>
      <c r="AP152" s="403"/>
      <c r="AQ152" s="228">
        <f t="shared" si="253"/>
        <v>0</v>
      </c>
      <c r="AR152" s="228">
        <f t="shared" si="253"/>
        <v>2.5696102761468788E-5</v>
      </c>
      <c r="AS152" s="228">
        <f t="shared" si="253"/>
        <v>2.5936701960916891E-5</v>
      </c>
      <c r="AT152" s="228">
        <f t="shared" si="253"/>
        <v>2.6443480343316555E-5</v>
      </c>
      <c r="AU152" s="228">
        <f t="shared" si="253"/>
        <v>3.0826482181196141E-5</v>
      </c>
      <c r="AV152" s="228">
        <f t="shared" si="253"/>
        <v>3.1675542763526605E-5</v>
      </c>
      <c r="AW152" s="228">
        <f t="shared" si="253"/>
        <v>3.2496013803607368E-5</v>
      </c>
      <c r="AX152" s="228">
        <f t="shared" si="253"/>
        <v>3.3623773479038143E-5</v>
      </c>
      <c r="AY152" s="228">
        <f t="shared" si="253"/>
        <v>3.4332518023547556E-5</v>
      </c>
      <c r="AZ152" s="228">
        <f t="shared" si="253"/>
        <v>2.787602774379794E-5</v>
      </c>
      <c r="BA152" s="228">
        <f t="shared" si="253"/>
        <v>3.3499793953585404E-5</v>
      </c>
      <c r="BB152" s="228">
        <f t="shared" si="253"/>
        <v>3.5205027583610491E-5</v>
      </c>
      <c r="BE152" s="151"/>
      <c r="BG152" s="151"/>
      <c r="BI152" s="151"/>
    </row>
    <row r="153" spans="1:62" s="42" customFormat="1">
      <c r="B153" s="134" t="s">
        <v>170</v>
      </c>
      <c r="D153" s="70">
        <f>D149</f>
        <v>2649.9097583358825</v>
      </c>
      <c r="E153" s="70">
        <f>E149</f>
        <v>4625.5179268224238</v>
      </c>
      <c r="F153" s="70">
        <f t="shared" ref="F153:H153" si="282">F149</f>
        <v>4747.6692849947067</v>
      </c>
      <c r="G153" s="70">
        <f t="shared" si="282"/>
        <v>4868.2001642484047</v>
      </c>
      <c r="H153" s="70">
        <f t="shared" si="282"/>
        <v>5329.783587016178</v>
      </c>
      <c r="I153" s="70">
        <f t="shared" ref="I153:L153" si="283">I149</f>
        <v>5408.2307696767757</v>
      </c>
      <c r="J153" s="70">
        <f t="shared" si="283"/>
        <v>5474.0284066311087</v>
      </c>
      <c r="K153" s="70">
        <f t="shared" si="283"/>
        <v>5582.2745190977712</v>
      </c>
      <c r="L153" s="70">
        <f t="shared" si="283"/>
        <v>5613.6483923415735</v>
      </c>
      <c r="M153" s="70">
        <f t="shared" ref="M153:N153" si="284">M149</f>
        <v>4511.887960787124</v>
      </c>
      <c r="N153" s="70">
        <f t="shared" si="284"/>
        <v>5324.1337899220762</v>
      </c>
      <c r="O153" s="70">
        <f t="shared" ref="O153" si="285">O149</f>
        <v>5506.2022511448713</v>
      </c>
      <c r="P153" s="403"/>
      <c r="Q153" s="226">
        <f t="shared" ref="Q153:W153" si="286">Q134</f>
        <v>249622814</v>
      </c>
      <c r="R153" s="226">
        <f t="shared" ref="R153" si="287">R134</f>
        <v>295516599</v>
      </c>
      <c r="S153" s="226">
        <f t="shared" si="286"/>
        <v>301231207</v>
      </c>
      <c r="T153" s="226">
        <f t="shared" si="286"/>
        <v>309327143</v>
      </c>
      <c r="U153" s="226">
        <f t="shared" si="286"/>
        <v>320738994</v>
      </c>
      <c r="V153" s="226">
        <f>V134</f>
        <v>323071755</v>
      </c>
      <c r="W153" s="226">
        <f t="shared" si="286"/>
        <v>325122128</v>
      </c>
      <c r="X153" s="226">
        <f t="shared" ref="X153:Y153" si="288">X134</f>
        <v>326838199</v>
      </c>
      <c r="Y153" s="226">
        <f t="shared" si="288"/>
        <v>328329953</v>
      </c>
      <c r="Z153" s="226">
        <f t="shared" ref="Z153:AA153" si="289">Z134</f>
        <v>331511512</v>
      </c>
      <c r="AA153" s="226">
        <f t="shared" si="289"/>
        <v>332031554</v>
      </c>
      <c r="AB153" s="226">
        <f t="shared" ref="AB153" si="290">AB134</f>
        <v>333287557</v>
      </c>
      <c r="AC153" s="227"/>
      <c r="AD153" s="70">
        <f>VLOOKUP($B153,'ODS Subs Data'!$A$46:$AH$54,'ODS Subs Data'!$B$43,FALSE)</f>
        <v>0</v>
      </c>
      <c r="AE153" s="70">
        <f>VLOOKUP($B153,'ODS Subs Data'!$A$46:$AH$54,'ODS Subs Data'!$Q$43,FALSE)</f>
        <v>1.2058041080000002</v>
      </c>
      <c r="AF153" s="70">
        <f>VLOOKUP($B153,'ODS Subs Data'!$A$46:$AH$54,'ODS Subs Data'!$S$43,FALSE)</f>
        <v>1.3957860959999999</v>
      </c>
      <c r="AG153" s="70">
        <f>VLOOKUP($B153,'ODS Subs Data'!$A$46:$AH$54,'ODS Subs Data'!$V$43,FALSE)</f>
        <v>1.6717140079999999</v>
      </c>
      <c r="AH153" s="70">
        <f>VLOOKUP($B153,'ODS Subs Data'!$A$46:$AH$54,'ODS Subs Data'!$AA$43,FALSE)</f>
        <v>2.1273369799999995</v>
      </c>
      <c r="AI153" s="70">
        <f>VLOOKUP($B153,'ODS Subs Data'!$A$46:$AH$54,'ODS Subs Data'!$AB$43,FALSE)</f>
        <v>2.2160628099999999</v>
      </c>
      <c r="AJ153" s="70">
        <f>VLOOKUP($B153,'ODS Subs Data'!$A$46:$AH$54,'ODS Subs Data'!$AC$43,FALSE)</f>
        <v>2.30331245</v>
      </c>
      <c r="AK153" s="70">
        <f>VLOOKUP($B153,'ODS Subs Data'!$A$46:$AH$54,'ODS Subs Data'!$AD$43,FALSE)</f>
        <v>2.3889430579999997</v>
      </c>
      <c r="AL153" s="70">
        <f>VLOOKUP($B153,'ODS Subs Data'!$A$46:$AH$54,'ODS Subs Data'!$AE$43,FALSE)</f>
        <v>2.4728295379999996</v>
      </c>
      <c r="AM153" s="70">
        <f>VLOOKUP($B153,'ODS Subs Data'!$A$46:$AH$54,'ODS Subs Data'!$AF$43,FALSE)</f>
        <v>2.52815089</v>
      </c>
      <c r="AN153" s="70">
        <f>VLOOKUP($B153,'ODS Subs Data'!$A$46:$AH$54,'ODS Subs Data'!$AG$43,FALSE)</f>
        <v>2.5844474119999998</v>
      </c>
      <c r="AO153" s="70">
        <f>VLOOKUP($B153,'ODS Subs Data'!$A$46:$AH$54,'ODS Subs Data'!$AH$43,FALSE)</f>
        <v>2.6420306999999998</v>
      </c>
      <c r="AP153" s="403"/>
      <c r="AQ153" s="228">
        <f t="shared" si="253"/>
        <v>0</v>
      </c>
      <c r="AR153" s="228">
        <f t="shared" si="253"/>
        <v>1.8873621775100771E-5</v>
      </c>
      <c r="AS153" s="228">
        <f t="shared" si="253"/>
        <v>2.1998818921845214E-5</v>
      </c>
      <c r="AT153" s="228">
        <f t="shared" si="253"/>
        <v>2.6309486873326081E-5</v>
      </c>
      <c r="AU153" s="228">
        <f t="shared" si="253"/>
        <v>3.5350381251294192E-5</v>
      </c>
      <c r="AV153" s="228">
        <f t="shared" si="253"/>
        <v>3.7096957227283392E-5</v>
      </c>
      <c r="AW153" s="228">
        <f t="shared" si="253"/>
        <v>3.878049721871621E-5</v>
      </c>
      <c r="AX153" s="228">
        <f t="shared" si="253"/>
        <v>4.0802256287824269E-5</v>
      </c>
      <c r="AY153" s="228">
        <f t="shared" si="253"/>
        <v>4.2279406535073135E-5</v>
      </c>
      <c r="AZ153" s="228">
        <f t="shared" si="253"/>
        <v>3.440825778516027E-5</v>
      </c>
      <c r="BA153" s="228">
        <f t="shared" si="253"/>
        <v>4.1441675132195001E-5</v>
      </c>
      <c r="BB153" s="228">
        <f t="shared" si="253"/>
        <v>4.364866039068437E-5</v>
      </c>
    </row>
    <row r="154" spans="1:62" s="42" customFormat="1">
      <c r="B154" s="56"/>
      <c r="Q154" s="403"/>
      <c r="R154" s="403"/>
    </row>
    <row r="155" spans="1:62" s="43" customFormat="1">
      <c r="A155" s="232"/>
      <c r="B155" s="220" t="s">
        <v>176</v>
      </c>
      <c r="C155" s="232"/>
      <c r="D155" s="233"/>
      <c r="E155" s="233"/>
      <c r="F155" s="233"/>
      <c r="G155" s="233"/>
      <c r="H155" s="233"/>
      <c r="I155" s="233"/>
      <c r="J155" s="233"/>
      <c r="K155" s="233"/>
      <c r="L155" s="233"/>
      <c r="M155" s="233"/>
      <c r="N155" s="233"/>
      <c r="O155" s="233"/>
      <c r="P155" s="234"/>
      <c r="Q155" s="235"/>
      <c r="R155" s="235"/>
      <c r="S155" s="235"/>
      <c r="T155" s="233"/>
      <c r="U155" s="233"/>
      <c r="V155" s="233"/>
      <c r="W155" s="233"/>
      <c r="X155" s="233"/>
      <c r="Y155" s="233"/>
      <c r="Z155" s="233"/>
      <c r="AA155" s="233"/>
      <c r="AB155" s="233"/>
      <c r="AC155" s="236"/>
      <c r="AD155" s="233"/>
      <c r="AE155" s="233"/>
      <c r="AF155" s="233"/>
      <c r="AG155" s="233"/>
      <c r="AH155" s="233"/>
      <c r="AI155" s="233"/>
      <c r="AJ155" s="233"/>
      <c r="AK155" s="233"/>
      <c r="AL155" s="233"/>
      <c r="AM155" s="233"/>
      <c r="AN155" s="233"/>
      <c r="AO155" s="233"/>
      <c r="AP155" s="234"/>
      <c r="AQ155" s="237">
        <f>SUM(AQ149:AQ153,AQ141,AQ145)</f>
        <v>2.7296373971392138E-6</v>
      </c>
      <c r="AR155" s="237">
        <f>SUM(AR149:AR153,AR141,AR145)</f>
        <v>1.5972547942280271E-3</v>
      </c>
      <c r="AS155" s="237">
        <f t="shared" ref="AS155:AW155" si="291">SUM(AS149:AS153,AS141,AS145)</f>
        <v>1.7925468104264177E-3</v>
      </c>
      <c r="AT155" s="237">
        <f>SUM(AT149:AT153,AT141,AT145)</f>
        <v>2.1737788317025652E-3</v>
      </c>
      <c r="AU155" s="237">
        <f t="shared" si="291"/>
        <v>2.6196346386440409E-3</v>
      </c>
      <c r="AV155" s="237">
        <f t="shared" si="291"/>
        <v>2.654899386796224E-3</v>
      </c>
      <c r="AW155" s="237">
        <f t="shared" si="291"/>
        <v>2.66679722602626E-3</v>
      </c>
      <c r="AX155" s="237">
        <f t="shared" ref="AX155:AY155" si="292">SUM(AX149:AX153,AX141,AX145)</f>
        <v>2.7222485806193608E-3</v>
      </c>
      <c r="AY155" s="237">
        <f t="shared" si="292"/>
        <v>2.7939887155365691E-3</v>
      </c>
      <c r="AZ155" s="237">
        <f t="shared" ref="AZ155:BB155" si="293">SUM(AZ149:AZ153,AZ141,AZ145)</f>
        <v>2.3436034944902574E-3</v>
      </c>
      <c r="BA155" s="237">
        <f t="shared" si="293"/>
        <v>2.7704238780439689E-3</v>
      </c>
      <c r="BB155" s="237">
        <f t="shared" si="293"/>
        <v>2.9212044223859012E-3</v>
      </c>
    </row>
    <row r="156" spans="1:62" s="42" customFormat="1">
      <c r="B156" s="56"/>
      <c r="D156" s="72"/>
      <c r="E156" s="72"/>
      <c r="F156" s="72"/>
      <c r="G156" s="72"/>
      <c r="H156" s="72"/>
      <c r="I156" s="72"/>
      <c r="J156" s="72"/>
      <c r="K156" s="72"/>
      <c r="L156" s="72"/>
      <c r="M156" s="72"/>
      <c r="N156" s="72"/>
      <c r="O156" s="72"/>
      <c r="P156" s="403"/>
      <c r="Q156" s="230"/>
      <c r="R156" s="230"/>
      <c r="S156" s="230"/>
      <c r="T156" s="72"/>
      <c r="U156" s="72"/>
      <c r="V156" s="72"/>
      <c r="W156" s="72"/>
      <c r="X156" s="72"/>
      <c r="Y156" s="72"/>
      <c r="Z156" s="72"/>
      <c r="AA156" s="72"/>
      <c r="AB156" s="72"/>
      <c r="AC156" s="231"/>
      <c r="AD156" s="72"/>
      <c r="AE156" s="72"/>
      <c r="AF156" s="72"/>
      <c r="AG156" s="72"/>
      <c r="AH156" s="72"/>
      <c r="AI156" s="72"/>
      <c r="AJ156" s="72"/>
      <c r="AK156" s="72"/>
      <c r="AL156" s="72"/>
      <c r="AM156" s="72"/>
      <c r="AN156" s="72"/>
      <c r="AO156" s="72"/>
      <c r="AP156" s="222"/>
      <c r="AQ156" s="238"/>
      <c r="AR156" s="238"/>
      <c r="AS156" s="222"/>
      <c r="AT156" s="72"/>
      <c r="AU156" s="72"/>
      <c r="AV156" s="72"/>
      <c r="AW156" s="72"/>
      <c r="AX156" s="72"/>
      <c r="AY156" s="72"/>
      <c r="AZ156" s="72"/>
      <c r="BA156" s="72"/>
      <c r="BB156" s="72"/>
    </row>
    <row r="157" spans="1:62" s="217" customFormat="1" ht="13.35" customHeight="1">
      <c r="A157" s="216" t="s">
        <v>93</v>
      </c>
      <c r="D157" s="601" t="s">
        <v>154</v>
      </c>
      <c r="E157" s="601"/>
      <c r="F157" s="601"/>
      <c r="G157" s="601"/>
      <c r="H157" s="601"/>
      <c r="I157" s="601"/>
      <c r="J157" s="601"/>
      <c r="K157" s="601"/>
      <c r="L157" s="601"/>
      <c r="M157" s="601"/>
      <c r="N157" s="601"/>
      <c r="O157" s="601"/>
      <c r="P157" s="224" t="s">
        <v>155</v>
      </c>
      <c r="Q157" s="601" t="s">
        <v>143</v>
      </c>
      <c r="R157" s="601"/>
      <c r="S157" s="601"/>
      <c r="T157" s="601"/>
      <c r="U157" s="601"/>
      <c r="V157" s="601"/>
      <c r="W157" s="601"/>
      <c r="X157" s="601"/>
      <c r="Y157" s="601"/>
      <c r="Z157" s="601"/>
      <c r="AA157" s="601"/>
      <c r="AB157" s="601"/>
      <c r="AC157" s="225" t="s">
        <v>156</v>
      </c>
      <c r="AD157" s="601" t="s">
        <v>157</v>
      </c>
      <c r="AE157" s="601"/>
      <c r="AF157" s="601"/>
      <c r="AG157" s="601"/>
      <c r="AH157" s="601"/>
      <c r="AI157" s="601"/>
      <c r="AJ157" s="601"/>
      <c r="AK157" s="601"/>
      <c r="AL157" s="601"/>
      <c r="AM157" s="601"/>
      <c r="AN157" s="601"/>
      <c r="AO157" s="601"/>
      <c r="AP157" s="242" t="s">
        <v>158</v>
      </c>
      <c r="AQ157" s="601" t="s">
        <v>159</v>
      </c>
      <c r="AR157" s="601"/>
      <c r="AS157" s="601"/>
      <c r="AT157" s="601"/>
      <c r="AU157" s="601"/>
      <c r="AV157" s="601"/>
      <c r="AW157" s="601"/>
      <c r="AX157" s="601"/>
      <c r="AY157" s="601"/>
      <c r="AZ157" s="601"/>
      <c r="BA157" s="601"/>
      <c r="BB157" s="601"/>
    </row>
    <row r="158" spans="1:62" s="42" customFormat="1">
      <c r="A158" s="218"/>
      <c r="AD158" s="602" t="s">
        <v>160</v>
      </c>
      <c r="AE158" s="602"/>
      <c r="AF158" s="602"/>
      <c r="AG158" s="602"/>
      <c r="AH158" s="602"/>
      <c r="AI158" s="602"/>
      <c r="AJ158" s="602"/>
      <c r="AK158" s="602"/>
      <c r="AL158" s="602"/>
      <c r="AM158" s="602"/>
      <c r="AN158" s="602"/>
      <c r="AO158" s="602"/>
      <c r="AQ158" s="602" t="s">
        <v>161</v>
      </c>
      <c r="AR158" s="602"/>
      <c r="AS158" s="602"/>
      <c r="AT158" s="602"/>
      <c r="AU158" s="602"/>
      <c r="AV158" s="602"/>
      <c r="AW158" s="602"/>
      <c r="AX158" s="602"/>
      <c r="AY158" s="602"/>
      <c r="AZ158" s="602"/>
      <c r="BA158" s="602"/>
      <c r="BB158" s="602"/>
      <c r="BF158" s="404"/>
      <c r="BG158" s="404"/>
      <c r="BH158" s="404"/>
      <c r="BI158" s="404"/>
      <c r="BJ158" s="56"/>
    </row>
    <row r="159" spans="1:62" s="42" customFormat="1">
      <c r="A159" s="218"/>
      <c r="B159" s="43"/>
      <c r="D159" s="149">
        <v>1990</v>
      </c>
      <c r="E159" s="149">
        <v>2005</v>
      </c>
      <c r="F159" s="149">
        <v>2007</v>
      </c>
      <c r="G159" s="149">
        <v>2010</v>
      </c>
      <c r="H159" s="149">
        <v>2015</v>
      </c>
      <c r="I159" s="149">
        <v>2016</v>
      </c>
      <c r="J159" s="149">
        <v>2017</v>
      </c>
      <c r="K159" s="149">
        <v>2018</v>
      </c>
      <c r="L159" s="149">
        <v>2019</v>
      </c>
      <c r="M159" s="149">
        <v>2020</v>
      </c>
      <c r="N159" s="149">
        <v>2021</v>
      </c>
      <c r="O159" s="149">
        <v>2022</v>
      </c>
      <c r="P159" s="404"/>
      <c r="Q159" s="149">
        <v>1990</v>
      </c>
      <c r="R159" s="149">
        <v>2005</v>
      </c>
      <c r="S159" s="149">
        <v>2007</v>
      </c>
      <c r="T159" s="149">
        <v>2010</v>
      </c>
      <c r="U159" s="149">
        <v>2015</v>
      </c>
      <c r="V159" s="149">
        <v>2016</v>
      </c>
      <c r="W159" s="149">
        <v>2017</v>
      </c>
      <c r="X159" s="149">
        <v>2018</v>
      </c>
      <c r="Y159" s="149">
        <v>2019</v>
      </c>
      <c r="Z159" s="149">
        <v>2020</v>
      </c>
      <c r="AA159" s="149">
        <v>2021</v>
      </c>
      <c r="AB159" s="149">
        <v>2022</v>
      </c>
      <c r="AC159" s="44"/>
      <c r="AD159" s="149">
        <v>1990</v>
      </c>
      <c r="AE159" s="149">
        <v>2005</v>
      </c>
      <c r="AF159" s="149">
        <v>2007</v>
      </c>
      <c r="AG159" s="149">
        <v>2010</v>
      </c>
      <c r="AH159" s="149">
        <v>2015</v>
      </c>
      <c r="AI159" s="149">
        <v>2016</v>
      </c>
      <c r="AJ159" s="149">
        <v>2017</v>
      </c>
      <c r="AK159" s="149">
        <v>2018</v>
      </c>
      <c r="AL159" s="149">
        <v>2019</v>
      </c>
      <c r="AM159" s="149">
        <v>2020</v>
      </c>
      <c r="AN159" s="149">
        <v>2021</v>
      </c>
      <c r="AO159" s="149">
        <v>2022</v>
      </c>
      <c r="AP159" s="404"/>
      <c r="AQ159" s="149">
        <v>1990</v>
      </c>
      <c r="AR159" s="149">
        <v>2005</v>
      </c>
      <c r="AS159" s="149">
        <v>2007</v>
      </c>
      <c r="AT159" s="149">
        <v>2010</v>
      </c>
      <c r="AU159" s="149">
        <v>2015</v>
      </c>
      <c r="AV159" s="149">
        <v>2016</v>
      </c>
      <c r="AW159" s="149">
        <v>2017</v>
      </c>
      <c r="AX159" s="149">
        <v>2018</v>
      </c>
      <c r="AY159" s="149">
        <v>2019</v>
      </c>
      <c r="AZ159" s="149">
        <v>2020</v>
      </c>
      <c r="BA159" s="149">
        <v>2021</v>
      </c>
      <c r="BB159" s="149">
        <v>2022</v>
      </c>
      <c r="BF159" s="404"/>
      <c r="BG159" s="404"/>
      <c r="BH159" s="404"/>
      <c r="BI159" s="404"/>
      <c r="BJ159" s="56"/>
    </row>
    <row r="160" spans="1:62" s="42" customFormat="1">
      <c r="B160" s="90" t="s">
        <v>162</v>
      </c>
      <c r="D160" s="70">
        <f>VLOOKUP(D$45,'ODS Subs Data'!$A$168:$W$200,'ODS Subs Data'!$F$165,FALSE)</f>
        <v>600034.31743478775</v>
      </c>
      <c r="E160" s="70">
        <f>VLOOKUP(E$45,'ODS Subs Data'!$A$168:$W$200,'ODS Subs Data'!$F$165,FALSE)</f>
        <v>696400.65835236886</v>
      </c>
      <c r="F160" s="70">
        <f>VLOOKUP(F$45,'ODS Subs Data'!$A$168:$W$200,'ODS Subs Data'!$F$165,FALSE)</f>
        <v>702897.77024737734</v>
      </c>
      <c r="G160" s="70">
        <f>VLOOKUP(G$45,'ODS Subs Data'!$A$168:$W$200,'ODS Subs Data'!$F$165,FALSE)</f>
        <v>698470.8336859867</v>
      </c>
      <c r="H160" s="70">
        <f>VLOOKUP(H$45,'ODS Subs Data'!$A$168:$W$200,'ODS Subs Data'!$F$165,FALSE)</f>
        <v>755801.36038565973</v>
      </c>
      <c r="I160" s="70">
        <f>VLOOKUP(I$45,'ODS Subs Data'!$A$168:$W$200,'ODS Subs Data'!$F$165,FALSE)</f>
        <v>752709.47897878778</v>
      </c>
      <c r="J160" s="70">
        <f>VLOOKUP(J$45,'ODS Subs Data'!$A$168:$W$200,'ODS Subs Data'!$F$165,FALSE)</f>
        <v>762540.28340971016</v>
      </c>
      <c r="K160" s="70">
        <f>VLOOKUP(K$45,'ODS Subs Data'!$A$168:$W$200,'ODS Subs Data'!$F$165,FALSE)</f>
        <v>763630.16765130183</v>
      </c>
      <c r="L160" s="70">
        <f>VLOOKUP(L$45,'ODS Subs Data'!$A$168:$W$200,'ODS Subs Data'!$F$165,FALSE)</f>
        <v>766757.72094311565</v>
      </c>
      <c r="M160" s="70">
        <f>VLOOKUP(M$45,'ODS Subs Data'!$A$168:$W$200,'ODS Subs Data'!$F$165,FALSE)</f>
        <v>741722.32266813703</v>
      </c>
      <c r="N160" s="70">
        <f>VLOOKUP(N$45,'ODS Subs Data'!$A$168:$W$200,'ODS Subs Data'!$F$165,FALSE)</f>
        <v>741969.71770759614</v>
      </c>
      <c r="O160" s="70">
        <f>VLOOKUP(O$45,'ODS Subs Data'!$A$168:$W$200,'ODS Subs Data'!$F$165,FALSE)</f>
        <v>747583.12159546628</v>
      </c>
      <c r="P160" s="403"/>
      <c r="Q160" s="226">
        <f>VLOOKUP(Q159,'ODS Subs Data'!$A$89:$C$121,2,FALSE)+VLOOKUP(Q159,'ODS Subs Data'!$A$89:$C$121,3,FALSE)</f>
        <v>188170927</v>
      </c>
      <c r="R160" s="226">
        <f>VLOOKUP(R159,'ODS Subs Data'!$A$89:$C$121,2,FALSE)+VLOOKUP(R159,'ODS Subs Data'!$A$89:$C$121,3,FALSE)</f>
        <v>240386921</v>
      </c>
      <c r="S160" s="226">
        <f>VLOOKUP(S159,'ODS Subs Data'!$A$89:$C$121,2,FALSE)+VLOOKUP(S159,'ODS Subs Data'!$A$89:$C$121,3,FALSE)</f>
        <v>246430169</v>
      </c>
      <c r="T160" s="226">
        <f>VLOOKUP(T159,'ODS Subs Data'!$A$89:$C$121,2,FALSE)+VLOOKUP(T159,'ODS Subs Data'!$A$89:$C$121,3,FALSE)</f>
        <v>241214494</v>
      </c>
      <c r="U160" s="226">
        <f>VLOOKUP(U159,'ODS Subs Data'!$A$89:$C$121,2,FALSE)+VLOOKUP(U159,'ODS Subs Data'!$A$89:$C$121,3,FALSE)</f>
        <v>254120376</v>
      </c>
      <c r="V160" s="226">
        <f>VLOOKUP(V159,'ODS Subs Data'!$A$89:$C$121,2,FALSE)+VLOOKUP(V159,'ODS Subs Data'!$A$89:$C$121,3,FALSE)</f>
        <v>259143542</v>
      </c>
      <c r="W160" s="226">
        <f>VLOOKUP(W159,'ODS Subs Data'!$A$89:$C$121,2,FALSE)+VLOOKUP(W159,'ODS Subs Data'!$A$89:$C$121,3,FALSE)</f>
        <v>262782463</v>
      </c>
      <c r="X160" s="226">
        <f>VLOOKUP(X159,'ODS Subs Data'!$A$89:$C$121,2,FALSE)+VLOOKUP(X159,'ODS Subs Data'!$A$89:$C$121,3,FALSE)</f>
        <v>263943762.85966885</v>
      </c>
      <c r="Y160" s="226">
        <f>VLOOKUP(Y159,'ODS Subs Data'!$A$89:$C$121,2,FALSE)+VLOOKUP(Y159,'ODS Subs Data'!$A$89:$C$121,3,FALSE)</f>
        <v>266899827.15515292</v>
      </c>
      <c r="Z160" s="226">
        <f>VLOOKUP(Z159,'ODS Subs Data'!$A$89:$C$121,2,FALSE)+VLOOKUP(Z159,'ODS Subs Data'!$A$89:$C$121,3,FALSE)</f>
        <v>266578628</v>
      </c>
      <c r="AA160" s="226">
        <f>VLOOKUP(AA159,'ODS Subs Data'!$A$89:$C$121,2,FALSE)+VLOOKUP(AA159,'ODS Subs Data'!$A$89:$C$121,3,FALSE)</f>
        <v>271534359.57747412</v>
      </c>
      <c r="AB160" s="226">
        <f>VLOOKUP(AB159,'ODS Subs Data'!$A$89:$C$121,2,FALSE)+VLOOKUP(AB159,'ODS Subs Data'!$A$89:$C$121,3,FALSE)</f>
        <v>272879203.49339122</v>
      </c>
      <c r="AC160" s="227"/>
      <c r="AD160" s="70">
        <f>VLOOKUP($B160,'ODS Subs Data'!$A$46:$AH$54,INDEX('ODS Subs Data'!$A$43:$AH$43,MATCH(AD159,'ODS Subs Data'!$A$45:$AH$45,0)),FALSE)</f>
        <v>0</v>
      </c>
      <c r="AE160" s="70">
        <f>VLOOKUP($B160,'ODS Subs Data'!$A$46:$AH$54,INDEX('ODS Subs Data'!$A$43:$AH$43,MATCH(AE159,'ODS Subs Data'!$A$45:$AH$45,0)),FALSE)</f>
        <v>61.533466841699997</v>
      </c>
      <c r="AF160" s="70">
        <f>VLOOKUP($B160,'ODS Subs Data'!$A$46:$AH$54,INDEX('ODS Subs Data'!$A$43:$AH$43,MATCH(AF159,'ODS Subs Data'!$A$45:$AH$45,0)),FALSE)</f>
        <v>62.910223398300005</v>
      </c>
      <c r="AG160" s="70">
        <f>VLOOKUP($B160,'ODS Subs Data'!$A$46:$AH$54,INDEX('ODS Subs Data'!$A$43:$AH$43,MATCH(AG159,'ODS Subs Data'!$A$45:$AH$45,0)),FALSE)</f>
        <v>59.223563384900004</v>
      </c>
      <c r="AH160" s="70">
        <f>VLOOKUP($B160,'ODS Subs Data'!$A$46:$AH$54,INDEX('ODS Subs Data'!$A$43:$AH$43,MATCH(AH159,'ODS Subs Data'!$A$45:$AH$45,0)),FALSE)</f>
        <v>37.220865681900008</v>
      </c>
      <c r="AI160" s="70">
        <f>VLOOKUP($B160,'ODS Subs Data'!$A$46:$AH$54,INDEX('ODS Subs Data'!$A$43:$AH$43,MATCH(AI159,'ODS Subs Data'!$A$45:$AH$45,0)),FALSE)</f>
        <v>34.005905660899998</v>
      </c>
      <c r="AJ160" s="70">
        <f>VLOOKUP($B160,'ODS Subs Data'!$A$46:$AH$54,INDEX('ODS Subs Data'!$A$43:$AH$43,MATCH(AJ159,'ODS Subs Data'!$A$45:$AH$45,0)),FALSE)</f>
        <v>30.674008980899998</v>
      </c>
      <c r="AK160" s="70">
        <f>VLOOKUP($B160,'ODS Subs Data'!$A$46:$AH$54,INDEX('ODS Subs Data'!$A$43:$AH$43,MATCH(AK159,'ODS Subs Data'!$A$45:$AH$45,0)),FALSE)</f>
        <v>28.664453929199993</v>
      </c>
      <c r="AL160" s="70">
        <f>VLOOKUP($B160,'ODS Subs Data'!$A$46:$AH$54,INDEX('ODS Subs Data'!$A$43:$AH$43,MATCH(AL159,'ODS Subs Data'!$A$45:$AH$45,0)),FALSE)</f>
        <v>26.643254329600001</v>
      </c>
      <c r="AM160" s="70">
        <f>VLOOKUP($B160,'ODS Subs Data'!$A$46:$AH$54,INDEX('ODS Subs Data'!$A$43:$AH$43,MATCH(AM159,'ODS Subs Data'!$A$45:$AH$45,0)),FALSE)</f>
        <v>24.630521789999996</v>
      </c>
      <c r="AN160" s="70">
        <f>VLOOKUP($B160,'ODS Subs Data'!$A$46:$AH$54,INDEX('ODS Subs Data'!$A$43:$AH$43,MATCH(AN159,'ODS Subs Data'!$A$45:$AH$45,0)),FALSE)</f>
        <v>22.854063608300002</v>
      </c>
      <c r="AO160" s="70">
        <f>VLOOKUP($B160,'ODS Subs Data'!$A$46:$AH$54,INDEX('ODS Subs Data'!$A$43:$AH$43,MATCH(AO159,'ODS Subs Data'!$A$45:$AH$45,0)),FALSE)</f>
        <v>20.792943220800002</v>
      </c>
      <c r="AP160" s="403"/>
      <c r="AQ160" s="228">
        <f t="shared" ref="AQ160:BB160" si="294">D160/Q160*AD160</f>
        <v>0</v>
      </c>
      <c r="AR160" s="228">
        <f t="shared" si="294"/>
        <v>0.17826238898938906</v>
      </c>
      <c r="AS160" s="228">
        <f t="shared" si="294"/>
        <v>0.17944010642799768</v>
      </c>
      <c r="AT160" s="228">
        <f t="shared" si="294"/>
        <v>0.17149024092766987</v>
      </c>
      <c r="AU160" s="228">
        <f t="shared" si="294"/>
        <v>0.11070179164661689</v>
      </c>
      <c r="AV160" s="228">
        <f t="shared" si="294"/>
        <v>9.8773704081801306E-2</v>
      </c>
      <c r="AW160" s="228">
        <f t="shared" si="294"/>
        <v>8.9009621245567966E-2</v>
      </c>
      <c r="AX160" s="228">
        <f t="shared" si="294"/>
        <v>8.2930702822577279E-2</v>
      </c>
      <c r="AY160" s="228">
        <f t="shared" si="294"/>
        <v>7.6541529404574149E-2</v>
      </c>
      <c r="AZ160" s="228">
        <f t="shared" si="294"/>
        <v>6.8531404665369333E-2</v>
      </c>
      <c r="BA160" s="228">
        <f t="shared" si="294"/>
        <v>6.2448903889393878E-2</v>
      </c>
      <c r="BB160" s="228">
        <f t="shared" si="294"/>
        <v>5.6964595327028723E-2</v>
      </c>
      <c r="BE160" s="67"/>
      <c r="BF160" s="403"/>
      <c r="BG160" s="229"/>
      <c r="BH160" s="403"/>
      <c r="BI160" s="229"/>
    </row>
    <row r="161" spans="1:61" s="42" customFormat="1">
      <c r="D161" s="72"/>
      <c r="E161" s="72"/>
      <c r="F161" s="72"/>
      <c r="G161" s="72"/>
      <c r="H161" s="72"/>
      <c r="I161" s="72"/>
      <c r="J161" s="72"/>
      <c r="K161" s="72"/>
      <c r="L161" s="72"/>
      <c r="M161" s="72"/>
      <c r="N161" s="72"/>
      <c r="O161" s="72"/>
      <c r="P161" s="403"/>
      <c r="Q161" s="230"/>
      <c r="R161" s="230"/>
      <c r="S161" s="230"/>
      <c r="T161" s="72"/>
      <c r="U161" s="72"/>
      <c r="V161" s="72"/>
      <c r="W161" s="72"/>
      <c r="X161" s="72"/>
      <c r="Y161" s="72"/>
      <c r="Z161" s="72"/>
      <c r="AA161" s="72"/>
      <c r="AB161" s="72"/>
      <c r="AC161" s="231"/>
      <c r="AD161" s="72"/>
      <c r="AE161" s="72"/>
      <c r="AF161" s="72"/>
      <c r="AG161" s="72"/>
      <c r="AH161" s="72"/>
      <c r="AI161" s="72"/>
      <c r="AJ161" s="72"/>
      <c r="AK161" s="72"/>
      <c r="AL161" s="72"/>
      <c r="AM161" s="72"/>
      <c r="AN161" s="72"/>
      <c r="AO161" s="72"/>
      <c r="AP161" s="403"/>
      <c r="AQ161" s="230"/>
      <c r="AR161" s="230"/>
      <c r="AS161" s="230"/>
      <c r="AT161" s="72"/>
      <c r="AU161" s="72"/>
      <c r="AV161" s="72"/>
      <c r="AW161" s="72"/>
      <c r="AX161" s="72"/>
      <c r="AY161" s="72"/>
      <c r="AZ161" s="72"/>
      <c r="BA161" s="72"/>
      <c r="BB161" s="72"/>
      <c r="BE161" s="67"/>
      <c r="BF161" s="403"/>
      <c r="BG161" s="229"/>
      <c r="BH161" s="403"/>
      <c r="BI161" s="229"/>
    </row>
    <row r="162" spans="1:61" s="42" customFormat="1" ht="13.35" customHeight="1">
      <c r="D162" s="603" t="s">
        <v>163</v>
      </c>
      <c r="E162" s="603"/>
      <c r="F162" s="603"/>
      <c r="G162" s="603"/>
      <c r="H162" s="603"/>
      <c r="I162" s="603"/>
      <c r="J162" s="603"/>
      <c r="K162" s="603"/>
      <c r="L162" s="603"/>
      <c r="M162" s="603"/>
      <c r="N162" s="603"/>
      <c r="O162" s="603"/>
      <c r="P162" s="403" t="s">
        <v>155</v>
      </c>
      <c r="Q162" s="599" t="s">
        <v>147</v>
      </c>
      <c r="R162" s="599"/>
      <c r="S162" s="599"/>
      <c r="T162" s="599"/>
      <c r="U162" s="599"/>
      <c r="V162" s="599"/>
      <c r="W162" s="599"/>
      <c r="X162" s="599"/>
      <c r="Y162" s="599"/>
      <c r="Z162" s="599"/>
      <c r="AA162" s="599"/>
      <c r="AB162" s="599"/>
      <c r="AC162" s="231" t="s">
        <v>156</v>
      </c>
      <c r="AD162" s="599" t="s">
        <v>157</v>
      </c>
      <c r="AE162" s="599"/>
      <c r="AF162" s="599"/>
      <c r="AG162" s="599"/>
      <c r="AH162" s="599"/>
      <c r="AI162" s="599"/>
      <c r="AJ162" s="599"/>
      <c r="AK162" s="599"/>
      <c r="AL162" s="599"/>
      <c r="AM162" s="599"/>
      <c r="AN162" s="599"/>
      <c r="AO162" s="599"/>
      <c r="AP162" s="47" t="s">
        <v>158</v>
      </c>
      <c r="AQ162" s="599" t="s">
        <v>159</v>
      </c>
      <c r="AR162" s="599"/>
      <c r="AS162" s="599"/>
      <c r="AT162" s="599"/>
      <c r="AU162" s="599"/>
      <c r="AV162" s="599"/>
      <c r="AW162" s="599"/>
      <c r="AX162" s="599"/>
      <c r="AY162" s="599"/>
      <c r="AZ162" s="599"/>
      <c r="BA162" s="599"/>
      <c r="BB162" s="599"/>
      <c r="BE162" s="414"/>
      <c r="BF162" s="403"/>
      <c r="BG162" s="229"/>
      <c r="BH162" s="403"/>
      <c r="BI162" s="229"/>
    </row>
    <row r="163" spans="1:61" s="42" customFormat="1">
      <c r="D163" s="149">
        <v>1990</v>
      </c>
      <c r="E163" s="149">
        <v>2005</v>
      </c>
      <c r="F163" s="149">
        <v>2007</v>
      </c>
      <c r="G163" s="149">
        <v>2010</v>
      </c>
      <c r="H163" s="149">
        <v>2015</v>
      </c>
      <c r="I163" s="149">
        <v>2016</v>
      </c>
      <c r="J163" s="149">
        <v>2017</v>
      </c>
      <c r="K163" s="149">
        <v>2018</v>
      </c>
      <c r="L163" s="149">
        <v>2019</v>
      </c>
      <c r="M163" s="149">
        <v>2020</v>
      </c>
      <c r="N163" s="149">
        <v>2021</v>
      </c>
      <c r="O163" s="149">
        <v>2022</v>
      </c>
      <c r="P163" s="404"/>
      <c r="Q163" s="149">
        <v>1990</v>
      </c>
      <c r="R163" s="149">
        <v>2005</v>
      </c>
      <c r="S163" s="149">
        <v>2007</v>
      </c>
      <c r="T163" s="149">
        <v>2010</v>
      </c>
      <c r="U163" s="149">
        <v>2015</v>
      </c>
      <c r="V163" s="149">
        <v>2016</v>
      </c>
      <c r="W163" s="149">
        <v>2017</v>
      </c>
      <c r="X163" s="149">
        <v>2018</v>
      </c>
      <c r="Y163" s="149">
        <v>2019</v>
      </c>
      <c r="Z163" s="149">
        <v>2020</v>
      </c>
      <c r="AA163" s="149">
        <v>2021</v>
      </c>
      <c r="AB163" s="149">
        <v>2022</v>
      </c>
      <c r="AC163" s="44"/>
      <c r="AD163" s="149">
        <v>1990</v>
      </c>
      <c r="AE163" s="149">
        <v>2005</v>
      </c>
      <c r="AF163" s="149">
        <v>2007</v>
      </c>
      <c r="AG163" s="149">
        <v>2010</v>
      </c>
      <c r="AH163" s="149">
        <v>2015</v>
      </c>
      <c r="AI163" s="149">
        <v>2016</v>
      </c>
      <c r="AJ163" s="149">
        <v>2017</v>
      </c>
      <c r="AK163" s="149">
        <v>2018</v>
      </c>
      <c r="AL163" s="149">
        <v>2019</v>
      </c>
      <c r="AM163" s="149">
        <v>2020</v>
      </c>
      <c r="AN163" s="149">
        <v>2021</v>
      </c>
      <c r="AO163" s="149">
        <v>2022</v>
      </c>
      <c r="AP163" s="404"/>
      <c r="AQ163" s="149">
        <v>1990</v>
      </c>
      <c r="AR163" s="149">
        <v>2005</v>
      </c>
      <c r="AS163" s="149">
        <v>2007</v>
      </c>
      <c r="AT163" s="149">
        <v>2010</v>
      </c>
      <c r="AU163" s="149">
        <v>2015</v>
      </c>
      <c r="AV163" s="149">
        <v>2016</v>
      </c>
      <c r="AW163" s="149">
        <v>2017</v>
      </c>
      <c r="AX163" s="149">
        <v>2018</v>
      </c>
      <c r="AY163" s="149">
        <v>2019</v>
      </c>
      <c r="AZ163" s="149">
        <v>2020</v>
      </c>
      <c r="BA163" s="149">
        <v>2021</v>
      </c>
      <c r="BB163" s="149">
        <v>2022</v>
      </c>
      <c r="BE163" s="67"/>
      <c r="BF163" s="403"/>
      <c r="BG163" s="229"/>
      <c r="BH163" s="403"/>
      <c r="BI163" s="229"/>
    </row>
    <row r="164" spans="1:61" s="42" customFormat="1">
      <c r="B164" s="90" t="s">
        <v>164</v>
      </c>
      <c r="D164" s="70">
        <f>(VLOOKUP(D163,'ODS Subs Data'!$A$206:$N$229,'ODS Subs Data'!$F$204,FALSE)/VLOOKUP(D163,'ODS Subs Data'!$A$206:$N$229,'ODS Subs Data'!$D$204,FALSE))*VLOOKUP(D163,'ODS Subs Data'!$A$206:$N$229,'ODS Subs Data'!$C$204,FALSE)</f>
        <v>310349.51168196643</v>
      </c>
      <c r="E164" s="70">
        <f>(VLOOKUP(E163,'ODS Subs Data'!$A$206:$N$229,'ODS Subs Data'!$F$204,FALSE)/VLOOKUP(E163,'ODS Subs Data'!$A$206:$N$229,'ODS Subs Data'!$D$204,FALSE))*VLOOKUP(E163,'ODS Subs Data'!$A$206:$N$229,'ODS Subs Data'!$C$204,FALSE)</f>
        <v>308074.49643236242</v>
      </c>
      <c r="F164" s="70">
        <f>(VLOOKUP(F163,'ODS Subs Data'!$A$206:$N$229,'ODS Subs Data'!$F$204,FALSE)/VLOOKUP(F163,'ODS Subs Data'!$A$206:$N$229,'ODS Subs Data'!$D$204,FALSE))*VLOOKUP(F163,'ODS Subs Data'!$A$206:$N$229,'ODS Subs Data'!$C$204,FALSE)</f>
        <v>319591.6937106243</v>
      </c>
      <c r="G164" s="70">
        <f>(VLOOKUP(G163,'ODS Subs Data'!$A$206:$N$229,'ODS Subs Data'!$F$204,FALSE)/VLOOKUP(G163,'ODS Subs Data'!$A$206:$N$229,'ODS Subs Data'!$D$204,FALSE))*VLOOKUP(G163,'ODS Subs Data'!$A$206:$N$229,'ODS Subs Data'!$C$204,FALSE)</f>
        <v>343781.72851633799</v>
      </c>
      <c r="H164" s="70">
        <f>(VLOOKUP(H163,'ODS Subs Data'!$A$206:$N$229,'ODS Subs Data'!$F$204,FALSE)/VLOOKUP(H163,'ODS Subs Data'!$A$206:$N$229,'ODS Subs Data'!$D$204,FALSE))*VLOOKUP(H163,'ODS Subs Data'!$A$206:$N$229,'ODS Subs Data'!$C$204,FALSE)</f>
        <v>394153.27030747593</v>
      </c>
      <c r="I164" s="70">
        <f>(VLOOKUP(I163,'ODS Subs Data'!$A$206:$N$229,'ODS Subs Data'!$F$204,FALSE)/VLOOKUP(I163,'ODS Subs Data'!$A$206:$N$229,'ODS Subs Data'!$D$204,FALSE))*VLOOKUP(I163,'ODS Subs Data'!$A$206:$N$229,'ODS Subs Data'!$C$204,FALSE)</f>
        <v>388781.2889942574</v>
      </c>
      <c r="J164" s="70">
        <f>(VLOOKUP(J163,'ODS Subs Data'!$A$206:$N$229,'ODS Subs Data'!$F$204,FALSE)/VLOOKUP(J163,'ODS Subs Data'!$A$206:$N$229,'ODS Subs Data'!$D$204,FALSE))*VLOOKUP(J163,'ODS Subs Data'!$A$206:$N$229,'ODS Subs Data'!$C$204,FALSE)</f>
        <v>383133.91087674879</v>
      </c>
      <c r="K164" s="70">
        <f>(VLOOKUP(K163,'ODS Subs Data'!$A$206:$N$229,'ODS Subs Data'!$F$204,FALSE)/VLOOKUP(K163,'ODS Subs Data'!$A$206:$N$229,'ODS Subs Data'!$D$204,FALSE))*VLOOKUP(K163,'ODS Subs Data'!$A$206:$N$229,'ODS Subs Data'!$C$204,FALSE)</f>
        <v>378377.71989557956</v>
      </c>
      <c r="L164" s="70">
        <f>(VLOOKUP(L163,'ODS Subs Data'!$A$206:$N$229,'ODS Subs Data'!$F$204,FALSE)/VLOOKUP(L163,'ODS Subs Data'!$A$206:$N$229,'ODS Subs Data'!$D$204,FALSE))*VLOOKUP(L163,'ODS Subs Data'!$A$206:$N$229,'ODS Subs Data'!$C$204,FALSE)</f>
        <v>372114.59976027347</v>
      </c>
      <c r="M164" s="70">
        <f>(VLOOKUP(M163,'ODS Subs Data'!$A$206:$N$229,'ODS Subs Data'!$F$204,FALSE)/VLOOKUP(M163,'ODS Subs Data'!$A$206:$N$229,'ODS Subs Data'!$D$204,FALSE))*VLOOKUP(M163,'ODS Subs Data'!$A$206:$N$229,'ODS Subs Data'!$C$204,FALSE)</f>
        <v>346024.1066421229</v>
      </c>
      <c r="N164" s="70">
        <f>(VLOOKUP(N163,'ODS Subs Data'!$A$206:$N$229,'ODS Subs Data'!$F$204,FALSE)/VLOOKUP(N163,'ODS Subs Data'!$A$206:$N$229,'ODS Subs Data'!$D$204,FALSE))*VLOOKUP(N163,'ODS Subs Data'!$A$206:$N$229,'ODS Subs Data'!$C$204,FALSE)</f>
        <v>347936.25916279852</v>
      </c>
      <c r="O164" s="70">
        <f>(VLOOKUP(O163,'ODS Subs Data'!$A$206:$N$229,'ODS Subs Data'!$F$204,FALSE)/VLOOKUP(O163,'ODS Subs Data'!$A$206:$N$229,'ODS Subs Data'!$D$204,FALSE))*VLOOKUP(O163,'ODS Subs Data'!$A$206:$N$229,'ODS Subs Data'!$C$204,FALSE)</f>
        <v>343838.94332035695</v>
      </c>
      <c r="P164" s="403"/>
      <c r="Q164" s="70">
        <f>VLOOKUP(Q163,'ODS Subs Data'!$A$206:$I$229,'ODS Subs Data'!$B$204,FALSE)</f>
        <v>66133333.333333284</v>
      </c>
      <c r="R164" s="70">
        <f>VLOOKUP(R163,'ODS Subs Data'!$A$206:$I$229,'ODS Subs Data'!$B$204,FALSE)</f>
        <v>88133333.333333313</v>
      </c>
      <c r="S164" s="70">
        <f>VLOOKUP(S163,'ODS Subs Data'!$A$206:$I$229,'ODS Subs Data'!$B$204,FALSE)</f>
        <v>91066666.666666657</v>
      </c>
      <c r="T164" s="70">
        <f>VLOOKUP(T163,'ODS Subs Data'!$A$206:$I$229,'ODS Subs Data'!$B$204,FALSE)</f>
        <v>95466666.666666672</v>
      </c>
      <c r="U164" s="70">
        <f>VLOOKUP(U163,'ODS Subs Data'!$A$206:$I$229,'ODS Subs Data'!$B$204,FALSE)</f>
        <v>102800000</v>
      </c>
      <c r="V164" s="70">
        <f>VLOOKUP(V163,'ODS Subs Data'!$A$206:$I$229,'ODS Subs Data'!$B$204,FALSE)</f>
        <v>104024000</v>
      </c>
      <c r="W164" s="70">
        <f>VLOOKUP(W163,'ODS Subs Data'!$A$206:$I$229,'ODS Subs Data'!$B$204,FALSE)</f>
        <v>105248000</v>
      </c>
      <c r="X164" s="70">
        <f>VLOOKUP(X163,'ODS Subs Data'!$A$206:$I$229,'ODS Subs Data'!$B$204,FALSE)</f>
        <v>106472000</v>
      </c>
      <c r="Y164" s="70">
        <f>VLOOKUP(Y163,'ODS Subs Data'!$A$206:$I$229,'ODS Subs Data'!$B$204,FALSE)</f>
        <v>107696000</v>
      </c>
      <c r="Z164" s="70">
        <f>VLOOKUP(Z163,'ODS Subs Data'!$A$206:$I$229,'ODS Subs Data'!$B$204,FALSE)</f>
        <v>108920000</v>
      </c>
      <c r="AA164" s="70">
        <f>VLOOKUP(AA163,'ODS Subs Data'!$A$206:$I$229,'ODS Subs Data'!$B$204,FALSE)</f>
        <v>110144000</v>
      </c>
      <c r="AB164" s="70">
        <f>VLOOKUP(AB163,'ODS Subs Data'!$A$206:$I$229,'ODS Subs Data'!$B$204,FALSE)</f>
        <v>111368000</v>
      </c>
      <c r="AC164" s="227"/>
      <c r="AD164" s="48">
        <f>HLOOKUP(AD163,'ODS Subs Data'!$A$45:$AH$49,ROWS('ODS Subs Data'!$A$45:$A$48),FALSE)</f>
        <v>1.5331524000000001E-2</v>
      </c>
      <c r="AE164" s="48">
        <f>HLOOKUP(AE163,'ODS Subs Data'!$A$45:$AH$49,ROWS('ODS Subs Data'!$A$45:$A$48),FALSE)</f>
        <v>2.9636769795000002</v>
      </c>
      <c r="AF164" s="48">
        <f>HLOOKUP(AF163,'ODS Subs Data'!$A$45:$AH$49,ROWS('ODS Subs Data'!$A$45:$A$48),FALSE)</f>
        <v>4.9444058864999993</v>
      </c>
      <c r="AG164" s="48">
        <f>HLOOKUP(AG163,'ODS Subs Data'!$A$45:$AH$49,ROWS('ODS Subs Data'!$A$45:$A$48),FALSE)</f>
        <v>9.4590427961999985</v>
      </c>
      <c r="AH164" s="48">
        <f>HLOOKUP(AH163,'ODS Subs Data'!$A$45:$AH$49,ROWS('ODS Subs Data'!$A$45:$A$48),FALSE)</f>
        <v>22.076133818999999</v>
      </c>
      <c r="AI164" s="48">
        <f>HLOOKUP(AI163,'ODS Subs Data'!$A$45:$AH$49,ROWS('ODS Subs Data'!$A$45:$A$48),FALSE)</f>
        <v>25.363225943400003</v>
      </c>
      <c r="AJ164" s="48">
        <f>HLOOKUP(AJ163,'ODS Subs Data'!$A$45:$AH$49,ROWS('ODS Subs Data'!$A$45:$A$48),FALSE)</f>
        <v>28.835006181299995</v>
      </c>
      <c r="AK164" s="48">
        <f>HLOOKUP(AK163,'ODS Subs Data'!$A$45:$AH$49,ROWS('ODS Subs Data'!$A$45:$A$48),FALSE)</f>
        <v>32.43467263334</v>
      </c>
      <c r="AL164" s="48">
        <f>HLOOKUP(AL163,'ODS Subs Data'!$A$45:$AH$49,ROWS('ODS Subs Data'!$A$45:$A$48),FALSE)</f>
        <v>35.986680838900007</v>
      </c>
      <c r="AM164" s="48">
        <f>HLOOKUP(AM163,'ODS Subs Data'!$A$45:$AH$49,ROWS('ODS Subs Data'!$A$45:$A$48),FALSE)</f>
        <v>40.1213199269</v>
      </c>
      <c r="AN164" s="48">
        <f>HLOOKUP(AN163,'ODS Subs Data'!$A$45:$AH$49,ROWS('ODS Subs Data'!$A$45:$A$48),FALSE)</f>
        <v>48.790876858400004</v>
      </c>
      <c r="AO164" s="48">
        <f>HLOOKUP(AO163,'ODS Subs Data'!$A$45:$AH$49,ROWS('ODS Subs Data'!$A$45:$A$48),FALSE)</f>
        <v>54.039902339999998</v>
      </c>
      <c r="AP164" s="403"/>
      <c r="AQ164" s="228">
        <f t="shared" ref="AQ164:BB164" si="295">D164/Q164*AD164</f>
        <v>7.1947545162404525E-5</v>
      </c>
      <c r="AR164" s="228">
        <f t="shared" si="295"/>
        <v>1.0359681842446834E-2</v>
      </c>
      <c r="AS164" s="228">
        <f t="shared" si="295"/>
        <v>1.7352024725395123E-2</v>
      </c>
      <c r="AT164" s="228">
        <f t="shared" si="295"/>
        <v>3.4062633546658345E-2</v>
      </c>
      <c r="AU164" s="228">
        <f t="shared" si="295"/>
        <v>8.464377763136495E-2</v>
      </c>
      <c r="AV164" s="228">
        <f t="shared" si="295"/>
        <v>9.4793006184415551E-2</v>
      </c>
      <c r="AW164" s="228">
        <f t="shared" si="295"/>
        <v>0.10496796792715009</v>
      </c>
      <c r="AX164" s="228">
        <f t="shared" si="295"/>
        <v>0.11526558603729377</v>
      </c>
      <c r="AY164" s="228">
        <f t="shared" si="295"/>
        <v>0.12434230925074263</v>
      </c>
      <c r="AZ164" s="228">
        <f t="shared" si="295"/>
        <v>0.12746000628909637</v>
      </c>
      <c r="BA164" s="228">
        <f t="shared" si="295"/>
        <v>0.15412655410539342</v>
      </c>
      <c r="BB164" s="228">
        <f t="shared" si="295"/>
        <v>0.16684346417032614</v>
      </c>
      <c r="BE164" s="67"/>
      <c r="BF164" s="403"/>
      <c r="BG164" s="229"/>
      <c r="BH164" s="403"/>
      <c r="BI164" s="229"/>
    </row>
    <row r="165" spans="1:61" s="42" customFormat="1" ht="12.75" customHeight="1">
      <c r="D165" s="72"/>
      <c r="E165" s="72"/>
      <c r="F165" s="72"/>
      <c r="G165" s="72"/>
      <c r="H165" s="72"/>
      <c r="I165" s="72"/>
      <c r="J165" s="72"/>
      <c r="K165" s="72"/>
      <c r="L165" s="72"/>
      <c r="M165" s="72"/>
      <c r="N165" s="72"/>
      <c r="O165" s="72"/>
      <c r="P165" s="403"/>
      <c r="Q165" s="230"/>
      <c r="R165" s="230"/>
      <c r="S165" s="230"/>
      <c r="T165" s="72"/>
      <c r="U165" s="72"/>
      <c r="V165" s="72"/>
      <c r="W165" s="72"/>
      <c r="X165" s="72"/>
      <c r="Y165" s="72"/>
      <c r="Z165" s="72"/>
      <c r="AA165" s="72"/>
      <c r="AB165" s="72"/>
      <c r="AC165" s="231"/>
      <c r="AD165" s="72"/>
      <c r="AE165" s="72"/>
      <c r="AF165" s="72"/>
      <c r="AG165" s="72"/>
      <c r="AH165" s="72"/>
      <c r="AI165" s="72"/>
      <c r="AJ165" s="72"/>
      <c r="AK165" s="72"/>
      <c r="AL165" s="72"/>
      <c r="AM165" s="72"/>
      <c r="AN165" s="72"/>
      <c r="AO165" s="72"/>
      <c r="AP165" s="403"/>
      <c r="AQ165" s="72"/>
      <c r="AR165" s="72"/>
      <c r="AS165" s="72"/>
      <c r="AT165" s="72"/>
      <c r="AU165" s="72"/>
      <c r="AV165" s="72"/>
      <c r="AW165" s="72"/>
      <c r="AX165" s="72"/>
      <c r="AY165" s="72"/>
      <c r="AZ165" s="72"/>
      <c r="BA165" s="72"/>
      <c r="BB165" s="72"/>
      <c r="BE165" s="67"/>
      <c r="BF165" s="403"/>
      <c r="BG165" s="229"/>
      <c r="BH165" s="403"/>
      <c r="BI165" s="229"/>
    </row>
    <row r="166" spans="1:61" s="42" customFormat="1" ht="13.35" customHeight="1">
      <c r="B166" s="129"/>
      <c r="D166" s="599" t="s">
        <v>165</v>
      </c>
      <c r="E166" s="599"/>
      <c r="F166" s="599"/>
      <c r="G166" s="599"/>
      <c r="H166" s="599"/>
      <c r="I166" s="599"/>
      <c r="J166" s="599"/>
      <c r="K166" s="599"/>
      <c r="L166" s="599"/>
      <c r="M166" s="599"/>
      <c r="N166" s="599"/>
      <c r="O166" s="599"/>
      <c r="P166" s="403" t="s">
        <v>155</v>
      </c>
      <c r="Q166" s="599" t="s">
        <v>152</v>
      </c>
      <c r="R166" s="599"/>
      <c r="S166" s="599"/>
      <c r="T166" s="599"/>
      <c r="U166" s="599"/>
      <c r="V166" s="599"/>
      <c r="W166" s="599"/>
      <c r="X166" s="599"/>
      <c r="Y166" s="599"/>
      <c r="Z166" s="599"/>
      <c r="AA166" s="599"/>
      <c r="AB166" s="599"/>
      <c r="AC166" s="44" t="s">
        <v>156</v>
      </c>
      <c r="AD166" s="599" t="s">
        <v>157</v>
      </c>
      <c r="AE166" s="599"/>
      <c r="AF166" s="599"/>
      <c r="AG166" s="599"/>
      <c r="AH166" s="599"/>
      <c r="AI166" s="599"/>
      <c r="AJ166" s="599"/>
      <c r="AK166" s="599"/>
      <c r="AL166" s="599"/>
      <c r="AM166" s="599"/>
      <c r="AN166" s="599"/>
      <c r="AO166" s="599"/>
      <c r="AP166" s="47" t="s">
        <v>158</v>
      </c>
      <c r="AQ166" s="599" t="s">
        <v>159</v>
      </c>
      <c r="AR166" s="599"/>
      <c r="AS166" s="599"/>
      <c r="AT166" s="599"/>
      <c r="AU166" s="599"/>
      <c r="AV166" s="599"/>
      <c r="AW166" s="599"/>
      <c r="AX166" s="599"/>
      <c r="AY166" s="599"/>
      <c r="AZ166" s="599"/>
      <c r="BA166" s="599"/>
      <c r="BB166" s="599"/>
      <c r="BE166" s="67"/>
      <c r="BF166" s="403"/>
      <c r="BG166" s="229"/>
      <c r="BH166" s="403"/>
      <c r="BI166" s="229"/>
    </row>
    <row r="167" spans="1:61" s="42" customFormat="1">
      <c r="B167" s="129"/>
      <c r="AD167" s="600" t="s">
        <v>161</v>
      </c>
      <c r="AE167" s="600"/>
      <c r="AF167" s="600"/>
      <c r="AG167" s="600"/>
      <c r="AH167" s="600"/>
      <c r="AI167" s="600"/>
      <c r="AJ167" s="600"/>
      <c r="AK167" s="600"/>
      <c r="AL167" s="600"/>
      <c r="AM167" s="600"/>
      <c r="AN167" s="600"/>
      <c r="AO167" s="600"/>
      <c r="AP167" s="403"/>
      <c r="AQ167" s="600" t="s">
        <v>161</v>
      </c>
      <c r="AR167" s="600"/>
      <c r="AS167" s="600"/>
      <c r="AT167" s="600"/>
      <c r="AU167" s="600"/>
      <c r="AV167" s="600"/>
      <c r="AW167" s="600"/>
      <c r="AX167" s="600"/>
      <c r="AY167" s="600"/>
      <c r="AZ167" s="600"/>
      <c r="BA167" s="600"/>
      <c r="BB167" s="600"/>
      <c r="BE167" s="67"/>
      <c r="BF167" s="403"/>
      <c r="BG167" s="229"/>
      <c r="BH167" s="403"/>
      <c r="BI167" s="229"/>
    </row>
    <row r="168" spans="1:61" s="42" customFormat="1">
      <c r="B168" s="134" t="s">
        <v>166</v>
      </c>
      <c r="D168" s="70">
        <f>INDEX('ODS Subs Data'!$F$206:$F$229,MATCH('ODS Subs'!D$159,'ODS Subs Data'!$A$206:$A$229,0))</f>
        <v>913268</v>
      </c>
      <c r="E168" s="70">
        <f>INDEX('ODS Subs Data'!$F$206:$F$229,MATCH('ODS Subs'!E$159,'ODS Subs Data'!$A$206:$A$229,0))</f>
        <v>959340</v>
      </c>
      <c r="F168" s="70">
        <f>INDEX('ODS Subs Data'!$F$206:$F$229,MATCH('ODS Subs'!F$159,'ODS Subs Data'!$A$206:$A$229,0))</f>
        <v>963577</v>
      </c>
      <c r="G168" s="70">
        <f>INDEX('ODS Subs Data'!$F$206:$F$229,MATCH('ODS Subs'!G$159,'ODS Subs Data'!$A$206:$A$229,0))</f>
        <v>988402</v>
      </c>
      <c r="H168" s="70">
        <f>INDEX('ODS Subs Data'!$F$206:$F$229,MATCH('ODS Subs'!H$159,'ODS Subs Data'!$A$206:$A$229,0))</f>
        <v>1072517</v>
      </c>
      <c r="I168" s="70">
        <f>INDEX('ODS Subs Data'!$F$206:$F$229,MATCH('ODS Subs'!I$159,'ODS Subs Data'!$A$206:$A$229,0))</f>
        <v>1079640</v>
      </c>
      <c r="J168" s="70">
        <f>INDEX('ODS Subs Data'!$F$206:$F$229,MATCH('ODS Subs'!J$159,'ODS Subs Data'!$A$206:$A$229,0))</f>
        <v>1082858</v>
      </c>
      <c r="K168" s="70">
        <f>INDEX('ODS Subs Data'!$F$206:$F$229,MATCH('ODS Subs'!K$159,'ODS Subs Data'!$A$206:$A$229,0))</f>
        <v>1085816</v>
      </c>
      <c r="L168" s="70">
        <f>INDEX('ODS Subs Data'!$F$206:$F$229,MATCH('ODS Subs'!L$159,'ODS Subs Data'!$A$206:$A$229,0))</f>
        <v>1083883</v>
      </c>
      <c r="M168" s="70">
        <f>INDEX('ODS Subs Data'!$F$206:$F$229,MATCH('ODS Subs'!M$159,'ODS Subs Data'!$A$206:$A$229,0))</f>
        <v>1015488</v>
      </c>
      <c r="N168" s="70">
        <f>INDEX('ODS Subs Data'!$F$206:$F$229,MATCH('ODS Subs'!N$159,'ODS Subs Data'!$A$206:$A$229,0))</f>
        <v>1036974</v>
      </c>
      <c r="O168" s="70">
        <f>INDEX('ODS Subs Data'!$F$206:$F$229,MATCH('ODS Subs'!O$159,'ODS Subs Data'!$A$206:$A$229,0))</f>
        <v>1045329</v>
      </c>
      <c r="P168" s="403"/>
      <c r="Q168" s="226">
        <f>Q149</f>
        <v>249622814</v>
      </c>
      <c r="R168" s="226">
        <f>R149</f>
        <v>295516599</v>
      </c>
      <c r="S168" s="226">
        <f t="shared" ref="S168:W168" si="296">S149</f>
        <v>301231207</v>
      </c>
      <c r="T168" s="226">
        <f t="shared" si="296"/>
        <v>309327143</v>
      </c>
      <c r="U168" s="226">
        <f t="shared" si="296"/>
        <v>320738994</v>
      </c>
      <c r="V168" s="226">
        <f>V149</f>
        <v>323071755</v>
      </c>
      <c r="W168" s="226">
        <f t="shared" si="296"/>
        <v>325122128</v>
      </c>
      <c r="X168" s="226">
        <f t="shared" ref="X168:Y168" si="297">X149</f>
        <v>326838199</v>
      </c>
      <c r="Y168" s="226">
        <f t="shared" si="297"/>
        <v>328329953</v>
      </c>
      <c r="Z168" s="226">
        <f t="shared" ref="Z168:AA168" si="298">Z149</f>
        <v>331511512</v>
      </c>
      <c r="AA168" s="226">
        <f t="shared" si="298"/>
        <v>332031554</v>
      </c>
      <c r="AB168" s="226">
        <f t="shared" ref="AB168" si="299">AB149</f>
        <v>333287557</v>
      </c>
      <c r="AC168" s="227"/>
      <c r="AD168" s="70">
        <f>VLOOKUP($B168,'ODS Subs Data'!$A$46:$AH$54,'ODS Subs Data'!$B$43,FALSE)</f>
        <v>3.5485200000000001E-4</v>
      </c>
      <c r="AE168" s="70">
        <f>VLOOKUP($B168,'ODS Subs Data'!$A$46:$AH$54,'ODS Subs Data'!$Q$43,FALSE)</f>
        <v>18.4710840109</v>
      </c>
      <c r="AF168" s="70">
        <f>VLOOKUP($B168,'ODS Subs Data'!$A$46:$AH$54,'ODS Subs Data'!$S$43,FALSE)</f>
        <v>26.201877207300001</v>
      </c>
      <c r="AG168" s="70">
        <f>VLOOKUP($B168,'ODS Subs Data'!$A$46:$AH$54,'ODS Subs Data'!$V$43,FALSE)</f>
        <v>42.267351500799997</v>
      </c>
      <c r="AH168" s="70">
        <f>VLOOKUP($B168,'ODS Subs Data'!$A$46:$AH$54,'ODS Subs Data'!$AA$43,FALSE)</f>
        <v>58.965182780299997</v>
      </c>
      <c r="AI168" s="70">
        <f>VLOOKUP($B168,'ODS Subs Data'!$A$46:$AH$54,'ODS Subs Data'!$AB$43,FALSE)</f>
        <v>60.648990855000008</v>
      </c>
      <c r="AJ168" s="70">
        <f>VLOOKUP($B168,'ODS Subs Data'!$A$46:$AH$54,'ODS Subs Data'!$AC$43,FALSE)</f>
        <v>60.933447877739994</v>
      </c>
      <c r="AK168" s="70">
        <f>VLOOKUP($B168,'ODS Subs Data'!$A$46:$AH$54,'ODS Subs Data'!$AD$43,FALSE)</f>
        <v>61.568224540540008</v>
      </c>
      <c r="AL168" s="70">
        <f>VLOOKUP($B168,'ODS Subs Data'!$A$46:$AH$54,'ODS Subs Data'!$AE$43,FALSE)</f>
        <v>63.839829161980006</v>
      </c>
      <c r="AM168" s="70">
        <f>VLOOKUP($B168,'ODS Subs Data'!$A$46:$AH$54,'ODS Subs Data'!$AF$43,FALSE)</f>
        <v>65.861211760999993</v>
      </c>
      <c r="AN168" s="70">
        <f>VLOOKUP($B168,'ODS Subs Data'!$A$46:$AH$54,'ODS Subs Data'!$AG$43,FALSE)</f>
        <v>67.901135420939994</v>
      </c>
      <c r="AO168" s="70">
        <f>VLOOKUP($B168,'ODS Subs Data'!$A$46:$AH$54,'ODS Subs Data'!$AH$43,FALSE)</f>
        <v>69.80410859541999</v>
      </c>
      <c r="AP168" s="403"/>
      <c r="AQ168" s="228">
        <f t="shared" ref="AQ168:BB172" si="300">D168/Q168*AD168</f>
        <v>1.2982586452855227E-6</v>
      </c>
      <c r="AR168" s="228">
        <f t="shared" si="300"/>
        <v>5.9962959085817058E-2</v>
      </c>
      <c r="AS168" s="228">
        <f t="shared" si="300"/>
        <v>8.381444434400355E-2</v>
      </c>
      <c r="AT168" s="228">
        <f t="shared" si="300"/>
        <v>0.13505809529975105</v>
      </c>
      <c r="AU168" s="228">
        <f t="shared" si="300"/>
        <v>0.19717328458035574</v>
      </c>
      <c r="AV168" s="228">
        <f t="shared" si="300"/>
        <v>0.20267657408395917</v>
      </c>
      <c r="AW168" s="228">
        <f t="shared" si="300"/>
        <v>0.2029461110748936</v>
      </c>
      <c r="AX168" s="228">
        <f t="shared" si="300"/>
        <v>0.20454085080095241</v>
      </c>
      <c r="AY168" s="228">
        <f t="shared" si="300"/>
        <v>0.21074807497558523</v>
      </c>
      <c r="AZ168" s="228">
        <f t="shared" si="300"/>
        <v>0.20174644857809448</v>
      </c>
      <c r="BA168" s="228">
        <f t="shared" si="300"/>
        <v>0.21206331492817648</v>
      </c>
      <c r="BB168" s="228">
        <f t="shared" si="300"/>
        <v>0.21893484320490783</v>
      </c>
      <c r="BE168" s="414"/>
      <c r="BF168" s="403"/>
      <c r="BG168" s="229"/>
      <c r="BH168" s="403"/>
      <c r="BI168" s="229"/>
    </row>
    <row r="169" spans="1:61" s="42" customFormat="1">
      <c r="B169" s="219" t="s">
        <v>167</v>
      </c>
      <c r="D169" s="70">
        <f>D168</f>
        <v>913268</v>
      </c>
      <c r="E169" s="70">
        <f>E168</f>
        <v>959340</v>
      </c>
      <c r="F169" s="70">
        <f t="shared" ref="F169" si="301">F168</f>
        <v>963577</v>
      </c>
      <c r="G169" s="70">
        <f t="shared" ref="G169" si="302">G168</f>
        <v>988402</v>
      </c>
      <c r="H169" s="70">
        <f t="shared" ref="H169:L169" si="303">H168</f>
        <v>1072517</v>
      </c>
      <c r="I169" s="70">
        <f t="shared" si="303"/>
        <v>1079640</v>
      </c>
      <c r="J169" s="70">
        <f t="shared" si="303"/>
        <v>1082858</v>
      </c>
      <c r="K169" s="70">
        <f t="shared" si="303"/>
        <v>1085816</v>
      </c>
      <c r="L169" s="70">
        <f t="shared" si="303"/>
        <v>1083883</v>
      </c>
      <c r="M169" s="70">
        <f t="shared" ref="M169:N169" si="304">M168</f>
        <v>1015488</v>
      </c>
      <c r="N169" s="70">
        <f t="shared" si="304"/>
        <v>1036974</v>
      </c>
      <c r="O169" s="70">
        <f t="shared" ref="O169" si="305">O168</f>
        <v>1045329</v>
      </c>
      <c r="P169" s="403"/>
      <c r="Q169" s="226">
        <f t="shared" ref="Q169:W169" si="306">Q150</f>
        <v>249622814</v>
      </c>
      <c r="R169" s="226">
        <f t="shared" ref="R169" si="307">R150</f>
        <v>295516599</v>
      </c>
      <c r="S169" s="226">
        <f t="shared" si="306"/>
        <v>301231207</v>
      </c>
      <c r="T169" s="226">
        <f t="shared" si="306"/>
        <v>309327143</v>
      </c>
      <c r="U169" s="226">
        <f t="shared" si="306"/>
        <v>320738994</v>
      </c>
      <c r="V169" s="226">
        <f>V150</f>
        <v>323071755</v>
      </c>
      <c r="W169" s="226">
        <f t="shared" si="306"/>
        <v>325122128</v>
      </c>
      <c r="X169" s="226">
        <f t="shared" ref="X169:Y169" si="308">X150</f>
        <v>326838199</v>
      </c>
      <c r="Y169" s="226">
        <f t="shared" si="308"/>
        <v>328329953</v>
      </c>
      <c r="Z169" s="226">
        <f t="shared" ref="Z169:AA169" si="309">Z150</f>
        <v>331511512</v>
      </c>
      <c r="AA169" s="226">
        <f t="shared" si="309"/>
        <v>332031554</v>
      </c>
      <c r="AB169" s="226">
        <f t="shared" ref="AB169" si="310">AB150</f>
        <v>333287557</v>
      </c>
      <c r="AC169" s="227"/>
      <c r="AD169" s="70">
        <f>VLOOKUP($B169,'ODS Subs Data'!$A$46:$AH$54,'ODS Subs Data'!$B$43,FALSE)</f>
        <v>0.23051244000000001</v>
      </c>
      <c r="AE169" s="70">
        <f>VLOOKUP($B169,'ODS Subs Data'!$A$46:$AH$54,'ODS Subs Data'!$Q$43,FALSE)</f>
        <v>10.175936419999999</v>
      </c>
      <c r="AF169" s="70">
        <f>VLOOKUP($B169,'ODS Subs Data'!$A$46:$AH$54,'ODS Subs Data'!$S$43,FALSE)</f>
        <v>11.7735906</v>
      </c>
      <c r="AG169" s="70">
        <f>VLOOKUP($B169,'ODS Subs Data'!$A$46:$AH$54,'ODS Subs Data'!$V$43,FALSE)</f>
        <v>15.597268</v>
      </c>
      <c r="AH169" s="70">
        <f>VLOOKUP($B169,'ODS Subs Data'!$A$46:$AH$54,'ODS Subs Data'!$AA$43,FALSE)</f>
        <v>19.694944899999996</v>
      </c>
      <c r="AI169" s="70">
        <f>VLOOKUP($B169,'ODS Subs Data'!$A$46:$AH$54,'ODS Subs Data'!$AB$43,FALSE)</f>
        <v>18.665525850000002</v>
      </c>
      <c r="AJ169" s="70">
        <f>VLOOKUP($B169,'ODS Subs Data'!$A$46:$AH$54,'ODS Subs Data'!$AC$43,FALSE)</f>
        <v>17.711663850000001</v>
      </c>
      <c r="AK169" s="70">
        <f>VLOOKUP($B169,'ODS Subs Data'!$A$46:$AH$54,'ODS Subs Data'!$AD$43,FALSE)</f>
        <v>16.695425880000002</v>
      </c>
      <c r="AL169" s="70">
        <f>VLOOKUP($B169,'ODS Subs Data'!$A$46:$AH$54,'ODS Subs Data'!$AE$43,FALSE)</f>
        <v>17.014575400000002</v>
      </c>
      <c r="AM169" s="70">
        <f>VLOOKUP($B169,'ODS Subs Data'!$A$46:$AH$54,'ODS Subs Data'!$AF$43,FALSE)</f>
        <v>17.339892519999999</v>
      </c>
      <c r="AN169" s="70">
        <f>VLOOKUP($B169,'ODS Subs Data'!$A$46:$AH$54,'ODS Subs Data'!$AG$43,FALSE)</f>
        <v>17.671530189999999</v>
      </c>
      <c r="AO169" s="70">
        <f>VLOOKUP($B169,'ODS Subs Data'!$A$46:$AH$54,'ODS Subs Data'!$AH$43,FALSE)</f>
        <v>17.037062899999999</v>
      </c>
      <c r="AP169" s="403"/>
      <c r="AQ169" s="228">
        <f t="shared" si="300"/>
        <v>8.4335094088763861E-4</v>
      </c>
      <c r="AR169" s="228">
        <f t="shared" si="300"/>
        <v>3.3034296138345853E-2</v>
      </c>
      <c r="AS169" s="228">
        <f t="shared" si="300"/>
        <v>3.7661307480589816E-2</v>
      </c>
      <c r="AT169" s="228">
        <f t="shared" si="300"/>
        <v>4.9838403239433789E-2</v>
      </c>
      <c r="AU169" s="228">
        <f t="shared" si="300"/>
        <v>6.5857795947671077E-2</v>
      </c>
      <c r="AV169" s="228">
        <f t="shared" si="300"/>
        <v>6.2376385483447795E-2</v>
      </c>
      <c r="AW169" s="228">
        <f t="shared" si="300"/>
        <v>5.8990807581338484E-2</v>
      </c>
      <c r="AX169" s="228">
        <f t="shared" si="300"/>
        <v>5.5465244279228457E-2</v>
      </c>
      <c r="AY169" s="228">
        <f t="shared" si="300"/>
        <v>5.6168524558215381E-2</v>
      </c>
      <c r="AZ169" s="228">
        <f t="shared" si="300"/>
        <v>5.3115660053910156E-2</v>
      </c>
      <c r="BA169" s="228">
        <f t="shared" si="300"/>
        <v>5.5190288773714138E-2</v>
      </c>
      <c r="BB169" s="228">
        <f t="shared" si="300"/>
        <v>5.343534599521247E-2</v>
      </c>
    </row>
    <row r="170" spans="1:61" s="42" customFormat="1">
      <c r="B170" s="134" t="s">
        <v>168</v>
      </c>
      <c r="D170" s="70">
        <f>D168</f>
        <v>913268</v>
      </c>
      <c r="E170" s="70">
        <f>E168</f>
        <v>959340</v>
      </c>
      <c r="F170" s="70">
        <f t="shared" ref="F170:H170" si="311">F168</f>
        <v>963577</v>
      </c>
      <c r="G170" s="70">
        <f t="shared" si="311"/>
        <v>988402</v>
      </c>
      <c r="H170" s="70">
        <f t="shared" si="311"/>
        <v>1072517</v>
      </c>
      <c r="I170" s="70">
        <f t="shared" ref="I170:L170" si="312">I168</f>
        <v>1079640</v>
      </c>
      <c r="J170" s="70">
        <f t="shared" si="312"/>
        <v>1082858</v>
      </c>
      <c r="K170" s="70">
        <f t="shared" si="312"/>
        <v>1085816</v>
      </c>
      <c r="L170" s="70">
        <f t="shared" si="312"/>
        <v>1083883</v>
      </c>
      <c r="M170" s="70">
        <f t="shared" ref="M170:N170" si="313">M168</f>
        <v>1015488</v>
      </c>
      <c r="N170" s="70">
        <f t="shared" si="313"/>
        <v>1036974</v>
      </c>
      <c r="O170" s="70">
        <f t="shared" ref="O170" si="314">O168</f>
        <v>1045329</v>
      </c>
      <c r="P170" s="403"/>
      <c r="Q170" s="226">
        <f t="shared" ref="Q170:W170" si="315">Q151</f>
        <v>249622814</v>
      </c>
      <c r="R170" s="226">
        <f t="shared" ref="R170" si="316">R151</f>
        <v>295516599</v>
      </c>
      <c r="S170" s="226">
        <f t="shared" si="315"/>
        <v>301231207</v>
      </c>
      <c r="T170" s="226">
        <f t="shared" si="315"/>
        <v>309327143</v>
      </c>
      <c r="U170" s="226">
        <f t="shared" si="315"/>
        <v>320738994</v>
      </c>
      <c r="V170" s="226">
        <f>V151</f>
        <v>323071755</v>
      </c>
      <c r="W170" s="226">
        <f t="shared" si="315"/>
        <v>325122128</v>
      </c>
      <c r="X170" s="226">
        <f t="shared" ref="X170:Y170" si="317">X151</f>
        <v>326838199</v>
      </c>
      <c r="Y170" s="226">
        <f t="shared" si="317"/>
        <v>328329953</v>
      </c>
      <c r="Z170" s="226">
        <f t="shared" ref="Z170:AA170" si="318">Z151</f>
        <v>331511512</v>
      </c>
      <c r="AA170" s="226">
        <f t="shared" si="318"/>
        <v>332031554</v>
      </c>
      <c r="AB170" s="226">
        <f t="shared" ref="AB170" si="319">AB151</f>
        <v>333287557</v>
      </c>
      <c r="AC170" s="227"/>
      <c r="AD170" s="70">
        <f>VLOOKUP($B170,'ODS Subs Data'!$A$46:$AH$54,'ODS Subs Data'!$B$43,FALSE)</f>
        <v>6.6005399999999994E-3</v>
      </c>
      <c r="AE170" s="70">
        <f>VLOOKUP($B170,'ODS Subs Data'!$A$46:$AH$54,'ODS Subs Data'!$Q$43,FALSE)</f>
        <v>3.4888586672000002</v>
      </c>
      <c r="AF170" s="70">
        <f>VLOOKUP($B170,'ODS Subs Data'!$A$46:$AH$54,'ODS Subs Data'!$S$43,FALSE)</f>
        <v>4.2187536218000004</v>
      </c>
      <c r="AG170" s="70">
        <f>VLOOKUP($B170,'ODS Subs Data'!$A$46:$AH$54,'ODS Subs Data'!$V$43,FALSE)</f>
        <v>7.8990071527999977</v>
      </c>
      <c r="AH170" s="70">
        <f>VLOOKUP($B170,'ODS Subs Data'!$A$46:$AH$54,'ODS Subs Data'!$AA$43,FALSE)</f>
        <v>12.148485258799999</v>
      </c>
      <c r="AI170" s="70">
        <f>VLOOKUP($B170,'ODS Subs Data'!$A$46:$AH$54,'ODS Subs Data'!$AB$43,FALSE)</f>
        <v>13.061289361200002</v>
      </c>
      <c r="AJ170" s="70">
        <f>VLOOKUP($B170,'ODS Subs Data'!$A$46:$AH$54,'ODS Subs Data'!$AC$43,FALSE)</f>
        <v>13.815900991199996</v>
      </c>
      <c r="AK170" s="70">
        <f>VLOOKUP($B170,'ODS Subs Data'!$A$46:$AH$54,'ODS Subs Data'!$AD$43,FALSE)</f>
        <v>14.173388369400003</v>
      </c>
      <c r="AL170" s="70">
        <f>VLOOKUP($B170,'ODS Subs Data'!$A$46:$AH$54,'ODS Subs Data'!$AE$43,FALSE)</f>
        <v>14.1360476226</v>
      </c>
      <c r="AM170" s="70">
        <f>VLOOKUP($B170,'ODS Subs Data'!$A$46:$AH$54,'ODS Subs Data'!$AF$43,FALSE)</f>
        <v>13.699476005200001</v>
      </c>
      <c r="AN170" s="70">
        <f>VLOOKUP($B170,'ODS Subs Data'!$A$46:$AH$54,'ODS Subs Data'!$AG$43,FALSE)</f>
        <v>10.779920445200004</v>
      </c>
      <c r="AO170" s="70">
        <f>VLOOKUP($B170,'ODS Subs Data'!$A$46:$AH$54,'ODS Subs Data'!$AH$43,FALSE)</f>
        <v>11.687077275200004</v>
      </c>
      <c r="AP170" s="403"/>
      <c r="AQ170" s="228">
        <f t="shared" si="300"/>
        <v>2.4148682038012757E-5</v>
      </c>
      <c r="AR170" s="228">
        <f t="shared" si="300"/>
        <v>1.1325934601026077E-2</v>
      </c>
      <c r="AS170" s="228">
        <f t="shared" si="300"/>
        <v>1.3494929689118095E-2</v>
      </c>
      <c r="AT170" s="228">
        <f t="shared" si="300"/>
        <v>2.5239926868757919E-2</v>
      </c>
      <c r="AU170" s="228">
        <f t="shared" si="300"/>
        <v>4.0623239481484434E-2</v>
      </c>
      <c r="AV170" s="228">
        <f t="shared" si="300"/>
        <v>4.3648168642678065E-2</v>
      </c>
      <c r="AW170" s="228">
        <f t="shared" si="300"/>
        <v>4.6015505027479538E-2</v>
      </c>
      <c r="AX170" s="228">
        <f t="shared" si="300"/>
        <v>4.7086576516438439E-2</v>
      </c>
      <c r="AY170" s="228">
        <f t="shared" si="300"/>
        <v>4.6665927264109695E-2</v>
      </c>
      <c r="AZ170" s="228">
        <f t="shared" si="300"/>
        <v>4.1964314921192049E-2</v>
      </c>
      <c r="BA170" s="228">
        <f t="shared" si="300"/>
        <v>3.366697257857857E-2</v>
      </c>
      <c r="BB170" s="228">
        <f t="shared" si="300"/>
        <v>3.6655556273910171E-2</v>
      </c>
      <c r="BE170" s="67"/>
      <c r="BF170" s="403"/>
      <c r="BG170" s="229"/>
      <c r="BH170" s="403"/>
      <c r="BI170" s="229"/>
    </row>
    <row r="171" spans="1:61" s="42" customFormat="1">
      <c r="B171" s="134" t="s">
        <v>169</v>
      </c>
      <c r="D171" s="70">
        <f>D168</f>
        <v>913268</v>
      </c>
      <c r="E171" s="70">
        <f>E168</f>
        <v>959340</v>
      </c>
      <c r="F171" s="70">
        <f t="shared" ref="F171:H171" si="320">F168</f>
        <v>963577</v>
      </c>
      <c r="G171" s="70">
        <f t="shared" si="320"/>
        <v>988402</v>
      </c>
      <c r="H171" s="70">
        <f t="shared" si="320"/>
        <v>1072517</v>
      </c>
      <c r="I171" s="70">
        <f t="shared" ref="I171:L171" si="321">I168</f>
        <v>1079640</v>
      </c>
      <c r="J171" s="70">
        <f t="shared" si="321"/>
        <v>1082858</v>
      </c>
      <c r="K171" s="70">
        <f t="shared" si="321"/>
        <v>1085816</v>
      </c>
      <c r="L171" s="70">
        <f t="shared" si="321"/>
        <v>1083883</v>
      </c>
      <c r="M171" s="70">
        <f t="shared" ref="M171:N171" si="322">M168</f>
        <v>1015488</v>
      </c>
      <c r="N171" s="70">
        <f t="shared" si="322"/>
        <v>1036974</v>
      </c>
      <c r="O171" s="70">
        <f t="shared" ref="O171" si="323">O168</f>
        <v>1045329</v>
      </c>
      <c r="P171" s="403"/>
      <c r="Q171" s="226">
        <f t="shared" ref="Q171:W171" si="324">Q152</f>
        <v>249622814</v>
      </c>
      <c r="R171" s="226">
        <f t="shared" ref="R171" si="325">R152</f>
        <v>295516599</v>
      </c>
      <c r="S171" s="226">
        <f t="shared" si="324"/>
        <v>301231207</v>
      </c>
      <c r="T171" s="226">
        <f t="shared" si="324"/>
        <v>309327143</v>
      </c>
      <c r="U171" s="226">
        <f t="shared" si="324"/>
        <v>320738994</v>
      </c>
      <c r="V171" s="226">
        <f>V152</f>
        <v>323071755</v>
      </c>
      <c r="W171" s="226">
        <f t="shared" si="324"/>
        <v>325122128</v>
      </c>
      <c r="X171" s="226">
        <f t="shared" ref="X171:Y171" si="326">X152</f>
        <v>326838199</v>
      </c>
      <c r="Y171" s="226">
        <f t="shared" si="326"/>
        <v>328329953</v>
      </c>
      <c r="Z171" s="226">
        <f t="shared" ref="Z171:AA171" si="327">Z152</f>
        <v>331511512</v>
      </c>
      <c r="AA171" s="226">
        <f t="shared" si="327"/>
        <v>332031554</v>
      </c>
      <c r="AB171" s="226">
        <f t="shared" ref="AB171" si="328">AB152</f>
        <v>333287557</v>
      </c>
      <c r="AC171" s="227"/>
      <c r="AD171" s="70">
        <f>VLOOKUP($B171,'ODS Subs Data'!$A$46:$AH$54,'ODS Subs Data'!$B$43,FALSE)</f>
        <v>0</v>
      </c>
      <c r="AE171" s="70">
        <f>VLOOKUP($B171,'ODS Subs Data'!$A$46:$AH$54,'ODS Subs Data'!$Q$43,FALSE)</f>
        <v>1.6416810000000002</v>
      </c>
      <c r="AF171" s="70">
        <f>VLOOKUP($B171,'ODS Subs Data'!$A$46:$AH$54,'ODS Subs Data'!$S$43,FALSE)</f>
        <v>1.6456378</v>
      </c>
      <c r="AG171" s="70">
        <f>VLOOKUP($B171,'ODS Subs Data'!$A$46:$AH$54,'ODS Subs Data'!$V$43,FALSE)</f>
        <v>1.6802280000000001</v>
      </c>
      <c r="AH171" s="70">
        <f>VLOOKUP($B171,'ODS Subs Data'!$A$46:$AH$54,'ODS Subs Data'!$AA$43,FALSE)</f>
        <v>1.8550949999999999</v>
      </c>
      <c r="AI171" s="70">
        <f>VLOOKUP($B171,'ODS Subs Data'!$A$46:$AH$54,'ODS Subs Data'!$AB$43,FALSE)</f>
        <v>1.8922034999999999</v>
      </c>
      <c r="AJ171" s="70">
        <f>VLOOKUP($B171,'ODS Subs Data'!$A$46:$AH$54,'ODS Subs Data'!$AC$43,FALSE)</f>
        <v>1.9300545</v>
      </c>
      <c r="AK171" s="70">
        <f>VLOOKUP($B171,'ODS Subs Data'!$A$46:$AH$54,'ODS Subs Data'!$AD$43,FALSE)</f>
        <v>1.968648</v>
      </c>
      <c r="AL171" s="70">
        <f>VLOOKUP($B171,'ODS Subs Data'!$A$46:$AH$54,'ODS Subs Data'!$AE$43,FALSE)</f>
        <v>2.0080334999999998</v>
      </c>
      <c r="AM171" s="70">
        <f>VLOOKUP($B171,'ODS Subs Data'!$A$46:$AH$54,'ODS Subs Data'!$AF$43,FALSE)</f>
        <v>2.0481945000000001</v>
      </c>
      <c r="AN171" s="70">
        <f>VLOOKUP($B171,'ODS Subs Data'!$A$46:$AH$54,'ODS Subs Data'!$AG$43,FALSE)</f>
        <v>2.0891640000000002</v>
      </c>
      <c r="AO171" s="70">
        <f>VLOOKUP($B171,'ODS Subs Data'!$A$46:$AH$54,'ODS Subs Data'!$AH$43,FALSE)</f>
        <v>2.1309420000000001</v>
      </c>
      <c r="AP171" s="403"/>
      <c r="AQ171" s="228">
        <f t="shared" si="300"/>
        <v>0</v>
      </c>
      <c r="AR171" s="228">
        <f t="shared" si="300"/>
        <v>5.329413832825005E-3</v>
      </c>
      <c r="AS171" s="228">
        <f t="shared" si="300"/>
        <v>5.2640586285955422E-3</v>
      </c>
      <c r="AT171" s="228">
        <f t="shared" si="300"/>
        <v>5.3688813065331286E-3</v>
      </c>
      <c r="AU171" s="228">
        <f t="shared" si="300"/>
        <v>6.2032398970329125E-3</v>
      </c>
      <c r="AV171" s="228">
        <f t="shared" si="300"/>
        <v>6.3233586815411953E-3</v>
      </c>
      <c r="AW171" s="228">
        <f t="shared" si="300"/>
        <v>6.4282765636948583E-3</v>
      </c>
      <c r="AX171" s="228">
        <f t="shared" si="300"/>
        <v>6.5402070605829034E-3</v>
      </c>
      <c r="AY171" s="228">
        <f t="shared" si="300"/>
        <v>6.628921163584791E-3</v>
      </c>
      <c r="AZ171" s="228">
        <f t="shared" si="300"/>
        <v>6.2740413564160028E-3</v>
      </c>
      <c r="BA171" s="228">
        <f t="shared" si="300"/>
        <v>6.5247074371009945E-3</v>
      </c>
      <c r="BB171" s="228">
        <f t="shared" si="300"/>
        <v>6.6835242514559287E-3</v>
      </c>
      <c r="BE171" s="151"/>
      <c r="BG171" s="151"/>
      <c r="BI171" s="151"/>
    </row>
    <row r="172" spans="1:61" s="42" customFormat="1">
      <c r="B172" s="134" t="s">
        <v>170</v>
      </c>
      <c r="D172" s="70">
        <f>D168</f>
        <v>913268</v>
      </c>
      <c r="E172" s="70">
        <f>E168</f>
        <v>959340</v>
      </c>
      <c r="F172" s="70">
        <f t="shared" ref="F172:H172" si="329">F168</f>
        <v>963577</v>
      </c>
      <c r="G172" s="70">
        <f t="shared" si="329"/>
        <v>988402</v>
      </c>
      <c r="H172" s="70">
        <f t="shared" si="329"/>
        <v>1072517</v>
      </c>
      <c r="I172" s="70">
        <f t="shared" ref="I172:L172" si="330">I168</f>
        <v>1079640</v>
      </c>
      <c r="J172" s="70">
        <f t="shared" si="330"/>
        <v>1082858</v>
      </c>
      <c r="K172" s="70">
        <f t="shared" si="330"/>
        <v>1085816</v>
      </c>
      <c r="L172" s="70">
        <f t="shared" si="330"/>
        <v>1083883</v>
      </c>
      <c r="M172" s="70">
        <f t="shared" ref="M172:N172" si="331">M168</f>
        <v>1015488</v>
      </c>
      <c r="N172" s="70">
        <f t="shared" si="331"/>
        <v>1036974</v>
      </c>
      <c r="O172" s="70">
        <f t="shared" ref="O172" si="332">O168</f>
        <v>1045329</v>
      </c>
      <c r="P172" s="403"/>
      <c r="Q172" s="226">
        <f t="shared" ref="Q172:W172" si="333">Q153</f>
        <v>249622814</v>
      </c>
      <c r="R172" s="226">
        <f t="shared" ref="R172" si="334">R153</f>
        <v>295516599</v>
      </c>
      <c r="S172" s="226">
        <f t="shared" si="333"/>
        <v>301231207</v>
      </c>
      <c r="T172" s="226">
        <f t="shared" si="333"/>
        <v>309327143</v>
      </c>
      <c r="U172" s="226">
        <f t="shared" si="333"/>
        <v>320738994</v>
      </c>
      <c r="V172" s="226">
        <f>V153</f>
        <v>323071755</v>
      </c>
      <c r="W172" s="226">
        <f t="shared" si="333"/>
        <v>325122128</v>
      </c>
      <c r="X172" s="226">
        <f t="shared" ref="X172:Y172" si="335">X153</f>
        <v>326838199</v>
      </c>
      <c r="Y172" s="226">
        <f t="shared" si="335"/>
        <v>328329953</v>
      </c>
      <c r="Z172" s="226">
        <f t="shared" ref="Z172:AA172" si="336">Z153</f>
        <v>331511512</v>
      </c>
      <c r="AA172" s="226">
        <f t="shared" si="336"/>
        <v>332031554</v>
      </c>
      <c r="AB172" s="226">
        <f t="shared" ref="AB172" si="337">AB153</f>
        <v>333287557</v>
      </c>
      <c r="AC172" s="227"/>
      <c r="AD172" s="70">
        <f>VLOOKUP($B172,'ODS Subs Data'!$A$46:$AH$54,'ODS Subs Data'!$B$43,FALSE)</f>
        <v>0</v>
      </c>
      <c r="AE172" s="70">
        <f>VLOOKUP($B172,'ODS Subs Data'!$A$46:$AH$54,'ODS Subs Data'!$Q$43,FALSE)</f>
        <v>1.2058041080000002</v>
      </c>
      <c r="AF172" s="70">
        <f>VLOOKUP($B172,'ODS Subs Data'!$A$46:$AH$54,'ODS Subs Data'!$S$43,FALSE)</f>
        <v>1.3957860959999999</v>
      </c>
      <c r="AG172" s="70">
        <f>VLOOKUP($B172,'ODS Subs Data'!$A$46:$AH$54,'ODS Subs Data'!$V$43,FALSE)</f>
        <v>1.6717140079999999</v>
      </c>
      <c r="AH172" s="70">
        <f>VLOOKUP($B172,'ODS Subs Data'!$A$46:$AH$54,'ODS Subs Data'!$AA$43,FALSE)</f>
        <v>2.1273369799999995</v>
      </c>
      <c r="AI172" s="70">
        <f>VLOOKUP($B172,'ODS Subs Data'!$A$46:$AH$54,'ODS Subs Data'!$AB$43,FALSE)</f>
        <v>2.2160628099999999</v>
      </c>
      <c r="AJ172" s="70">
        <f>VLOOKUP($B172,'ODS Subs Data'!$A$46:$AH$54,'ODS Subs Data'!$AC$43,FALSE)</f>
        <v>2.30331245</v>
      </c>
      <c r="AK172" s="70">
        <f>VLOOKUP($B172,'ODS Subs Data'!$A$46:$AH$54,'ODS Subs Data'!$AD$43,FALSE)</f>
        <v>2.3889430579999997</v>
      </c>
      <c r="AL172" s="70">
        <f>VLOOKUP($B172,'ODS Subs Data'!$A$46:$AH$54,'ODS Subs Data'!$AE$43,FALSE)</f>
        <v>2.4728295379999996</v>
      </c>
      <c r="AM172" s="70">
        <f>VLOOKUP($B172,'ODS Subs Data'!$A$46:$AH$54,'ODS Subs Data'!$AF$43,FALSE)</f>
        <v>2.52815089</v>
      </c>
      <c r="AN172" s="70">
        <f>VLOOKUP($B172,'ODS Subs Data'!$A$46:$AH$54,'ODS Subs Data'!$AG$43,FALSE)</f>
        <v>2.5844474119999998</v>
      </c>
      <c r="AO172" s="70">
        <f>VLOOKUP($B172,'ODS Subs Data'!$A$46:$AH$54,'ODS Subs Data'!$AH$43,FALSE)</f>
        <v>2.6420306999999998</v>
      </c>
      <c r="AP172" s="403"/>
      <c r="AQ172" s="228">
        <f t="shared" si="300"/>
        <v>0</v>
      </c>
      <c r="AR172" s="228">
        <f t="shared" si="300"/>
        <v>3.914420093095076E-3</v>
      </c>
      <c r="AS172" s="228">
        <f t="shared" si="300"/>
        <v>4.4648341465676625E-3</v>
      </c>
      <c r="AT172" s="228">
        <f t="shared" si="300"/>
        <v>5.3416763007286946E-3</v>
      </c>
      <c r="AU172" s="228">
        <f t="shared" si="300"/>
        <v>7.1135880527787012E-3</v>
      </c>
      <c r="AV172" s="228">
        <f t="shared" si="300"/>
        <v>7.4056305299372268E-3</v>
      </c>
      <c r="AW172" s="228">
        <f t="shared" si="300"/>
        <v>7.6714566563802142E-3</v>
      </c>
      <c r="AX172" s="228">
        <f t="shared" si="300"/>
        <v>7.936503760581937E-3</v>
      </c>
      <c r="AY172" s="228">
        <f t="shared" si="300"/>
        <v>8.163306069538084E-3</v>
      </c>
      <c r="AZ172" s="228">
        <f t="shared" si="300"/>
        <v>7.7442465738092377E-3</v>
      </c>
      <c r="BA172" s="228">
        <f t="shared" si="300"/>
        <v>8.0715363896146086E-3</v>
      </c>
      <c r="BB172" s="228">
        <f t="shared" si="300"/>
        <v>8.2865119071946023E-3</v>
      </c>
    </row>
    <row r="173" spans="1:61" s="42" customFormat="1">
      <c r="B173" s="56"/>
      <c r="Q173" s="403"/>
      <c r="R173" s="403"/>
      <c r="AP173" s="403"/>
    </row>
    <row r="174" spans="1:61" s="43" customFormat="1">
      <c r="A174" s="232"/>
      <c r="B174" s="220" t="s">
        <v>177</v>
      </c>
      <c r="C174" s="232"/>
      <c r="D174" s="233"/>
      <c r="E174" s="233"/>
      <c r="F174" s="233"/>
      <c r="G174" s="233"/>
      <c r="H174" s="233"/>
      <c r="I174" s="233"/>
      <c r="J174" s="233"/>
      <c r="K174" s="233"/>
      <c r="L174" s="233"/>
      <c r="M174" s="233"/>
      <c r="N174" s="233"/>
      <c r="O174" s="233"/>
      <c r="P174" s="234"/>
      <c r="Q174" s="235"/>
      <c r="R174" s="235"/>
      <c r="S174" s="235"/>
      <c r="T174" s="233"/>
      <c r="U174" s="233"/>
      <c r="V174" s="233"/>
      <c r="W174" s="233"/>
      <c r="X174" s="233"/>
      <c r="Y174" s="233"/>
      <c r="Z174" s="233"/>
      <c r="AA174" s="233"/>
      <c r="AB174" s="233"/>
      <c r="AC174" s="236"/>
      <c r="AD174" s="233"/>
      <c r="AE174" s="233"/>
      <c r="AF174" s="233"/>
      <c r="AG174" s="233"/>
      <c r="AH174" s="233"/>
      <c r="AI174" s="233"/>
      <c r="AJ174" s="233"/>
      <c r="AK174" s="233"/>
      <c r="AL174" s="233"/>
      <c r="AM174" s="233"/>
      <c r="AN174" s="233"/>
      <c r="AO174" s="233"/>
      <c r="AP174" s="243"/>
      <c r="AQ174" s="237">
        <f>SUM(AQ168:AQ172,AQ160,AQ164)</f>
        <v>9.4074542673334136E-4</v>
      </c>
      <c r="AR174" s="237">
        <f>SUM(AR168:AR172,AR160,AR164)</f>
        <v>0.30218909458294496</v>
      </c>
      <c r="AS174" s="237">
        <f t="shared" ref="AS174:AW174" si="338">SUM(AS168:AS172,AS160,AS164)</f>
        <v>0.34149170544226748</v>
      </c>
      <c r="AT174" s="237">
        <f>SUM(AT168:AT172,AT160,AT164)</f>
        <v>0.42639985748953274</v>
      </c>
      <c r="AU174" s="237">
        <f t="shared" si="338"/>
        <v>0.51231671723730476</v>
      </c>
      <c r="AV174" s="237">
        <f t="shared" si="338"/>
        <v>0.51599682768778032</v>
      </c>
      <c r="AW174" s="237">
        <f t="shared" si="338"/>
        <v>0.51602974607650476</v>
      </c>
      <c r="AX174" s="237">
        <f t="shared" ref="AX174:AY174" si="339">SUM(AX168:AX172,AX160,AX164)</f>
        <v>0.51976567127765516</v>
      </c>
      <c r="AY174" s="237">
        <f t="shared" si="339"/>
        <v>0.52925859268634989</v>
      </c>
      <c r="AZ174" s="237">
        <f t="shared" ref="AZ174:BB174" si="340">SUM(AZ168:AZ172,AZ160,AZ164)</f>
        <v>0.50683612243788767</v>
      </c>
      <c r="BA174" s="237">
        <f t="shared" si="340"/>
        <v>0.53209227810197213</v>
      </c>
      <c r="BB174" s="237">
        <f t="shared" si="340"/>
        <v>0.54780384113003588</v>
      </c>
    </row>
    <row r="175" spans="1:61" s="222" customFormat="1">
      <c r="B175" s="239"/>
      <c r="D175" s="240"/>
      <c r="E175" s="240"/>
      <c r="F175" s="240"/>
      <c r="G175" s="240"/>
      <c r="H175" s="240"/>
      <c r="I175" s="240"/>
      <c r="J175" s="240"/>
      <c r="K175" s="240"/>
      <c r="L175" s="240"/>
      <c r="M175" s="240"/>
      <c r="N175" s="240"/>
      <c r="O175" s="240"/>
      <c r="Q175" s="405"/>
      <c r="R175" s="405"/>
      <c r="T175" s="240"/>
      <c r="U175" s="240"/>
      <c r="V175" s="240"/>
      <c r="W175" s="240"/>
      <c r="X175" s="240"/>
      <c r="Y175" s="240"/>
      <c r="Z175" s="240"/>
      <c r="AA175" s="240"/>
      <c r="AB175" s="240"/>
      <c r="AC175" s="240"/>
      <c r="AF175" s="238"/>
      <c r="AG175" s="240"/>
      <c r="AH175" s="240"/>
      <c r="AI175" s="240"/>
      <c r="AJ175" s="240"/>
      <c r="AK175" s="240"/>
      <c r="AL175" s="240"/>
      <c r="AM175" s="240"/>
      <c r="AN175" s="240"/>
      <c r="AO175" s="240"/>
      <c r="AP175" s="405"/>
      <c r="AQ175" s="244"/>
      <c r="AR175" s="244"/>
      <c r="AS175" s="405"/>
      <c r="AT175" s="240"/>
      <c r="AU175" s="240"/>
      <c r="AV175" s="240"/>
      <c r="AW175" s="240"/>
      <c r="AX175" s="240"/>
      <c r="AY175" s="240"/>
      <c r="AZ175" s="240"/>
      <c r="BA175" s="240"/>
      <c r="BB175" s="240"/>
    </row>
    <row r="176" spans="1:61">
      <c r="A176" s="1"/>
      <c r="B176" s="3"/>
      <c r="C176" s="1"/>
      <c r="D176" s="10"/>
      <c r="E176" s="10"/>
      <c r="F176" s="10"/>
      <c r="G176" s="10"/>
      <c r="H176" s="10"/>
      <c r="I176" s="10"/>
      <c r="J176" s="10"/>
      <c r="K176" s="10"/>
      <c r="L176" s="10"/>
      <c r="M176" s="10"/>
      <c r="N176" s="10"/>
      <c r="O176" s="10"/>
      <c r="P176" s="1"/>
      <c r="Q176" s="7"/>
      <c r="R176" s="7"/>
      <c r="S176" s="1"/>
      <c r="T176" s="10"/>
      <c r="U176" s="10"/>
      <c r="V176" s="10"/>
      <c r="W176" s="10"/>
      <c r="X176" s="10"/>
      <c r="Y176" s="10"/>
      <c r="Z176" s="10"/>
      <c r="AA176" s="10"/>
      <c r="AB176" s="10"/>
      <c r="AC176" s="10"/>
      <c r="AD176" s="1"/>
      <c r="AE176" s="1"/>
      <c r="AF176" s="11"/>
      <c r="AG176" s="10"/>
      <c r="AH176" s="10"/>
      <c r="AI176" s="10"/>
      <c r="AJ176" s="10"/>
      <c r="AK176" s="10"/>
      <c r="AL176" s="10"/>
      <c r="AM176" s="10"/>
      <c r="AN176" s="10"/>
      <c r="AO176" s="10"/>
      <c r="AP176" s="7"/>
      <c r="AQ176" s="37"/>
      <c r="AR176" s="37"/>
      <c r="AS176" s="7"/>
      <c r="AT176" s="10"/>
      <c r="AU176" s="10"/>
      <c r="AV176" s="10"/>
      <c r="AW176" s="10"/>
    </row>
    <row r="177" spans="1:62" s="35" customFormat="1">
      <c r="A177" s="119" t="s">
        <v>178</v>
      </c>
      <c r="B177" s="160"/>
      <c r="C177" s="160"/>
      <c r="D177" s="160"/>
      <c r="E177" s="160"/>
      <c r="F177" s="160"/>
      <c r="G177" s="160"/>
      <c r="H177" s="160"/>
      <c r="I177" s="160"/>
      <c r="J177" s="160"/>
      <c r="K177" s="160"/>
      <c r="L177" s="160"/>
      <c r="M177" s="160"/>
      <c r="N177" s="160"/>
      <c r="O177" s="160"/>
      <c r="P177" s="160"/>
      <c r="Q177" s="161"/>
      <c r="R177" s="161"/>
      <c r="S177" s="160"/>
      <c r="T177" s="160"/>
      <c r="U177" s="160"/>
      <c r="V177" s="160"/>
      <c r="W177" s="160"/>
      <c r="X177" s="160"/>
      <c r="Y177" s="160"/>
      <c r="Z177" s="160"/>
      <c r="AA177" s="160"/>
      <c r="AB177" s="160"/>
      <c r="AC177" s="160"/>
      <c r="AD177" s="160"/>
      <c r="AE177" s="160"/>
      <c r="AF177" s="160"/>
      <c r="AG177" s="160"/>
      <c r="AH177" s="160"/>
      <c r="AI177" s="160"/>
      <c r="AJ177" s="160"/>
      <c r="AK177" s="160"/>
      <c r="AL177" s="160"/>
      <c r="AM177" s="160"/>
      <c r="AN177" s="160"/>
      <c r="AO177" s="160"/>
      <c r="AP177" s="160"/>
      <c r="AQ177" s="160"/>
      <c r="AR177" s="160"/>
      <c r="AS177" s="160"/>
      <c r="AT177" s="160"/>
      <c r="AU177" s="160"/>
      <c r="AV177" s="160"/>
      <c r="AW177" s="160"/>
      <c r="AX177" s="160"/>
      <c r="AY177" s="160"/>
      <c r="AZ177" s="160"/>
      <c r="BA177" s="160"/>
      <c r="BB177" s="556"/>
    </row>
    <row r="178" spans="1:62" s="1" customFormat="1" ht="11.25">
      <c r="A178" s="283"/>
      <c r="B178" s="3"/>
      <c r="D178" s="34"/>
      <c r="E178" s="34"/>
      <c r="F178" s="34"/>
      <c r="G178" s="34"/>
      <c r="H178" s="34"/>
      <c r="I178" s="34"/>
      <c r="J178" s="34"/>
      <c r="K178" s="34"/>
      <c r="L178" s="34"/>
      <c r="M178" s="34"/>
      <c r="N178" s="34"/>
      <c r="O178" s="34"/>
      <c r="P178" s="7"/>
      <c r="Q178" s="34"/>
      <c r="R178" s="34"/>
      <c r="S178" s="34"/>
      <c r="T178" s="34"/>
      <c r="U178" s="34"/>
      <c r="V178" s="34"/>
      <c r="W178" s="34"/>
      <c r="X178" s="34"/>
      <c r="Y178" s="34"/>
      <c r="Z178" s="34"/>
      <c r="AA178" s="34"/>
      <c r="AB178" s="34"/>
      <c r="AC178" s="284"/>
      <c r="AD178" s="34"/>
      <c r="AE178" s="34"/>
      <c r="AF178" s="36"/>
      <c r="AG178" s="34"/>
      <c r="AH178" s="34"/>
      <c r="AI178" s="34"/>
      <c r="AJ178" s="34"/>
      <c r="AK178" s="34"/>
      <c r="AL178" s="34"/>
      <c r="AM178" s="34"/>
      <c r="AN178" s="34"/>
      <c r="AO178" s="34"/>
      <c r="AP178" s="7"/>
      <c r="AQ178" s="37"/>
      <c r="AR178" s="37"/>
      <c r="AS178" s="7"/>
      <c r="AT178" s="34"/>
      <c r="AU178" s="34"/>
      <c r="AV178" s="34"/>
      <c r="AW178" s="34"/>
      <c r="AX178" s="34"/>
      <c r="AY178" s="34"/>
      <c r="AZ178" s="34"/>
      <c r="BA178" s="34"/>
      <c r="BB178" s="34"/>
      <c r="BC178" s="34"/>
      <c r="BD178" s="34"/>
      <c r="BE178" s="34"/>
      <c r="BF178" s="34"/>
      <c r="BG178" s="34"/>
      <c r="BH178" s="34"/>
      <c r="BI178" s="34"/>
      <c r="BJ178" s="13"/>
    </row>
    <row r="179" spans="1:62">
      <c r="A179" s="1"/>
      <c r="B179" s="42"/>
      <c r="C179" s="43"/>
      <c r="D179" s="68">
        <v>1990</v>
      </c>
      <c r="E179" s="68">
        <v>2005</v>
      </c>
      <c r="F179" s="68">
        <v>2007</v>
      </c>
      <c r="G179" s="68">
        <v>2010</v>
      </c>
      <c r="H179" s="68">
        <v>2015</v>
      </c>
      <c r="I179" s="68">
        <v>2016</v>
      </c>
      <c r="J179" s="68">
        <v>2017</v>
      </c>
      <c r="K179" s="68">
        <v>2018</v>
      </c>
      <c r="L179" s="68">
        <v>2019</v>
      </c>
      <c r="M179" s="68">
        <v>2020</v>
      </c>
      <c r="N179" s="68">
        <v>2021</v>
      </c>
      <c r="O179" s="68">
        <v>2022</v>
      </c>
      <c r="P179" s="7"/>
      <c r="Q179" s="7"/>
      <c r="R179" s="7"/>
      <c r="S179" s="7"/>
      <c r="T179" s="14"/>
      <c r="U179" s="14"/>
      <c r="V179" s="14"/>
      <c r="W179" s="14"/>
      <c r="X179" s="14"/>
      <c r="Y179" s="14"/>
      <c r="Z179" s="14"/>
      <c r="AA179" s="14"/>
      <c r="AB179" s="14"/>
      <c r="AC179" s="285"/>
      <c r="AD179" s="7"/>
      <c r="AE179" s="7"/>
      <c r="AF179" s="20"/>
      <c r="AG179" s="14"/>
      <c r="AH179" s="14"/>
      <c r="AI179" s="14"/>
      <c r="AJ179" s="14"/>
      <c r="AK179" s="14"/>
      <c r="AL179" s="14"/>
      <c r="AM179" s="14"/>
      <c r="AN179" s="14"/>
      <c r="AO179" s="14"/>
      <c r="AP179" s="1"/>
      <c r="AQ179" s="37"/>
      <c r="AR179" s="37"/>
      <c r="AS179" s="1"/>
      <c r="AT179" s="14"/>
      <c r="AU179" s="14"/>
      <c r="AV179" s="14"/>
      <c r="AW179" s="14"/>
      <c r="AX179" s="8"/>
      <c r="AY179" s="7"/>
      <c r="AZ179" s="7"/>
      <c r="BA179" s="7"/>
      <c r="BB179" s="7"/>
      <c r="BC179" s="20"/>
      <c r="BD179" s="7"/>
      <c r="BE179" s="9"/>
      <c r="BF179" s="7"/>
      <c r="BG179" s="15"/>
      <c r="BH179" s="7"/>
      <c r="BI179" s="15"/>
    </row>
    <row r="180" spans="1:62">
      <c r="A180" s="1"/>
      <c r="B180" s="120"/>
      <c r="C180" s="43"/>
      <c r="D180" s="149"/>
      <c r="E180" s="149"/>
      <c r="F180" s="149"/>
      <c r="G180" s="149"/>
      <c r="H180" s="149"/>
      <c r="I180" s="149"/>
      <c r="J180" s="149"/>
      <c r="K180" s="149"/>
      <c r="L180" s="149"/>
      <c r="M180" s="149"/>
      <c r="N180" s="149"/>
      <c r="O180" s="149"/>
      <c r="P180" s="7"/>
      <c r="Q180" s="7"/>
      <c r="R180" s="7"/>
      <c r="S180" s="7"/>
      <c r="T180" s="14"/>
      <c r="U180" s="14"/>
      <c r="V180" s="14"/>
      <c r="W180" s="14"/>
      <c r="X180" s="14"/>
      <c r="Y180" s="14"/>
      <c r="Z180" s="14"/>
      <c r="AA180" s="14"/>
      <c r="AB180" s="14"/>
      <c r="AC180" s="285"/>
      <c r="AD180" s="7"/>
      <c r="AE180" s="7"/>
      <c r="AF180" s="20"/>
      <c r="AG180" s="14"/>
      <c r="AH180" s="14"/>
      <c r="AI180" s="14"/>
      <c r="AJ180" s="14"/>
      <c r="AK180" s="14"/>
      <c r="AL180" s="14"/>
      <c r="AM180" s="14"/>
      <c r="AN180" s="14"/>
      <c r="AO180" s="14"/>
      <c r="AP180" s="7"/>
      <c r="AQ180" s="37"/>
      <c r="AR180" s="37"/>
      <c r="AS180" s="7"/>
      <c r="AT180" s="14"/>
      <c r="AU180" s="14"/>
      <c r="AV180" s="14"/>
      <c r="AW180" s="14"/>
      <c r="AX180" s="8"/>
      <c r="AY180" s="7"/>
      <c r="AZ180" s="7"/>
      <c r="BA180" s="7"/>
      <c r="BB180" s="7"/>
      <c r="BC180" s="20"/>
      <c r="BD180" s="7"/>
      <c r="BE180" s="9"/>
      <c r="BF180" s="7"/>
      <c r="BG180" s="15"/>
      <c r="BH180" s="7"/>
      <c r="BI180" s="15"/>
    </row>
    <row r="181" spans="1:62">
      <c r="A181" s="1"/>
      <c r="B181" s="134" t="s">
        <v>179</v>
      </c>
      <c r="C181" s="156"/>
      <c r="D181" s="49">
        <f>(D9/D10)*HLOOKUP(D$179,'ODS Subs Data'!$A$45:$AH$54,ROWS('ODS Subs Data'!$A$45:$A47),0)</f>
        <v>0</v>
      </c>
      <c r="E181" s="49">
        <f>(E9/E10)*HLOOKUP(E$179,'ODS Subs Data'!$A$45:$AH$54,ROWS('ODS Subs Data'!$A$45:$A47),0)</f>
        <v>0.27935051743497025</v>
      </c>
      <c r="F181" s="49">
        <f>(F9/F10)*HLOOKUP(F$179,'ODS Subs Data'!$A$45:$AH$54,ROWS('ODS Subs Data'!$A$45:$A47),0)</f>
        <v>0.28178032131699904</v>
      </c>
      <c r="G181" s="49">
        <f>(G9/G10)*HLOOKUP(G$179,'ODS Subs Data'!$A$45:$AH$54,ROWS('ODS Subs Data'!$A$45:$A47),0)</f>
        <v>0.26668275661423402</v>
      </c>
      <c r="H181" s="49">
        <f>(H9/H10)*HLOOKUP(H$179,'ODS Subs Data'!$A$45:$AH$54,ROWS('ODS Subs Data'!$A$45:$A47),0)</f>
        <v>0.17486442868158744</v>
      </c>
      <c r="I181" s="49">
        <f>(I9/I10)*HLOOKUP(I$179,'ODS Subs Data'!$A$45:$AH$54,ROWS('ODS Subs Data'!$A$45:$A47),0)</f>
        <v>0.15677710252385943</v>
      </c>
      <c r="J181" s="49">
        <f>(J9/J10)*HLOOKUP(J$179,'ODS Subs Data'!$A$45:$AH$54,ROWS('ODS Subs Data'!$A$45:$A47),0)</f>
        <v>0.14160163182832683</v>
      </c>
      <c r="K181" s="49">
        <f>(K9/K10)*HLOOKUP(K$179,'ODS Subs Data'!$A$45:$AH$54,ROWS('ODS Subs Data'!$A$45:$A47),0)</f>
        <v>0.1324518030497269</v>
      </c>
      <c r="L181" s="49">
        <f>(L9/L10)*HLOOKUP(L$179,'ODS Subs Data'!$A$45:$AH$54,ROWS('ODS Subs Data'!$A$45:$A47),0)</f>
        <v>0.12307464500582123</v>
      </c>
      <c r="M181" s="49">
        <f>(M9/M10)*HLOOKUP(M$179,'ODS Subs Data'!$A$45:$AH$54,ROWS('ODS Subs Data'!$A$45:$A47),0)</f>
        <v>0.10999490688236994</v>
      </c>
      <c r="N181" s="49">
        <f>(N9/N10)*HLOOKUP(N$179,'ODS Subs Data'!$A$45:$AH$54,ROWS('ODS Subs Data'!$A$45:$A47),0)</f>
        <v>0.10002652220066968</v>
      </c>
      <c r="O181" s="49">
        <f>(O9/O10)*HLOOKUP(O$179,'ODS Subs Data'!$A$45:$AH$54,ROWS('ODS Subs Data'!$A$45:$A47),0)</f>
        <v>9.2028833460543177E-2</v>
      </c>
      <c r="P181" s="1"/>
      <c r="Q181" s="569"/>
      <c r="R181" s="7"/>
      <c r="S181" s="279" t="s">
        <v>180</v>
      </c>
      <c r="T181" s="49">
        <f>INDEX($O$181:$O$187,MATCH(S181,$B$181:$B$187,0))</f>
        <v>0.25498665709256013</v>
      </c>
      <c r="U181" s="10"/>
      <c r="V181" s="10"/>
      <c r="W181" s="10"/>
      <c r="X181" s="10"/>
      <c r="Y181" s="10"/>
      <c r="Z181" s="10"/>
      <c r="AA181" s="10"/>
      <c r="AB181" s="10"/>
      <c r="AC181" s="285"/>
      <c r="AD181" s="1"/>
      <c r="AE181" s="1"/>
      <c r="AF181" s="11"/>
      <c r="AG181" s="10"/>
      <c r="AH181" s="10"/>
      <c r="AI181" s="10"/>
      <c r="AJ181" s="10"/>
      <c r="AK181" s="10"/>
      <c r="AL181" s="10"/>
      <c r="AM181" s="10"/>
      <c r="AN181" s="10"/>
      <c r="AO181" s="10"/>
      <c r="AP181" s="7"/>
      <c r="AQ181" s="37"/>
      <c r="AR181" s="37"/>
      <c r="AS181" s="7"/>
      <c r="AT181" s="10"/>
      <c r="AU181" s="10"/>
      <c r="AV181" s="10"/>
      <c r="AW181" s="10"/>
      <c r="AX181" s="8"/>
      <c r="AY181" s="1"/>
      <c r="AZ181" s="1"/>
      <c r="BA181" s="1"/>
      <c r="BB181" s="1"/>
      <c r="BD181" s="1"/>
      <c r="BF181" s="1"/>
      <c r="BH181" s="1"/>
    </row>
    <row r="182" spans="1:62">
      <c r="A182" s="1"/>
      <c r="B182" s="134" t="s">
        <v>181</v>
      </c>
      <c r="C182" s="156"/>
      <c r="D182" s="49">
        <f>D19/D16*HLOOKUP(D$7,'ODS Subs Data'!$A$45:$AH$49,ROWS('ODS Subs Data'!$A$45:$A$48),FALSE)</f>
        <v>9.9051992992253403E-5</v>
      </c>
      <c r="E182" s="49">
        <f>E19/E16*HLOOKUP(E$7,'ODS Subs Data'!$A$45:$AH$49,ROWS('ODS Subs Data'!$A$45:$A$48),FALSE)</f>
        <v>1.5253247651985897E-2</v>
      </c>
      <c r="F182" s="49">
        <f>F19/F16*HLOOKUP(F$7,'ODS Subs Data'!$A$45:$AH$49,ROWS('ODS Subs Data'!$A$45:$A$48),FALSE)</f>
        <v>2.581366171555529E-2</v>
      </c>
      <c r="G182" s="49">
        <f>G19/G16*HLOOKUP(G$7,'ODS Subs Data'!$A$45:$AH$49,ROWS('ODS Subs Data'!$A$45:$A$48),FALSE)</f>
        <v>5.0616061222847376E-2</v>
      </c>
      <c r="H182" s="49">
        <f>H19/H16*HLOOKUP(H$7,'ODS Subs Data'!$A$45:$AH$49,ROWS('ODS Subs Data'!$A$45:$A$48),FALSE)</f>
        <v>0.12607185021517042</v>
      </c>
      <c r="I182" s="49">
        <f>I19/I16*HLOOKUP(I$7,'ODS Subs Data'!$A$45:$AH$49,ROWS('ODS Subs Data'!$A$45:$A$48),FALSE)</f>
        <v>0.14145119429292066</v>
      </c>
      <c r="J182" s="49">
        <f>J19/J16*HLOOKUP(J$7,'ODS Subs Data'!$A$45:$AH$49,ROWS('ODS Subs Data'!$A$45:$A$48),FALSE)</f>
        <v>0.15743993182159052</v>
      </c>
      <c r="K182" s="49">
        <f>K19/K16*HLOOKUP(K$7,'ODS Subs Data'!$A$45:$AH$49,ROWS('ODS Subs Data'!$A$45:$A$48),FALSE)</f>
        <v>0.17348361557467276</v>
      </c>
      <c r="L182" s="49">
        <f>L19/L16*HLOOKUP(L$7,'ODS Subs Data'!$A$45:$AH$49,ROWS('ODS Subs Data'!$A$45:$A$48),FALSE)</f>
        <v>0.18728936792536779</v>
      </c>
      <c r="M182" s="49">
        <f>M19/M16*HLOOKUP(M$7,'ODS Subs Data'!$A$45:$AH$49,ROWS('ODS Subs Data'!$A$45:$A$48),FALSE)</f>
        <v>0.18611389078493218</v>
      </c>
      <c r="N182" s="49">
        <f>N19/N16*HLOOKUP(N$7,'ODS Subs Data'!$A$45:$AH$49,ROWS('ODS Subs Data'!$A$45:$A$48),FALSE)</f>
        <v>0.23261401406088028</v>
      </c>
      <c r="O182" s="49">
        <f>O19/O16*HLOOKUP(O$7,'ODS Subs Data'!$A$45:$AH$49,ROWS('ODS Subs Data'!$A$45:$A$48),FALSE)</f>
        <v>0.25498665709256013</v>
      </c>
      <c r="P182" s="7"/>
      <c r="Q182" s="569"/>
      <c r="R182" s="7"/>
      <c r="S182" s="279" t="s">
        <v>166</v>
      </c>
      <c r="T182" s="49">
        <f t="shared" ref="T182:T187" si="341">INDEX($O$181:$O$187,MATCH(S182,$B$181:$B$187,0))</f>
        <v>0.33459784635562645</v>
      </c>
      <c r="U182" s="14"/>
      <c r="V182" s="14"/>
      <c r="W182" s="14"/>
      <c r="X182" s="14"/>
      <c r="Y182" s="14"/>
      <c r="Z182" s="14"/>
      <c r="AA182" s="14"/>
      <c r="AB182" s="14"/>
      <c r="AC182" s="285"/>
      <c r="AD182" s="7"/>
      <c r="AE182" s="7"/>
      <c r="AF182" s="20"/>
      <c r="AG182" s="14"/>
      <c r="AH182" s="14"/>
      <c r="AI182" s="14"/>
      <c r="AJ182" s="14"/>
      <c r="AK182" s="14"/>
      <c r="AL182" s="14"/>
      <c r="AM182" s="14"/>
      <c r="AN182" s="14"/>
      <c r="AO182" s="14"/>
      <c r="AP182" s="7"/>
      <c r="AQ182" s="37"/>
      <c r="AR182" s="37"/>
      <c r="AS182" s="7"/>
      <c r="AT182" s="14"/>
      <c r="AU182" s="14"/>
      <c r="AV182" s="14"/>
      <c r="AW182" s="14"/>
      <c r="AX182" s="8"/>
      <c r="AY182" s="7"/>
      <c r="AZ182" s="7"/>
      <c r="BA182" s="7"/>
      <c r="BB182" s="7"/>
      <c r="BC182" s="20"/>
      <c r="BD182" s="7"/>
      <c r="BE182" s="9"/>
      <c r="BF182" s="7"/>
      <c r="BG182" s="15"/>
      <c r="BH182" s="7"/>
      <c r="BI182" s="15"/>
    </row>
    <row r="183" spans="1:62">
      <c r="A183" s="1"/>
      <c r="B183" s="134" t="s">
        <v>166</v>
      </c>
      <c r="C183" s="156"/>
      <c r="D183" s="49">
        <f>(D$24/D$25)*HLOOKUP(D$179,'ODS Subs Data'!$A$45:$AH$54,ROWS('ODS Subs Data'!$A$45:$A49),0)</f>
        <v>1.7873452936397071E-6</v>
      </c>
      <c r="E183" s="49">
        <f>(E$24/E$25)*HLOOKUP(E$179,'ODS Subs Data'!$A$45:$AH$54,ROWS('ODS Subs Data'!$A$45:$A49),0)</f>
        <v>8.8287447316609952E-2</v>
      </c>
      <c r="F183" s="49">
        <f>(F$24/F$25)*HLOOKUP(F$179,'ODS Subs Data'!$A$45:$AH$54,ROWS('ODS Subs Data'!$A$45:$A49),0)</f>
        <v>0.12468618201119337</v>
      </c>
      <c r="G183" s="49">
        <f>(G$24/G$25)*HLOOKUP(G$179,'ODS Subs Data'!$A$45:$AH$54,ROWS('ODS Subs Data'!$A$45:$A49),0)</f>
        <v>0.20069231614077584</v>
      </c>
      <c r="H183" s="49">
        <f>(H$24/H$25)*HLOOKUP(H$179,'ODS Subs Data'!$A$45:$AH$54,ROWS('ODS Subs Data'!$A$45:$A49),0)</f>
        <v>0.29367782837278039</v>
      </c>
      <c r="I183" s="49">
        <f>(I$24/I$25)*HLOOKUP(I$179,'ODS Subs Data'!$A$45:$AH$54,ROWS('ODS Subs Data'!$A$45:$A49),0)</f>
        <v>0.30243627260432787</v>
      </c>
      <c r="J183" s="49">
        <f>(J$24/J$25)*HLOOKUP(J$179,'ODS Subs Data'!$A$45:$AH$54,ROWS('ODS Subs Data'!$A$45:$A49),0)</f>
        <v>0.30439592689136746</v>
      </c>
      <c r="K183" s="49">
        <f>(K$24/K$25)*HLOOKUP(K$179,'ODS Subs Data'!$A$45:$AH$54,ROWS('ODS Subs Data'!$A$45:$A49),0)</f>
        <v>0.30784978890566728</v>
      </c>
      <c r="L183" s="49">
        <f>(L$24/L$25)*HLOOKUP(L$179,'ODS Subs Data'!$A$45:$AH$54,ROWS('ODS Subs Data'!$A$45:$A49),0)</f>
        <v>0.31743719407744264</v>
      </c>
      <c r="M183" s="49">
        <f>(M$24/M$25)*HLOOKUP(M$179,'ODS Subs Data'!$A$45:$AH$54,ROWS('ODS Subs Data'!$A$45:$A49),0)</f>
        <v>0.29458508272585471</v>
      </c>
      <c r="N183" s="49">
        <f>(N$24/N$25)*HLOOKUP(N$179,'ODS Subs Data'!$A$45:$AH$54,ROWS('ODS Subs Data'!$A$45:$A49),0)</f>
        <v>0.32005451109202165</v>
      </c>
      <c r="O183" s="49">
        <f>(O$24/O$25)*HLOOKUP(O$179,'ODS Subs Data'!$A$45:$AH$54,ROWS('ODS Subs Data'!$A$45:$A49),0)</f>
        <v>0.33459784635562645</v>
      </c>
      <c r="P183" s="7"/>
      <c r="Q183" s="7"/>
      <c r="R183" s="7"/>
      <c r="S183" s="279" t="s">
        <v>182</v>
      </c>
      <c r="T183" s="49">
        <f t="shared" si="341"/>
        <v>9.2028833460543177E-2</v>
      </c>
      <c r="U183" s="14"/>
      <c r="V183" s="14"/>
      <c r="W183" s="14"/>
      <c r="X183" s="14"/>
      <c r="Y183" s="14"/>
      <c r="Z183" s="14"/>
      <c r="AA183" s="14"/>
      <c r="AB183" s="14"/>
      <c r="AC183" s="285"/>
      <c r="AD183" s="7"/>
      <c r="AE183" s="7"/>
      <c r="AF183" s="20"/>
      <c r="AG183" s="14"/>
      <c r="AH183" s="14"/>
      <c r="AI183" s="14"/>
      <c r="AJ183" s="14"/>
      <c r="AK183" s="14"/>
      <c r="AL183" s="14"/>
      <c r="AM183" s="14"/>
      <c r="AN183" s="14"/>
      <c r="AO183" s="14"/>
      <c r="AP183" s="7"/>
      <c r="AQ183" s="37"/>
      <c r="AR183" s="37"/>
      <c r="AS183" s="7"/>
      <c r="AT183" s="14"/>
      <c r="AU183" s="14"/>
      <c r="AV183" s="14"/>
      <c r="AW183" s="14"/>
      <c r="AX183" s="8"/>
      <c r="AY183" s="7"/>
      <c r="AZ183" s="7"/>
      <c r="BA183" s="7"/>
      <c r="BB183" s="7"/>
      <c r="BC183" s="20"/>
      <c r="BD183" s="7"/>
      <c r="BE183" s="9"/>
      <c r="BF183" s="7"/>
      <c r="BG183" s="15"/>
      <c r="BH183" s="7"/>
      <c r="BI183" s="15"/>
    </row>
    <row r="184" spans="1:62">
      <c r="A184" s="1"/>
      <c r="B184" s="134" t="s">
        <v>167</v>
      </c>
      <c r="C184" s="156"/>
      <c r="D184" s="49">
        <f>(D$24/D$25)*HLOOKUP(D$179,'ODS Subs Data'!$A$45:$AH$54,ROWS('ODS Subs Data'!$A$45:$A50),0)</f>
        <v>1.1610624281655603E-3</v>
      </c>
      <c r="E184" s="49">
        <f>(E$24/E$25)*HLOOKUP(E$179,'ODS Subs Data'!$A$45:$AH$54,ROWS('ODS Subs Data'!$A$45:$A50),0)</f>
        <v>4.8638588295508906E-2</v>
      </c>
      <c r="F184" s="49">
        <f>(F$24/F$25)*HLOOKUP(F$179,'ODS Subs Data'!$A$45:$AH$54,ROWS('ODS Subs Data'!$A$45:$A50),0)</f>
        <v>5.6026675068451985E-2</v>
      </c>
      <c r="G184" s="49">
        <f>(G$24/G$25)*HLOOKUP(G$179,'ODS Subs Data'!$A$45:$AH$54,ROWS('ODS Subs Data'!$A$45:$A50),0)</f>
        <v>7.4058386183226077E-2</v>
      </c>
      <c r="H184" s="49">
        <f>(H$24/H$25)*HLOOKUP(H$179,'ODS Subs Data'!$A$45:$AH$54,ROWS('ODS Subs Data'!$A$45:$A50),0)</f>
        <v>9.8091252760196021E-2</v>
      </c>
      <c r="I184" s="49">
        <f>(I$24/I$25)*HLOOKUP(I$179,'ODS Subs Data'!$A$45:$AH$54,ROWS('ODS Subs Data'!$A$45:$A50),0)</f>
        <v>9.3078746813284111E-2</v>
      </c>
      <c r="J184" s="49">
        <f>(J$24/J$25)*HLOOKUP(J$179,'ODS Subs Data'!$A$45:$AH$54,ROWS('ODS Subs Data'!$A$45:$A50),0)</f>
        <v>8.8479456229468179E-2</v>
      </c>
      <c r="K184" s="49">
        <f>(K$24/K$25)*HLOOKUP(K$179,'ODS Subs Data'!$A$45:$AH$54,ROWS('ODS Subs Data'!$A$45:$A50),0)</f>
        <v>8.3479479410096619E-2</v>
      </c>
      <c r="L184" s="49">
        <f>(L$24/L$25)*HLOOKUP(L$179,'ODS Subs Data'!$A$45:$AH$54,ROWS('ODS Subs Data'!$A$45:$A50),0)</f>
        <v>8.460328206222234E-2</v>
      </c>
      <c r="M184" s="49">
        <f>(M$24/M$25)*HLOOKUP(M$179,'ODS Subs Data'!$A$45:$AH$54,ROWS('ODS Subs Data'!$A$45:$A50),0)</f>
        <v>7.7558148960241227E-2</v>
      </c>
      <c r="N184" s="49">
        <f>(N$24/N$25)*HLOOKUP(N$179,'ODS Subs Data'!$A$45:$AH$54,ROWS('ODS Subs Data'!$A$45:$A50),0)</f>
        <v>8.329541060169289E-2</v>
      </c>
      <c r="O184" s="49">
        <f>(O$24/O$25)*HLOOKUP(O$179,'ODS Subs Data'!$A$45:$AH$54,ROWS('ODS Subs Data'!$A$45:$A50),0)</f>
        <v>8.1665172283847065E-2</v>
      </c>
      <c r="P184" s="7"/>
      <c r="Q184" s="569"/>
      <c r="R184" s="7"/>
      <c r="S184" s="279" t="s">
        <v>167</v>
      </c>
      <c r="T184" s="49">
        <f t="shared" si="341"/>
        <v>8.1665172283847065E-2</v>
      </c>
      <c r="U184" s="14"/>
      <c r="V184" s="14"/>
      <c r="W184" s="14"/>
      <c r="X184" s="14"/>
      <c r="Y184" s="14"/>
      <c r="Z184" s="14"/>
      <c r="AA184" s="14"/>
      <c r="AB184" s="14"/>
      <c r="AC184" s="285"/>
      <c r="AD184" s="7"/>
      <c r="AE184" s="7"/>
      <c r="AF184" s="20"/>
      <c r="AG184" s="14"/>
      <c r="AH184" s="14"/>
      <c r="AI184" s="14"/>
      <c r="AJ184" s="14"/>
      <c r="AK184" s="14"/>
      <c r="AL184" s="14"/>
      <c r="AM184" s="14"/>
      <c r="AN184" s="14"/>
      <c r="AO184" s="14"/>
      <c r="AP184" s="7"/>
      <c r="AQ184" s="37"/>
      <c r="AR184" s="37"/>
      <c r="AS184" s="7"/>
      <c r="AT184" s="14"/>
      <c r="AU184" s="14"/>
      <c r="AV184" s="14"/>
      <c r="AW184" s="14"/>
      <c r="AX184" s="8"/>
      <c r="AY184" s="7"/>
      <c r="AZ184" s="7"/>
      <c r="BA184" s="7"/>
      <c r="BB184" s="7"/>
      <c r="BC184" s="20"/>
      <c r="BD184" s="7"/>
      <c r="BE184" s="9"/>
      <c r="BF184" s="7"/>
      <c r="BG184" s="15"/>
      <c r="BH184" s="7"/>
      <c r="BI184" s="15"/>
    </row>
    <row r="185" spans="1:62">
      <c r="A185" s="1"/>
      <c r="B185" s="134" t="s">
        <v>168</v>
      </c>
      <c r="C185" s="56"/>
      <c r="D185" s="49">
        <f>(D$24/D$25)*HLOOKUP(D$179,'ODS Subs Data'!$A$45:$AH$54,ROWS('ODS Subs Data'!$A$45:$A51),0)</f>
        <v>3.3246097258802635E-5</v>
      </c>
      <c r="E185" s="49">
        <f>(E$24/E$25)*HLOOKUP(E$179,'ODS Subs Data'!$A$45:$AH$54,ROWS('ODS Subs Data'!$A$45:$A51),0)</f>
        <v>1.6675925765577724E-2</v>
      </c>
      <c r="F185" s="49">
        <f>(F$24/F$25)*HLOOKUP(F$179,'ODS Subs Data'!$A$45:$AH$54,ROWS('ODS Subs Data'!$A$45:$A51),0)</f>
        <v>2.0075671593544588E-2</v>
      </c>
      <c r="G185" s="49">
        <f>(G$24/G$25)*HLOOKUP(G$179,'ODS Subs Data'!$A$45:$AH$54,ROWS('ODS Subs Data'!$A$45:$A51),0)</f>
        <v>3.7505781280806824E-2</v>
      </c>
      <c r="H185" s="49">
        <f>(H$24/H$25)*HLOOKUP(H$179,'ODS Subs Data'!$A$45:$AH$54,ROWS('ODS Subs Data'!$A$45:$A51),0)</f>
        <v>6.0505888400554313E-2</v>
      </c>
      <c r="I185" s="49">
        <f>(I$24/I$25)*HLOOKUP(I$179,'ODS Subs Data'!$A$45:$AH$54,ROWS('ODS Subs Data'!$A$45:$A51),0)</f>
        <v>6.5132290152231431E-2</v>
      </c>
      <c r="J185" s="49">
        <f>(J$24/J$25)*HLOOKUP(J$179,'ODS Subs Data'!$A$45:$AH$54,ROWS('ODS Subs Data'!$A$45:$A51),0)</f>
        <v>6.9017988223706389E-2</v>
      </c>
      <c r="K185" s="49">
        <f>(K$24/K$25)*HLOOKUP(K$179,'ODS Subs Data'!$A$45:$AH$54,ROWS('ODS Subs Data'!$A$45:$A51),0)</f>
        <v>7.086893686084457E-2</v>
      </c>
      <c r="L185" s="49">
        <f>(L$24/L$25)*HLOOKUP(L$179,'ODS Subs Data'!$A$45:$AH$54,ROWS('ODS Subs Data'!$A$45:$A51),0)</f>
        <v>7.0290089299544625E-2</v>
      </c>
      <c r="M185" s="49">
        <f>(M$24/M$25)*HLOOKUP(M$179,'ODS Subs Data'!$A$45:$AH$54,ROWS('ODS Subs Data'!$A$45:$A51),0)</f>
        <v>6.1275235671907853E-2</v>
      </c>
      <c r="N185" s="49">
        <f>(N$24/N$25)*HLOOKUP(N$179,'ODS Subs Data'!$A$45:$AH$54,ROWS('ODS Subs Data'!$A$45:$A51),0)</f>
        <v>5.0811553390245401E-2</v>
      </c>
      <c r="O185" s="49">
        <f>(O$24/O$25)*HLOOKUP(O$179,'ODS Subs Data'!$A$45:$AH$54,ROWS('ODS Subs Data'!$A$45:$A51),0)</f>
        <v>5.6020640692348578E-2</v>
      </c>
      <c r="P185" s="7"/>
      <c r="Q185" s="7"/>
      <c r="R185" s="7"/>
      <c r="S185" s="279" t="s">
        <v>168</v>
      </c>
      <c r="T185" s="49">
        <f t="shared" si="341"/>
        <v>5.6020640692348578E-2</v>
      </c>
      <c r="U185" s="14"/>
      <c r="V185" s="14"/>
      <c r="W185" s="14"/>
      <c r="X185" s="14"/>
      <c r="Y185" s="14"/>
      <c r="Z185" s="14"/>
      <c r="AA185" s="14"/>
      <c r="AB185" s="14"/>
      <c r="AC185" s="285"/>
      <c r="AD185" s="7"/>
      <c r="AE185" s="7"/>
      <c r="AF185" s="20"/>
      <c r="AG185" s="14"/>
      <c r="AH185" s="14"/>
      <c r="AI185" s="14"/>
      <c r="AJ185" s="14"/>
      <c r="AK185" s="14"/>
      <c r="AL185" s="14"/>
      <c r="AM185" s="14"/>
      <c r="AN185" s="14"/>
      <c r="AO185" s="14"/>
      <c r="AP185" s="7"/>
      <c r="AQ185" s="37"/>
      <c r="AR185" s="37"/>
      <c r="AS185" s="7"/>
      <c r="AT185" s="14"/>
      <c r="AU185" s="14"/>
      <c r="AV185" s="14"/>
      <c r="AW185" s="14"/>
      <c r="AX185" s="8"/>
      <c r="AY185" s="7"/>
      <c r="AZ185" s="7"/>
      <c r="BA185" s="7"/>
      <c r="BB185" s="7"/>
      <c r="BC185" s="20"/>
      <c r="BD185" s="7"/>
      <c r="BE185" s="9"/>
      <c r="BF185" s="7"/>
      <c r="BG185" s="15"/>
      <c r="BH185" s="7"/>
      <c r="BI185" s="15"/>
    </row>
    <row r="186" spans="1:62">
      <c r="A186" s="1"/>
      <c r="B186" s="134" t="s">
        <v>169</v>
      </c>
      <c r="C186" s="56"/>
      <c r="D186" s="49">
        <f>(D$24/D$25)*HLOOKUP(D$179,'ODS Subs Data'!$A$45:$HG$54,ROWS('ODS Subs Data'!$A$45:$A52),0)</f>
        <v>0</v>
      </c>
      <c r="E186" s="49">
        <f>(E$24/E$25)*HLOOKUP(E$179,'ODS Subs Data'!$A$45:$HG$54,ROWS('ODS Subs Data'!$A$45:$A52),0)</f>
        <v>7.84684995816428E-3</v>
      </c>
      <c r="F186" s="49">
        <f>(F$24/F$25)*HLOOKUP(F$179,'ODS Subs Data'!$A$45:$HG$54,ROWS('ODS Subs Data'!$A$45:$A52),0)</f>
        <v>7.831053196376829E-3</v>
      </c>
      <c r="G186" s="49">
        <f>(G$24/G$25)*HLOOKUP(G$179,'ODS Subs Data'!$A$45:$HG$54,ROWS('ODS Subs Data'!$A$45:$A52),0)</f>
        <v>7.9779980763214162E-3</v>
      </c>
      <c r="H186" s="49">
        <f>(H$24/H$25)*HLOOKUP(H$179,'ODS Subs Data'!$A$45:$HG$54,ROWS('ODS Subs Data'!$A$45:$A52),0)</f>
        <v>9.2393552489286671E-3</v>
      </c>
      <c r="I186" s="49">
        <f>(I$24/I$25)*HLOOKUP(I$179,'ODS Subs Data'!$A$45:$HG$54,ROWS('ODS Subs Data'!$A$45:$A52),0)</f>
        <v>9.4357872320918312E-3</v>
      </c>
      <c r="J186" s="49">
        <f>(J$24/J$25)*HLOOKUP(J$179,'ODS Subs Data'!$A$45:$HG$54,ROWS('ODS Subs Data'!$A$45:$A52),0)</f>
        <v>9.6416787321332367E-3</v>
      </c>
      <c r="K186" s="49">
        <f>(K$24/K$25)*HLOOKUP(K$179,'ODS Subs Data'!$A$45:$HG$54,ROWS('ODS Subs Data'!$A$45:$A52),0)</f>
        <v>9.8435171024057692E-3</v>
      </c>
      <c r="L186" s="49">
        <f>(L$24/L$25)*HLOOKUP(L$179,'ODS Subs Data'!$A$45:$HG$54,ROWS('ODS Subs Data'!$A$45:$A52),0)</f>
        <v>9.9847466420403003E-3</v>
      </c>
      <c r="M186" s="49">
        <f>(M$24/M$25)*HLOOKUP(M$179,'ODS Subs Data'!$A$45:$HG$54,ROWS('ODS Subs Data'!$A$45:$A52),0)</f>
        <v>9.1611971612466959E-3</v>
      </c>
      <c r="N186" s="49">
        <f>(N$24/N$25)*HLOOKUP(N$179,'ODS Subs Data'!$A$45:$HG$54,ROWS('ODS Subs Data'!$A$45:$A52),0)</f>
        <v>9.8473517190236694E-3</v>
      </c>
      <c r="O186" s="49">
        <f>(O$24/O$25)*HLOOKUP(O$179,'ODS Subs Data'!$A$45:$HG$54,ROWS('ODS Subs Data'!$A$45:$A52),0)</f>
        <v>1.021442173327221E-2</v>
      </c>
      <c r="P186" s="7"/>
      <c r="Q186" s="7"/>
      <c r="R186" s="7"/>
      <c r="S186" s="279" t="s">
        <v>169</v>
      </c>
      <c r="T186" s="49">
        <f t="shared" si="341"/>
        <v>1.021442173327221E-2</v>
      </c>
      <c r="U186" s="14"/>
      <c r="V186" s="14"/>
      <c r="W186" s="14"/>
      <c r="X186" s="14"/>
      <c r="Y186" s="14"/>
      <c r="Z186" s="14"/>
      <c r="AA186" s="14"/>
      <c r="AB186" s="14"/>
      <c r="AC186" s="285"/>
      <c r="AD186" s="7"/>
      <c r="AE186" s="7"/>
      <c r="AF186" s="20"/>
      <c r="AG186" s="14"/>
      <c r="AH186" s="14"/>
      <c r="AI186" s="14"/>
      <c r="AJ186" s="14"/>
      <c r="AK186" s="14"/>
      <c r="AL186" s="14"/>
      <c r="AM186" s="14"/>
      <c r="AN186" s="14"/>
      <c r="AO186" s="14"/>
      <c r="AP186" s="1"/>
      <c r="AQ186" s="17"/>
      <c r="AR186" s="17"/>
      <c r="AT186" s="14"/>
      <c r="AU186" s="14"/>
      <c r="AV186" s="14"/>
      <c r="AW186" s="14"/>
      <c r="AX186" s="8"/>
      <c r="AY186" s="7"/>
      <c r="AZ186" s="7"/>
      <c r="BA186" s="7"/>
      <c r="BB186" s="7"/>
      <c r="BC186" s="20"/>
      <c r="BD186" s="7"/>
      <c r="BE186" s="9"/>
      <c r="BF186" s="7"/>
      <c r="BG186" s="15"/>
      <c r="BH186" s="7"/>
      <c r="BI186" s="15"/>
    </row>
    <row r="187" spans="1:62">
      <c r="A187" s="1"/>
      <c r="B187" s="134" t="s">
        <v>170</v>
      </c>
      <c r="C187" s="56"/>
      <c r="D187" s="49">
        <f>(D$24/D$25)*HLOOKUP(D$179,'ODS Subs Data'!$A$45:$AH$54,ROWS('ODS Subs Data'!$A$45:$A53),0)</f>
        <v>0</v>
      </c>
      <c r="E187" s="49">
        <f>(E$24/E$25)*HLOOKUP(E$179,'ODS Subs Data'!$A$45:$AH$54,ROWS('ODS Subs Data'!$A$45:$A53),0)</f>
        <v>5.7634606932857949E-3</v>
      </c>
      <c r="F187" s="49">
        <f>(F$24/F$25)*HLOOKUP(F$179,'ODS Subs Data'!$A$45:$AH$54,ROWS('ODS Subs Data'!$A$45:$A53),0)</f>
        <v>6.6420904822064326E-3</v>
      </c>
      <c r="G187" s="49">
        <f>(G$24/G$25)*HLOOKUP(G$179,'ODS Subs Data'!$A$45:$AH$54,ROWS('ODS Subs Data'!$A$45:$A53),0)</f>
        <v>7.9375722461377651E-3</v>
      </c>
      <c r="H187" s="49">
        <f>(H$24/H$25)*HLOOKUP(H$179,'ODS Subs Data'!$A$45:$AH$54,ROWS('ODS Subs Data'!$A$45:$A53),0)</f>
        <v>1.0595264443278136E-2</v>
      </c>
      <c r="I187" s="49">
        <f>(I$24/I$25)*HLOOKUP(I$179,'ODS Subs Data'!$A$45:$AH$54,ROWS('ODS Subs Data'!$A$45:$A53),0)</f>
        <v>1.1050765505988941E-2</v>
      </c>
      <c r="J187" s="49">
        <f>(J$24/J$25)*HLOOKUP(J$179,'ODS Subs Data'!$A$45:$AH$54,ROWS('ODS Subs Data'!$A$45:$A53),0)</f>
        <v>1.1506306512392629E-2</v>
      </c>
      <c r="K187" s="49">
        <f>(K$24/K$25)*HLOOKUP(K$179,'ODS Subs Data'!$A$45:$AH$54,ROWS('ODS Subs Data'!$A$45:$A53),0)</f>
        <v>1.1945051552180244E-2</v>
      </c>
      <c r="L187" s="49">
        <f>(L$24/L$25)*HLOOKUP(L$179,'ODS Subs Data'!$A$45:$AH$54,ROWS('ODS Subs Data'!$A$45:$A53),0)</f>
        <v>1.229589866199123E-2</v>
      </c>
      <c r="M187" s="49">
        <f>(M$24/M$25)*HLOOKUP(M$179,'ODS Subs Data'!$A$45:$AH$54,ROWS('ODS Subs Data'!$A$45:$A53),0)</f>
        <v>1.1307953788896175E-2</v>
      </c>
      <c r="N187" s="49">
        <f>(N$24/N$25)*HLOOKUP(N$179,'ODS Subs Data'!$A$45:$AH$54,ROWS('ODS Subs Data'!$A$45:$A53),0)</f>
        <v>1.2181888384676582E-2</v>
      </c>
      <c r="O187" s="49">
        <f>(O$24/O$25)*HLOOKUP(O$179,'ODS Subs Data'!$A$45:$AH$54,ROWS('ODS Subs Data'!$A$45:$A53),0)</f>
        <v>1.2664265757609728E-2</v>
      </c>
      <c r="P187" s="7"/>
      <c r="Q187" s="7"/>
      <c r="R187" s="7"/>
      <c r="S187" s="279" t="s">
        <v>170</v>
      </c>
      <c r="T187" s="49">
        <f t="shared" si="341"/>
        <v>1.2664265757609728E-2</v>
      </c>
      <c r="U187" s="14"/>
      <c r="V187" s="14"/>
      <c r="W187" s="14"/>
      <c r="X187" s="14"/>
      <c r="Y187" s="14"/>
      <c r="Z187" s="14"/>
      <c r="AA187" s="14"/>
      <c r="AB187" s="14"/>
      <c r="AC187" s="285"/>
      <c r="AD187" s="7"/>
      <c r="AE187" s="7"/>
      <c r="AF187" s="20"/>
      <c r="AG187" s="14"/>
      <c r="AH187" s="14"/>
      <c r="AI187" s="14"/>
      <c r="AJ187" s="14"/>
      <c r="AK187" s="14"/>
      <c r="AL187" s="14"/>
      <c r="AM187" s="14"/>
      <c r="AN187" s="14"/>
      <c r="AO187" s="14"/>
      <c r="AP187" s="1"/>
      <c r="AQ187" s="11"/>
      <c r="AR187" s="11"/>
      <c r="AT187" s="14"/>
      <c r="AU187" s="14"/>
      <c r="AV187" s="14"/>
      <c r="AW187" s="14"/>
      <c r="AX187" s="8"/>
      <c r="AY187" s="7"/>
      <c r="AZ187" s="7"/>
      <c r="BA187" s="7"/>
      <c r="BB187" s="7"/>
      <c r="BC187" s="20"/>
      <c r="BD187" s="7"/>
      <c r="BE187" s="9"/>
      <c r="BF187" s="7"/>
      <c r="BG187" s="15"/>
      <c r="BH187" s="7"/>
      <c r="BI187" s="15"/>
    </row>
    <row r="188" spans="1:62">
      <c r="A188" s="1"/>
      <c r="B188" s="56"/>
      <c r="C188" s="56"/>
      <c r="D188" s="152"/>
      <c r="E188" s="152"/>
      <c r="F188" s="152"/>
      <c r="G188" s="152"/>
      <c r="H188" s="152"/>
      <c r="I188" s="152"/>
      <c r="J188" s="152"/>
      <c r="K188" s="152"/>
      <c r="L188" s="152"/>
      <c r="M188" s="152"/>
      <c r="N188" s="152"/>
      <c r="O188" s="152"/>
      <c r="P188" s="1"/>
      <c r="Q188" s="7"/>
      <c r="R188" s="7"/>
      <c r="S188" s="7"/>
      <c r="T188" s="14"/>
      <c r="U188" s="10"/>
      <c r="V188" s="10"/>
      <c r="W188" s="10"/>
      <c r="X188" s="10"/>
      <c r="Y188" s="10"/>
      <c r="Z188" s="10"/>
      <c r="AA188" s="10"/>
      <c r="AB188" s="10"/>
      <c r="AC188" s="10"/>
      <c r="AD188" s="1"/>
      <c r="AE188" s="1"/>
      <c r="AF188" s="11"/>
      <c r="AG188" s="10"/>
      <c r="AH188" s="10"/>
      <c r="AI188" s="10"/>
      <c r="AJ188" s="10"/>
      <c r="AK188" s="10"/>
      <c r="AL188" s="10"/>
      <c r="AM188" s="10"/>
      <c r="AN188" s="10"/>
      <c r="AO188" s="10"/>
      <c r="AP188" s="1"/>
      <c r="AQ188" s="20"/>
      <c r="AR188" s="20"/>
      <c r="AS188" s="7"/>
      <c r="AT188" s="10"/>
      <c r="AU188" s="10"/>
      <c r="AV188" s="10"/>
      <c r="AW188" s="10"/>
      <c r="AX188" s="8"/>
      <c r="AY188" s="1"/>
      <c r="AZ188" s="1"/>
      <c r="BA188" s="1"/>
      <c r="BB188" s="1"/>
      <c r="BD188" s="1"/>
      <c r="BF188" s="1"/>
      <c r="BH188" s="1"/>
    </row>
    <row r="189" spans="1:62">
      <c r="A189" s="1"/>
      <c r="B189" s="159" t="s">
        <v>153</v>
      </c>
      <c r="C189" s="56"/>
      <c r="D189" s="45">
        <f t="shared" ref="D189:J189" si="342">SUM(D181:D187)</f>
        <v>1.2951478637102561E-3</v>
      </c>
      <c r="E189" s="45">
        <f t="shared" si="342"/>
        <v>0.46181603711610281</v>
      </c>
      <c r="F189" s="45">
        <f t="shared" si="342"/>
        <v>0.52285565538432743</v>
      </c>
      <c r="G189" s="45">
        <f t="shared" si="342"/>
        <v>0.64547087176434936</v>
      </c>
      <c r="H189" s="45">
        <f t="shared" si="342"/>
        <v>0.77304586812249554</v>
      </c>
      <c r="I189" s="45">
        <f t="shared" si="342"/>
        <v>0.77936215912470419</v>
      </c>
      <c r="J189" s="45">
        <f t="shared" si="342"/>
        <v>0.78208292023898529</v>
      </c>
      <c r="K189" s="45">
        <f t="shared" ref="K189:L189" si="343">SUM(K181:K187)</f>
        <v>0.78992219245559414</v>
      </c>
      <c r="L189" s="45">
        <f t="shared" si="343"/>
        <v>0.80497522367443008</v>
      </c>
      <c r="M189" s="45">
        <f t="shared" ref="M189:O189" si="344">SUM(M181:M187)</f>
        <v>0.74999641597544886</v>
      </c>
      <c r="N189" s="45">
        <f t="shared" si="344"/>
        <v>0.80883125144921009</v>
      </c>
      <c r="O189" s="45">
        <f t="shared" si="344"/>
        <v>0.84217783737580743</v>
      </c>
      <c r="P189" s="7"/>
      <c r="Q189" s="7"/>
      <c r="R189" s="7"/>
      <c r="S189" s="1"/>
      <c r="T189" s="10"/>
      <c r="U189" s="14"/>
      <c r="V189" s="14"/>
      <c r="W189" s="14"/>
      <c r="X189" s="14"/>
      <c r="Y189" s="14"/>
      <c r="Z189" s="14"/>
      <c r="AA189" s="14"/>
      <c r="AB189" s="14"/>
      <c r="AC189" s="285"/>
      <c r="AD189" s="7"/>
      <c r="AE189" s="7"/>
      <c r="AF189" s="20"/>
      <c r="AG189" s="14"/>
      <c r="AH189" s="14"/>
      <c r="AI189" s="14"/>
      <c r="AJ189" s="14"/>
      <c r="AK189" s="14"/>
      <c r="AL189" s="14"/>
      <c r="AM189" s="14"/>
      <c r="AN189" s="14"/>
      <c r="AO189" s="14"/>
      <c r="AP189" s="1"/>
      <c r="AQ189" s="20"/>
      <c r="AR189" s="20"/>
      <c r="AS189" s="7"/>
      <c r="AT189" s="14"/>
      <c r="AU189" s="14"/>
      <c r="AV189" s="14"/>
      <c r="AW189" s="14"/>
      <c r="AX189" s="8"/>
      <c r="AY189" s="7"/>
      <c r="AZ189" s="7"/>
      <c r="BA189" s="7"/>
      <c r="BB189" s="7"/>
      <c r="BC189" s="20"/>
      <c r="BD189" s="7"/>
      <c r="BE189" s="9"/>
      <c r="BF189" s="7"/>
      <c r="BG189" s="15"/>
      <c r="BH189" s="7"/>
      <c r="BI189" s="15"/>
    </row>
    <row r="190" spans="1:62">
      <c r="A190" s="1"/>
      <c r="B190" s="1"/>
      <c r="C190" s="1"/>
      <c r="D190" s="276">
        <f t="shared" ref="D190:J190" si="345">D189-D29</f>
        <v>0</v>
      </c>
      <c r="E190" s="276">
        <f t="shared" si="345"/>
        <v>0</v>
      </c>
      <c r="F190" s="276">
        <f t="shared" si="345"/>
        <v>0</v>
      </c>
      <c r="G190" s="276">
        <f t="shared" si="345"/>
        <v>0</v>
      </c>
      <c r="H190" s="276">
        <f t="shared" si="345"/>
        <v>0</v>
      </c>
      <c r="I190" s="276">
        <f t="shared" si="345"/>
        <v>0</v>
      </c>
      <c r="J190" s="276">
        <f t="shared" si="345"/>
        <v>0</v>
      </c>
      <c r="K190" s="276">
        <f t="shared" ref="K190:L190" si="346">K189-K29</f>
        <v>0</v>
      </c>
      <c r="L190" s="276">
        <f t="shared" si="346"/>
        <v>0</v>
      </c>
      <c r="M190" s="276">
        <f t="shared" ref="M190:O190" si="347">M189-M29</f>
        <v>0</v>
      </c>
      <c r="N190" s="276">
        <f t="shared" si="347"/>
        <v>0</v>
      </c>
      <c r="O190" s="276">
        <f t="shared" si="347"/>
        <v>0</v>
      </c>
      <c r="P190" s="1"/>
      <c r="Q190" s="7"/>
      <c r="R190" s="7"/>
      <c r="S190" s="7"/>
      <c r="T190" s="14"/>
      <c r="U190" s="10"/>
      <c r="V190" s="10"/>
      <c r="W190" s="10"/>
      <c r="X190" s="10"/>
      <c r="Y190" s="10"/>
      <c r="Z190" s="10"/>
      <c r="AA190" s="10"/>
      <c r="AB190" s="10"/>
      <c r="AC190" s="10"/>
      <c r="AD190" s="1"/>
      <c r="AE190" s="1"/>
      <c r="AF190" s="11"/>
      <c r="AG190" s="10"/>
      <c r="AH190" s="10"/>
      <c r="AI190" s="10"/>
      <c r="AJ190" s="10"/>
      <c r="AK190" s="10"/>
      <c r="AL190" s="10"/>
      <c r="AM190" s="10"/>
      <c r="AN190" s="10"/>
      <c r="AO190" s="10"/>
      <c r="AP190" s="1"/>
      <c r="AQ190" s="11"/>
      <c r="AR190" s="11"/>
      <c r="AT190" s="10"/>
      <c r="AU190" s="10"/>
      <c r="AV190" s="10"/>
      <c r="AW190" s="10"/>
      <c r="AX190" s="8"/>
      <c r="AY190" s="1"/>
      <c r="AZ190" s="1"/>
      <c r="BA190" s="1"/>
      <c r="BB190" s="1"/>
      <c r="BD190" s="1"/>
      <c r="BF190" s="1"/>
      <c r="BH190" s="1"/>
    </row>
    <row r="191" spans="1:62">
      <c r="A191" s="1"/>
      <c r="B191" s="1"/>
      <c r="C191" s="1"/>
      <c r="D191" s="10"/>
      <c r="E191" s="10"/>
      <c r="F191" s="10"/>
      <c r="G191" s="10"/>
      <c r="H191" s="10"/>
      <c r="I191" s="10"/>
      <c r="J191" s="10"/>
      <c r="K191" s="10"/>
      <c r="L191" s="10"/>
      <c r="M191" s="10"/>
      <c r="N191" s="10"/>
      <c r="O191" s="10"/>
      <c r="P191" s="7"/>
      <c r="Q191" s="7"/>
      <c r="R191" s="7"/>
      <c r="S191" s="1"/>
      <c r="T191" s="10"/>
      <c r="U191" s="14"/>
      <c r="V191" s="14"/>
      <c r="W191" s="14"/>
      <c r="X191" s="14"/>
      <c r="Y191" s="14"/>
      <c r="Z191" s="14"/>
      <c r="AA191" s="14"/>
      <c r="AB191" s="14"/>
      <c r="AC191" s="285"/>
      <c r="AD191" s="7"/>
      <c r="AE191" s="7"/>
      <c r="AF191" s="20"/>
      <c r="AG191" s="14"/>
      <c r="AH191" s="14"/>
      <c r="AI191" s="14"/>
      <c r="AJ191" s="14"/>
      <c r="AK191" s="14"/>
      <c r="AL191" s="14"/>
      <c r="AM191" s="14"/>
      <c r="AN191" s="14"/>
      <c r="AO191" s="14"/>
      <c r="AP191" s="1"/>
      <c r="AQ191" s="20"/>
      <c r="AR191" s="20"/>
      <c r="AS191" s="7"/>
      <c r="AT191" s="14"/>
      <c r="AU191" s="14"/>
      <c r="AV191" s="14"/>
      <c r="AW191" s="14"/>
      <c r="AX191" s="16"/>
      <c r="AY191" s="7"/>
      <c r="AZ191" s="7"/>
      <c r="BA191" s="7"/>
      <c r="BB191" s="7"/>
      <c r="BC191" s="20"/>
      <c r="BD191" s="7"/>
      <c r="BE191" s="9"/>
      <c r="BF191" s="7"/>
      <c r="BG191" s="15"/>
      <c r="BH191" s="7"/>
      <c r="BI191" s="15"/>
    </row>
    <row r="192" spans="1:62">
      <c r="A192" s="1"/>
      <c r="B192" s="1"/>
      <c r="C192" s="1"/>
      <c r="D192" s="14"/>
      <c r="E192" s="14"/>
      <c r="F192" s="14"/>
      <c r="G192" s="14"/>
      <c r="H192" s="14"/>
      <c r="P192" s="7"/>
      <c r="Q192" s="7"/>
      <c r="R192" s="7"/>
      <c r="S192" s="7"/>
      <c r="T192" s="14"/>
      <c r="U192" s="14"/>
      <c r="V192" s="14"/>
      <c r="W192" s="14"/>
      <c r="X192" s="14"/>
      <c r="Y192" s="14"/>
      <c r="Z192" s="14"/>
      <c r="AA192" s="14"/>
      <c r="AB192" s="14"/>
      <c r="AC192" s="285"/>
      <c r="AD192" s="7"/>
      <c r="AE192" s="7"/>
      <c r="AF192" s="20"/>
      <c r="AG192" s="14"/>
      <c r="AH192" s="14"/>
      <c r="AI192" s="14"/>
      <c r="AJ192" s="14"/>
      <c r="AK192" s="14"/>
      <c r="AL192" s="14"/>
      <c r="AM192" s="14"/>
      <c r="AN192" s="14"/>
      <c r="AO192" s="14"/>
      <c r="AP192" s="1"/>
      <c r="AQ192" s="20"/>
      <c r="AR192" s="20"/>
      <c r="AS192" s="7"/>
      <c r="AT192" s="14"/>
      <c r="AU192" s="14"/>
      <c r="AV192" s="14"/>
      <c r="AW192" s="14"/>
      <c r="AX192" s="16"/>
      <c r="AY192" s="7"/>
      <c r="AZ192" s="7"/>
      <c r="BA192" s="7"/>
      <c r="BB192" s="7"/>
      <c r="BC192" s="20"/>
      <c r="BD192" s="7"/>
      <c r="BE192" s="9"/>
      <c r="BF192" s="7"/>
      <c r="BG192" s="15"/>
      <c r="BH192" s="7"/>
      <c r="BI192" s="15"/>
    </row>
    <row r="193" spans="1:61">
      <c r="A193" s="1"/>
      <c r="B193" s="1"/>
      <c r="C193" s="1"/>
      <c r="D193" s="14"/>
      <c r="E193" s="14"/>
      <c r="F193" s="14"/>
      <c r="G193" s="14"/>
      <c r="H193" s="14"/>
      <c r="P193" s="7"/>
      <c r="Q193" s="7"/>
      <c r="R193" s="7"/>
      <c r="S193" s="7"/>
      <c r="T193" s="14"/>
      <c r="U193" s="14"/>
      <c r="V193" s="14"/>
      <c r="W193" s="14"/>
      <c r="X193" s="14"/>
      <c r="Y193" s="14"/>
      <c r="Z193" s="14"/>
      <c r="AA193" s="14"/>
      <c r="AB193" s="14"/>
      <c r="AC193" s="285"/>
      <c r="AD193" s="7"/>
      <c r="AE193" s="7"/>
      <c r="AF193" s="20"/>
      <c r="AG193" s="14"/>
      <c r="AH193" s="14"/>
      <c r="AI193" s="14"/>
      <c r="AJ193" s="14"/>
      <c r="AK193" s="14"/>
      <c r="AL193" s="14"/>
      <c r="AM193" s="14"/>
      <c r="AN193" s="14"/>
      <c r="AO193" s="14"/>
      <c r="AP193" s="1"/>
      <c r="AQ193" s="11"/>
      <c r="AR193" s="11"/>
      <c r="AT193" s="14"/>
      <c r="AU193" s="14"/>
      <c r="AV193" s="14"/>
      <c r="AW193" s="14"/>
      <c r="AX193" s="8"/>
      <c r="AY193" s="7"/>
      <c r="AZ193" s="7"/>
      <c r="BA193" s="7"/>
      <c r="BB193" s="7"/>
      <c r="BC193" s="20"/>
      <c r="BD193" s="7"/>
      <c r="BE193" s="9"/>
      <c r="BF193" s="7"/>
      <c r="BG193" s="15"/>
      <c r="BH193" s="7"/>
      <c r="BI193" s="15"/>
    </row>
    <row r="194" spans="1:61">
      <c r="A194" s="1"/>
      <c r="B194" s="1"/>
      <c r="C194" s="1"/>
      <c r="D194" s="14"/>
      <c r="E194" s="14"/>
      <c r="F194" s="14"/>
      <c r="G194" s="14"/>
      <c r="H194" s="14"/>
      <c r="P194" s="7"/>
      <c r="Q194" s="7"/>
      <c r="R194" s="7"/>
      <c r="S194" s="7"/>
      <c r="T194" s="14"/>
      <c r="U194" s="14"/>
      <c r="V194" s="14"/>
      <c r="W194" s="14"/>
      <c r="X194" s="14"/>
      <c r="Y194" s="14"/>
      <c r="Z194" s="14"/>
      <c r="AA194" s="14"/>
      <c r="AB194" s="14"/>
      <c r="AC194" s="285"/>
      <c r="AD194" s="7"/>
      <c r="AE194" s="7"/>
      <c r="AF194" s="20"/>
      <c r="AG194" s="14"/>
      <c r="AH194" s="14"/>
      <c r="AI194" s="14"/>
      <c r="AJ194" s="14"/>
      <c r="AK194" s="14"/>
      <c r="AL194" s="14"/>
      <c r="AM194" s="14"/>
      <c r="AN194" s="14"/>
      <c r="AO194" s="14"/>
      <c r="AP194" s="1"/>
      <c r="AQ194" s="20"/>
      <c r="AR194" s="20"/>
      <c r="AS194" s="7"/>
      <c r="AT194" s="14"/>
      <c r="AU194" s="14"/>
      <c r="AV194" s="14"/>
      <c r="AW194" s="14"/>
      <c r="AX194" s="8"/>
      <c r="AY194" s="7"/>
      <c r="AZ194" s="7"/>
      <c r="BA194" s="7"/>
      <c r="BB194" s="7"/>
      <c r="BC194" s="20"/>
      <c r="BD194" s="7"/>
      <c r="BE194" s="9"/>
      <c r="BF194" s="7"/>
      <c r="BG194" s="15"/>
      <c r="BH194" s="7"/>
      <c r="BI194" s="15"/>
    </row>
    <row r="195" spans="1:61">
      <c r="A195" s="1"/>
      <c r="B195" s="1"/>
      <c r="C195" s="1"/>
      <c r="D195" s="14"/>
      <c r="E195" s="14"/>
      <c r="F195" s="14"/>
      <c r="G195" s="14"/>
      <c r="H195" s="14"/>
      <c r="P195" s="7"/>
      <c r="Q195" s="7"/>
      <c r="R195" s="7"/>
      <c r="S195" s="7"/>
      <c r="T195" s="14"/>
      <c r="U195" s="14"/>
      <c r="V195" s="14"/>
      <c r="W195" s="14"/>
      <c r="X195" s="14"/>
      <c r="Y195" s="14"/>
      <c r="Z195" s="14"/>
      <c r="AA195" s="14"/>
      <c r="AB195" s="14"/>
      <c r="AC195" s="285"/>
      <c r="AD195" s="7"/>
      <c r="AE195" s="7"/>
      <c r="AF195" s="20"/>
      <c r="AG195" s="14"/>
      <c r="AH195" s="14"/>
      <c r="AI195" s="14"/>
      <c r="AJ195" s="14"/>
      <c r="AK195" s="14"/>
      <c r="AL195" s="14"/>
      <c r="AM195" s="14"/>
      <c r="AN195" s="14"/>
      <c r="AO195" s="14"/>
      <c r="AP195" s="1"/>
      <c r="AQ195" s="20"/>
      <c r="AR195" s="20"/>
      <c r="AS195" s="7"/>
      <c r="AT195" s="14"/>
      <c r="AU195" s="14"/>
      <c r="AV195" s="14"/>
      <c r="AW195" s="14"/>
      <c r="AX195" s="8"/>
      <c r="AY195" s="7"/>
      <c r="AZ195" s="7"/>
      <c r="BA195" s="7"/>
      <c r="BB195" s="7"/>
      <c r="BC195" s="20"/>
      <c r="BD195" s="7"/>
      <c r="BE195" s="9"/>
      <c r="BF195" s="7"/>
      <c r="BG195" s="15"/>
      <c r="BH195" s="7"/>
      <c r="BI195" s="15"/>
    </row>
    <row r="196" spans="1:61" s="35" customFormat="1">
      <c r="A196" s="119" t="s">
        <v>129</v>
      </c>
      <c r="B196" s="160"/>
      <c r="C196" s="160"/>
      <c r="D196" s="160"/>
      <c r="E196" s="160"/>
      <c r="F196" s="160"/>
      <c r="G196" s="160"/>
      <c r="H196" s="160"/>
      <c r="I196" s="160"/>
      <c r="J196" s="160"/>
      <c r="K196" s="160"/>
      <c r="L196" s="160"/>
      <c r="M196" s="160"/>
      <c r="N196" s="160"/>
      <c r="O196" s="160"/>
      <c r="P196" s="160"/>
      <c r="Q196" s="161"/>
      <c r="R196" s="161"/>
      <c r="S196" s="160"/>
      <c r="T196" s="160"/>
      <c r="U196" s="160"/>
      <c r="V196" s="160"/>
      <c r="W196" s="160"/>
      <c r="X196" s="160"/>
      <c r="Y196" s="160"/>
      <c r="Z196" s="160"/>
      <c r="AA196" s="160"/>
      <c r="AB196" s="160"/>
      <c r="AC196" s="160"/>
      <c r="AD196" s="160"/>
      <c r="AE196" s="160"/>
      <c r="AF196" s="160"/>
      <c r="AG196" s="160"/>
      <c r="AH196" s="160"/>
      <c r="AI196" s="160"/>
      <c r="AJ196" s="160"/>
      <c r="AK196" s="160"/>
      <c r="AL196" s="160"/>
      <c r="AM196" s="160"/>
      <c r="AN196" s="160"/>
      <c r="AO196" s="160"/>
      <c r="AP196" s="160"/>
      <c r="AQ196" s="160"/>
      <c r="AR196" s="160"/>
      <c r="AS196" s="160"/>
      <c r="AT196" s="160"/>
      <c r="AU196" s="160"/>
      <c r="AV196" s="160"/>
      <c r="AW196" s="160"/>
      <c r="AX196" s="160"/>
      <c r="AY196" s="160"/>
      <c r="AZ196" s="160"/>
      <c r="BA196" s="160"/>
      <c r="BB196" s="556"/>
    </row>
    <row r="197" spans="1:61">
      <c r="A197" s="1"/>
      <c r="B197" s="1"/>
      <c r="C197" s="1"/>
      <c r="D197" s="14"/>
      <c r="E197" s="14"/>
      <c r="F197" s="14"/>
      <c r="G197" s="14"/>
      <c r="H197" s="14"/>
      <c r="P197" s="7"/>
      <c r="Q197" s="7"/>
      <c r="R197" s="7"/>
      <c r="S197" s="7"/>
      <c r="T197" s="14"/>
      <c r="U197" s="14"/>
      <c r="V197" s="14"/>
      <c r="W197" s="14"/>
      <c r="X197" s="14"/>
      <c r="Y197" s="14"/>
      <c r="Z197" s="14"/>
      <c r="AA197" s="14"/>
      <c r="AB197" s="14"/>
      <c r="AC197" s="285"/>
      <c r="AD197" s="7"/>
      <c r="AE197" s="7"/>
      <c r="AF197" s="20"/>
      <c r="AG197" s="14"/>
      <c r="AH197" s="14"/>
      <c r="AI197" s="14"/>
      <c r="AJ197" s="14"/>
      <c r="AK197" s="14"/>
      <c r="AL197" s="14"/>
      <c r="AM197" s="14"/>
      <c r="AN197" s="14"/>
      <c r="AO197" s="14"/>
      <c r="AP197" s="1"/>
      <c r="AQ197" s="20"/>
      <c r="AR197" s="20"/>
      <c r="AS197" s="7"/>
      <c r="AT197" s="14"/>
      <c r="AU197" s="14"/>
      <c r="AV197" s="14"/>
      <c r="AW197" s="14"/>
      <c r="AX197" s="16"/>
      <c r="AY197" s="7"/>
      <c r="AZ197" s="7"/>
      <c r="BA197" s="7"/>
      <c r="BB197" s="7"/>
      <c r="BC197" s="20"/>
      <c r="BD197" s="7"/>
      <c r="BE197" s="9"/>
      <c r="BF197" s="7"/>
      <c r="BG197" s="15"/>
      <c r="BH197" s="7"/>
      <c r="BI197" s="15"/>
    </row>
    <row r="198" spans="1:61">
      <c r="A198" s="1"/>
      <c r="B198" s="42"/>
      <c r="C198" s="43"/>
      <c r="D198" s="68">
        <v>1990</v>
      </c>
      <c r="E198" s="68">
        <v>2005</v>
      </c>
      <c r="F198" s="68">
        <v>2007</v>
      </c>
      <c r="G198" s="68">
        <v>2010</v>
      </c>
      <c r="H198" s="68">
        <v>2015</v>
      </c>
      <c r="I198" s="68">
        <v>2016</v>
      </c>
      <c r="J198" s="68">
        <v>2017</v>
      </c>
      <c r="K198" s="68">
        <v>2018</v>
      </c>
      <c r="L198" s="68">
        <v>2019</v>
      </c>
      <c r="M198" s="68">
        <v>2020</v>
      </c>
      <c r="N198" s="68">
        <v>2021</v>
      </c>
      <c r="O198" s="68">
        <v>2022</v>
      </c>
      <c r="P198" s="7"/>
      <c r="Q198" s="7"/>
      <c r="R198" s="7"/>
      <c r="S198" s="7"/>
      <c r="T198" s="14"/>
      <c r="U198" s="14"/>
      <c r="V198" s="14"/>
      <c r="W198" s="14"/>
      <c r="X198" s="14"/>
      <c r="Y198" s="14"/>
      <c r="Z198" s="14"/>
      <c r="AA198" s="14"/>
      <c r="AB198" s="14"/>
      <c r="AC198" s="285"/>
      <c r="AD198" s="7"/>
      <c r="AE198" s="7"/>
      <c r="AF198" s="20"/>
      <c r="AG198" s="14"/>
      <c r="AH198" s="10"/>
      <c r="AI198" s="10"/>
      <c r="AJ198" s="10"/>
      <c r="AK198" s="10"/>
      <c r="AL198" s="10"/>
      <c r="AM198" s="10"/>
      <c r="AN198" s="10"/>
      <c r="AO198" s="10"/>
      <c r="AP198" s="1"/>
      <c r="AQ198" s="20"/>
      <c r="AR198" s="20"/>
      <c r="AS198" s="7"/>
      <c r="AT198" s="10"/>
      <c r="AU198" s="10"/>
      <c r="AV198" s="10"/>
      <c r="AW198" s="10"/>
      <c r="BC198" s="10"/>
      <c r="BE198" s="10"/>
      <c r="BG198" s="18"/>
      <c r="BI198" s="18"/>
    </row>
    <row r="199" spans="1:61">
      <c r="A199" s="1"/>
      <c r="B199" s="120"/>
      <c r="C199" s="43"/>
      <c r="D199" s="149"/>
      <c r="E199" s="149"/>
      <c r="F199" s="149"/>
      <c r="G199" s="149"/>
      <c r="H199" s="149"/>
      <c r="I199" s="149"/>
      <c r="J199" s="149"/>
      <c r="K199" s="149"/>
      <c r="L199" s="149"/>
      <c r="M199" s="149"/>
      <c r="N199" s="149"/>
      <c r="O199" s="149"/>
      <c r="P199" s="7"/>
      <c r="Q199" s="7"/>
      <c r="R199" s="7"/>
      <c r="U199" s="14"/>
      <c r="V199" s="14"/>
      <c r="W199" s="14"/>
      <c r="X199" s="14"/>
      <c r="Y199" s="14"/>
      <c r="Z199" s="14"/>
      <c r="AA199" s="14"/>
      <c r="AB199" s="14"/>
      <c r="AC199" s="285"/>
      <c r="AD199" s="7"/>
      <c r="AE199" s="7"/>
      <c r="AF199" s="20"/>
      <c r="AG199" s="14"/>
      <c r="AH199" s="10"/>
      <c r="AI199" s="10"/>
      <c r="AJ199" s="10"/>
      <c r="AK199" s="10"/>
      <c r="AL199" s="10"/>
      <c r="AM199" s="10"/>
      <c r="AN199" s="10"/>
      <c r="AO199" s="10"/>
      <c r="AP199" s="1"/>
      <c r="AQ199" s="20"/>
      <c r="AR199" s="20"/>
      <c r="AS199" s="7"/>
      <c r="AT199" s="10"/>
      <c r="AU199" s="10"/>
      <c r="AV199" s="10"/>
      <c r="AW199" s="10"/>
    </row>
    <row r="200" spans="1:61">
      <c r="A200" s="283"/>
      <c r="B200" s="127" t="s">
        <v>51</v>
      </c>
      <c r="C200" s="156"/>
      <c r="D200" s="49" cm="1">
        <f t="array" ref="D200">D$189*(HLOOKUP(D$198, 'ODS Subs Data'!$A$73:$AH$82, MATCH($B200,'ODS Subs Data'!$A$73:$A$82,0),0)/SUMPRODUCT('ODS Subs Data'!$B$74:$AH$82*('ODS Subs Data'!$B$73:$AH$73='ODS Subs'!D$198)))</f>
        <v>0</v>
      </c>
      <c r="E200" s="49" cm="1">
        <f t="array" ref="E200">E$189*(HLOOKUP(E$198, 'ODS Subs Data'!$A$73:$AH$82, MATCH($B200,'ODS Subs Data'!$A$73:$A$82,0),0)/SUMPRODUCT('ODS Subs Data'!$B$74:$AH$82*('ODS Subs Data'!$B$73:$AH$73='ODS Subs'!E$198)))</f>
        <v>5.0656522538344812E-5</v>
      </c>
      <c r="F200" s="49" cm="1">
        <f t="array" ref="F200">F$189*(HLOOKUP(F$198, 'ODS Subs Data'!$A$73:$AH$82, MATCH($B200,'ODS Subs Data'!$A$73:$A$82,0),0)/SUMPRODUCT('ODS Subs Data'!$B$74:$AH$82*('ODS Subs Data'!$B$73:$AH$73='ODS Subs'!F$198)))</f>
        <v>5.9049396189051628E-5</v>
      </c>
      <c r="G200" s="49" cm="1">
        <f t="array" ref="G200">G$189*(HLOOKUP(G$198, 'ODS Subs Data'!$A$73:$AH$82, MATCH($B200,'ODS Subs Data'!$A$73:$A$82,0),0)/SUMPRODUCT('ODS Subs Data'!$B$74:$AH$82*('ODS Subs Data'!$B$73:$AH$73='ODS Subs'!G$198)))</f>
        <v>7.3766400027782883E-5</v>
      </c>
      <c r="H200" s="49" cm="1">
        <f t="array" ref="H200">H$189*(HLOOKUP(H$198, 'ODS Subs Data'!$A$73:$AH$82, MATCH($B200,'ODS Subs Data'!$A$73:$A$82,0),0)/SUMPRODUCT('ODS Subs Data'!$B$74:$AH$82*('ODS Subs Data'!$B$73:$AH$73='ODS Subs'!H$198)))</f>
        <v>1.0886694942103379E-4</v>
      </c>
      <c r="I200" s="49" cm="1">
        <f t="array" ref="I200">I$189*(HLOOKUP(I$198, 'ODS Subs Data'!$A$73:$AH$82, MATCH($B200,'ODS Subs Data'!$A$73:$A$82,0),0)/SUMPRODUCT('ODS Subs Data'!$B$74:$AH$82*('ODS Subs Data'!$B$73:$AH$73='ODS Subs'!I$198)))</f>
        <v>1.1533422720203555E-4</v>
      </c>
      <c r="J200" s="49" cm="1">
        <f t="array" ref="J200">J$189*(HLOOKUP(J$198, 'ODS Subs Data'!$A$73:$AH$82, MATCH($B200,'ODS Subs Data'!$A$73:$A$82,0),0)/SUMPRODUCT('ODS Subs Data'!$B$74:$AH$82*('ODS Subs Data'!$B$73:$AH$73='ODS Subs'!J$198)))</f>
        <v>1.2292754506689889E-4</v>
      </c>
      <c r="K200" s="49" cm="1">
        <f t="array" ref="K200">K$189*(HLOOKUP(K$198, 'ODS Subs Data'!$A$73:$AH$82, MATCH($B200,'ODS Subs Data'!$A$73:$A$82,0),0)/SUMPRODUCT('ODS Subs Data'!$B$74:$AH$82*('ODS Subs Data'!$B$73:$AH$73='ODS Subs'!K$198)))</f>
        <v>1.3027477690801456E-4</v>
      </c>
      <c r="L200" s="49" cm="1">
        <f t="array" ref="L200">L$189*(HLOOKUP(L$198, 'ODS Subs Data'!$A$73:$AH$82, MATCH($B200,'ODS Subs Data'!$A$73:$A$82,0),0)/SUMPRODUCT('ODS Subs Data'!$B$74:$AH$82*('ODS Subs Data'!$B$73:$AH$73='ODS Subs'!L$198)))</f>
        <v>1.3731649096687163E-4</v>
      </c>
      <c r="M200" s="49" cm="1">
        <f t="array" ref="M200">M$189*(HLOOKUP(M$198, 'ODS Subs Data'!$A$73:$AH$82, MATCH($B200,'ODS Subs Data'!$A$73:$A$82,0),0)/SUMPRODUCT('ODS Subs Data'!$B$74:$AH$82*('ODS Subs Data'!$B$73:$AH$73='ODS Subs'!M$198)))</f>
        <v>1.3035587516040334E-4</v>
      </c>
      <c r="N200" s="49" cm="1">
        <f t="array" ref="N200">N$189*(HLOOKUP(N$198, 'ODS Subs Data'!$A$73:$AH$82, MATCH($B200,'ODS Subs Data'!$A$73:$A$82,0),0)/SUMPRODUCT('ODS Subs Data'!$B$74:$AH$82*('ODS Subs Data'!$B$73:$AH$73='ODS Subs'!N$198)))</f>
        <v>1.4056436115366929E-4</v>
      </c>
      <c r="O200" s="49" cm="1">
        <f t="array" ref="O200">O$189*(HLOOKUP(O$198, 'ODS Subs Data'!$A$73:$AH$82, MATCH($B200,'ODS Subs Data'!$A$73:$A$82,0),0)/SUMPRODUCT('ODS Subs Data'!$B$74:$AH$82*('ODS Subs Data'!$B$73:$AH$73='ODS Subs'!O$198)))</f>
        <v>1.4714727759435964E-4</v>
      </c>
      <c r="P200" s="1"/>
      <c r="Q200" s="7"/>
      <c r="R200" s="7"/>
      <c r="U200" s="10"/>
      <c r="V200" s="10"/>
      <c r="W200" s="10"/>
      <c r="X200" s="10"/>
      <c r="Y200" s="10"/>
      <c r="Z200" s="10"/>
      <c r="AA200" s="10"/>
      <c r="AB200" s="10"/>
      <c r="AC200" s="285"/>
      <c r="AD200" s="1"/>
      <c r="AE200" s="1"/>
      <c r="AF200" s="11"/>
      <c r="AG200" s="10"/>
      <c r="AH200" s="34"/>
      <c r="AI200" s="34"/>
      <c r="AJ200" s="34"/>
      <c r="AK200" s="34"/>
      <c r="AL200" s="34"/>
      <c r="AM200" s="34"/>
      <c r="AN200" s="34"/>
      <c r="AO200" s="34"/>
      <c r="AP200" s="1"/>
      <c r="AQ200" s="20"/>
      <c r="AR200" s="20"/>
      <c r="AS200" s="7"/>
      <c r="AT200" s="34"/>
      <c r="AU200" s="34"/>
      <c r="AV200" s="34"/>
      <c r="AW200" s="34"/>
      <c r="AX200" s="34"/>
      <c r="AY200" s="34"/>
      <c r="AZ200" s="34"/>
      <c r="BA200" s="34"/>
      <c r="BB200" s="34"/>
      <c r="BC200" s="34"/>
      <c r="BD200" s="34"/>
      <c r="BE200" s="34"/>
      <c r="BF200" s="34"/>
      <c r="BG200" s="34"/>
      <c r="BH200" s="19"/>
    </row>
    <row r="201" spans="1:61">
      <c r="A201" s="1"/>
      <c r="B201" s="127" t="s">
        <v>52</v>
      </c>
      <c r="C201" s="156"/>
      <c r="D201" s="49" cm="1">
        <f t="array" ref="D201">D$189*(HLOOKUP(D$198, 'ODS Subs Data'!$A$73:$AH$82, MATCH($B201,'ODS Subs Data'!$A$73:$A$82,0),0)/SUMPRODUCT('ODS Subs Data'!$B$74:$AH$82*('ODS Subs Data'!$B$73:$AH$73='ODS Subs'!D$198)))</f>
        <v>0</v>
      </c>
      <c r="E201" s="49" cm="1">
        <f t="array" ref="E201">E$189*(HLOOKUP(E$198, 'ODS Subs Data'!$A$73:$AH$82, MATCH($B201,'ODS Subs Data'!$A$73:$A$82,0),0)/SUMPRODUCT('ODS Subs Data'!$B$74:$AH$82*('ODS Subs Data'!$B$73:$AH$73='ODS Subs'!E$198)))</f>
        <v>1.2487035492141749E-3</v>
      </c>
      <c r="F201" s="49" cm="1">
        <f t="array" ref="F201">F$189*(HLOOKUP(F$198, 'ODS Subs Data'!$A$73:$AH$82, MATCH($B201,'ODS Subs Data'!$A$73:$A$82,0),0)/SUMPRODUCT('ODS Subs Data'!$B$74:$AH$82*('ODS Subs Data'!$B$73:$AH$73='ODS Subs'!F$198)))</f>
        <v>2.8895736687361479E-3</v>
      </c>
      <c r="G201" s="49" cm="1">
        <f t="array" ref="G201">G$189*(HLOOKUP(G$198, 'ODS Subs Data'!$A$73:$AH$82, MATCH($B201,'ODS Subs Data'!$A$73:$A$82,0),0)/SUMPRODUCT('ODS Subs Data'!$B$74:$AH$82*('ODS Subs Data'!$B$73:$AH$73='ODS Subs'!G$198)))</f>
        <v>6.8960549972164574E-3</v>
      </c>
      <c r="H201" s="49" cm="1">
        <f t="array" ref="H201">H$189*(HLOOKUP(H$198, 'ODS Subs Data'!$A$73:$AH$82, MATCH($B201,'ODS Subs Data'!$A$73:$A$82,0),0)/SUMPRODUCT('ODS Subs Data'!$B$74:$AH$82*('ODS Subs Data'!$B$73:$AH$73='ODS Subs'!H$198)))</f>
        <v>1.9978445649759438E-2</v>
      </c>
      <c r="I201" s="49" cm="1">
        <f t="array" ref="I201">I$189*(HLOOKUP(I$198, 'ODS Subs Data'!$A$73:$AH$82, MATCH($B201,'ODS Subs Data'!$A$73:$A$82,0),0)/SUMPRODUCT('ODS Subs Data'!$B$74:$AH$82*('ODS Subs Data'!$B$73:$AH$73='ODS Subs'!I$198)))</f>
        <v>2.3178166892608116E-2</v>
      </c>
      <c r="J201" s="49" cm="1">
        <f t="array" ref="J201">J$189*(HLOOKUP(J$198, 'ODS Subs Data'!$A$73:$AH$82, MATCH($B201,'ODS Subs Data'!$A$73:$A$82,0),0)/SUMPRODUCT('ODS Subs Data'!$B$74:$AH$82*('ODS Subs Data'!$B$73:$AH$73='ODS Subs'!J$198)))</f>
        <v>2.6761271542075318E-2</v>
      </c>
      <c r="K201" s="49" cm="1">
        <f t="array" ref="K201">K$189*(HLOOKUP(K$198, 'ODS Subs Data'!$A$73:$AH$82, MATCH($B201,'ODS Subs Data'!$A$73:$A$82,0),0)/SUMPRODUCT('ODS Subs Data'!$B$74:$AH$82*('ODS Subs Data'!$B$73:$AH$73='ODS Subs'!K$198)))</f>
        <v>3.0508233134710006E-2</v>
      </c>
      <c r="L201" s="49" cm="1">
        <f t="array" ref="L201">L$189*(HLOOKUP(L$198, 'ODS Subs Data'!$A$73:$AH$82, MATCH($B201,'ODS Subs Data'!$A$73:$A$82,0),0)/SUMPRODUCT('ODS Subs Data'!$B$74:$AH$82*('ODS Subs Data'!$B$73:$AH$73='ODS Subs'!L$198)))</f>
        <v>3.4141900176733672E-2</v>
      </c>
      <c r="M201" s="49" cm="1">
        <f t="array" ref="M201">M$189*(HLOOKUP(M$198, 'ODS Subs Data'!$A$73:$AH$82, MATCH($B201,'ODS Subs Data'!$A$73:$A$82,0),0)/SUMPRODUCT('ODS Subs Data'!$B$74:$AH$82*('ODS Subs Data'!$B$73:$AH$73='ODS Subs'!M$198)))</f>
        <v>3.5006399859817461E-2</v>
      </c>
      <c r="N201" s="49" cm="1">
        <f t="array" ref="N201">N$189*(HLOOKUP(N$198, 'ODS Subs Data'!$A$73:$AH$82, MATCH($B201,'ODS Subs Data'!$A$73:$A$82,0),0)/SUMPRODUCT('ODS Subs Data'!$B$74:$AH$82*('ODS Subs Data'!$B$73:$AH$73='ODS Subs'!N$198)))</f>
        <v>4.4264069042949328E-2</v>
      </c>
      <c r="O201" s="49" cm="1">
        <f t="array" ref="O201">O$189*(HLOOKUP(O$198, 'ODS Subs Data'!$A$73:$AH$82, MATCH($B201,'ODS Subs Data'!$A$73:$A$82,0),0)/SUMPRODUCT('ODS Subs Data'!$B$74:$AH$82*('ODS Subs Data'!$B$73:$AH$73='ODS Subs'!O$198)))</f>
        <v>4.9874669525202149E-2</v>
      </c>
      <c r="P201" s="7"/>
      <c r="Q201" s="7"/>
      <c r="R201" s="7"/>
      <c r="S201" s="127" t="s">
        <v>54</v>
      </c>
      <c r="T201" s="49">
        <f>INDEX($O$200:$O$208,MATCH(S201,$B$200:$B$208,0))</f>
        <v>0.22843100235635691</v>
      </c>
      <c r="U201" s="14"/>
      <c r="V201" s="14"/>
      <c r="W201" s="14"/>
      <c r="X201" s="14"/>
      <c r="Y201" s="14"/>
      <c r="Z201" s="14"/>
      <c r="AB201" s="14"/>
      <c r="AC201" s="285"/>
      <c r="AD201" s="7"/>
      <c r="AE201" s="7"/>
      <c r="AF201" s="20"/>
      <c r="AG201" s="14"/>
      <c r="AH201" s="20"/>
      <c r="AI201" s="20"/>
      <c r="AJ201" s="20"/>
      <c r="AK201" s="20"/>
      <c r="AL201" s="20"/>
      <c r="AM201" s="20"/>
      <c r="AN201" s="20"/>
      <c r="AO201" s="20"/>
      <c r="AP201" s="1"/>
      <c r="AQ201" s="10"/>
      <c r="AR201" s="10"/>
      <c r="AT201" s="20"/>
      <c r="AU201" s="20"/>
      <c r="AV201" s="20"/>
      <c r="AW201" s="20"/>
      <c r="AX201" s="20"/>
      <c r="AY201" s="7"/>
      <c r="AZ201" s="7"/>
      <c r="BA201" s="7"/>
      <c r="BB201" s="7"/>
      <c r="BC201" s="21"/>
      <c r="BD201" s="7"/>
      <c r="BE201" s="15"/>
    </row>
    <row r="202" spans="1:61">
      <c r="A202" s="1"/>
      <c r="B202" s="127" t="s">
        <v>53</v>
      </c>
      <c r="C202" s="156"/>
      <c r="D202" s="49" cm="1">
        <f t="array" ref="D202">D$189*(HLOOKUP(D$198, 'ODS Subs Data'!$A$73:$AH$82, MATCH($B202,'ODS Subs Data'!$A$73:$A$82,0),0)/SUMPRODUCT('ODS Subs Data'!$B$74:$AH$82*('ODS Subs Data'!$B$73:$AH$73='ODS Subs'!D$198)))</f>
        <v>6.4312862263492414E-7</v>
      </c>
      <c r="E202" s="49" cm="1">
        <f t="array" ref="E202">E$189*(HLOOKUP(E$198, 'ODS Subs Data'!$A$73:$AH$82, MATCH($B202,'ODS Subs Data'!$A$73:$A$82,0),0)/SUMPRODUCT('ODS Subs Data'!$B$74:$AH$82*('ODS Subs Data'!$B$73:$AH$73='ODS Subs'!E$198)))</f>
        <v>3.7973833092897376E-2</v>
      </c>
      <c r="F202" s="49" cm="1">
        <f t="array" ref="F202">F$189*(HLOOKUP(F$198, 'ODS Subs Data'!$A$73:$AH$82, MATCH($B202,'ODS Subs Data'!$A$73:$A$82,0),0)/SUMPRODUCT('ODS Subs Data'!$B$74:$AH$82*('ODS Subs Data'!$B$73:$AH$73='ODS Subs'!F$198)))</f>
        <v>6.0064102955432637E-2</v>
      </c>
      <c r="G202" s="49" cm="1">
        <f t="array" ref="G202">G$189*(HLOOKUP(G$198, 'ODS Subs Data'!$A$73:$AH$82, MATCH($B202,'ODS Subs Data'!$A$73:$A$82,0),0)/SUMPRODUCT('ODS Subs Data'!$B$74:$AH$82*('ODS Subs Data'!$B$73:$AH$73='ODS Subs'!G$198)))</f>
        <v>0.10730434373513333</v>
      </c>
      <c r="H202" s="49" cm="1">
        <f t="array" ref="H202">H$189*(HLOOKUP(H$198, 'ODS Subs Data'!$A$73:$AH$82, MATCH($B202,'ODS Subs Data'!$A$73:$A$82,0),0)/SUMPRODUCT('ODS Subs Data'!$B$74:$AH$82*('ODS Subs Data'!$B$73:$AH$73='ODS Subs'!H$198)))</f>
        <v>0.1978145233796279</v>
      </c>
      <c r="I202" s="49" cm="1">
        <f t="array" ref="I202">I$189*(HLOOKUP(I$198, 'ODS Subs Data'!$A$73:$AH$82, MATCH($B202,'ODS Subs Data'!$A$73:$A$82,0),0)/SUMPRODUCT('ODS Subs Data'!$B$74:$AH$82*('ODS Subs Data'!$B$73:$AH$73='ODS Subs'!I$198)))</f>
        <v>0.21327186590700706</v>
      </c>
      <c r="J202" s="49" cm="1">
        <f t="array" ref="J202">J$189*(HLOOKUP(J$198, 'ODS Subs Data'!$A$73:$AH$82, MATCH($B202,'ODS Subs Data'!$A$73:$A$82,0),0)/SUMPRODUCT('ODS Subs Data'!$B$74:$AH$82*('ODS Subs Data'!$B$73:$AH$73='ODS Subs'!J$198)))</f>
        <v>0.22809029326482022</v>
      </c>
      <c r="K202" s="49" cm="1">
        <f t="array" ref="K202">K$189*(HLOOKUP(K$198, 'ODS Subs Data'!$A$73:$AH$82, MATCH($B202,'ODS Subs Data'!$A$73:$A$82,0),0)/SUMPRODUCT('ODS Subs Data'!$B$74:$AH$82*('ODS Subs Data'!$B$73:$AH$73='ODS Subs'!K$198)))</f>
        <v>0.24432730299040856</v>
      </c>
      <c r="L202" s="49" cm="1">
        <f t="array" ref="L202">L$189*(HLOOKUP(L$198, 'ODS Subs Data'!$A$73:$AH$82, MATCH($B202,'ODS Subs Data'!$A$73:$A$82,0),0)/SUMPRODUCT('ODS Subs Data'!$B$74:$AH$82*('ODS Subs Data'!$B$73:$AH$73='ODS Subs'!L$198)))</f>
        <v>0.26384205386240783</v>
      </c>
      <c r="M202" s="49" cm="1">
        <f t="array" ref="M202">M$189*(HLOOKUP(M$198, 'ODS Subs Data'!$A$73:$AH$82, MATCH($B202,'ODS Subs Data'!$A$73:$A$82,0),0)/SUMPRODUCT('ODS Subs Data'!$B$74:$AH$82*('ODS Subs Data'!$B$73:$AH$73='ODS Subs'!M$198)))</f>
        <v>0.26087832983775777</v>
      </c>
      <c r="N202" s="49" cm="1">
        <f t="array" ref="N202">N$189*(HLOOKUP(N$198, 'ODS Subs Data'!$A$73:$AH$82, MATCH($B202,'ODS Subs Data'!$A$73:$A$82,0),0)/SUMPRODUCT('ODS Subs Data'!$B$74:$AH$82*('ODS Subs Data'!$B$73:$AH$73='ODS Subs'!N$198)))</f>
        <v>0.31047077602364759</v>
      </c>
      <c r="O202" s="49" cm="1">
        <f t="array" ref="O202">O$189*(HLOOKUP(O$198, 'ODS Subs Data'!$A$73:$AH$82, MATCH($B202,'ODS Subs Data'!$A$73:$A$82,0),0)/SUMPRODUCT('ODS Subs Data'!$B$74:$AH$82*('ODS Subs Data'!$B$73:$AH$73='ODS Subs'!O$198)))</f>
        <v>0.34025860668278146</v>
      </c>
      <c r="P202" s="7"/>
      <c r="Q202" s="7"/>
      <c r="R202" s="7"/>
      <c r="S202" s="127" t="s">
        <v>53</v>
      </c>
      <c r="T202" s="49">
        <f t="shared" ref="T202:T206" si="348">INDEX($O$200:$O$208,MATCH(S202,$B$200:$B$208,0))</f>
        <v>0.34025860668278146</v>
      </c>
      <c r="U202" s="14"/>
      <c r="V202" s="14"/>
      <c r="W202" s="14"/>
      <c r="X202" s="14"/>
      <c r="Y202" s="14"/>
      <c r="Z202" s="14"/>
      <c r="AA202" s="14"/>
      <c r="AB202" s="14"/>
      <c r="AC202" s="285"/>
      <c r="AD202" s="7"/>
      <c r="AE202" s="7"/>
      <c r="AF202" s="20"/>
      <c r="AG202" s="14"/>
      <c r="AH202" s="20"/>
      <c r="AI202" s="20"/>
      <c r="AJ202" s="20"/>
      <c r="AK202" s="20"/>
      <c r="AL202" s="20"/>
      <c r="AM202" s="20"/>
      <c r="AN202" s="20"/>
      <c r="AO202" s="20"/>
      <c r="AP202" s="1"/>
      <c r="AQ202" s="11"/>
      <c r="AR202" s="11"/>
      <c r="AT202" s="20"/>
      <c r="AU202" s="20"/>
      <c r="AV202" s="20"/>
      <c r="AW202" s="20"/>
      <c r="AX202" s="20"/>
      <c r="AY202" s="7"/>
      <c r="AZ202" s="7"/>
      <c r="BA202" s="7"/>
      <c r="BB202" s="7"/>
      <c r="BC202" s="21"/>
      <c r="BD202" s="7"/>
      <c r="BE202" s="15"/>
    </row>
    <row r="203" spans="1:61">
      <c r="A203" s="1"/>
      <c r="B203" s="127" t="s">
        <v>54</v>
      </c>
      <c r="C203" s="156"/>
      <c r="D203" s="49" cm="1">
        <f t="array" ref="D203">D$189*(HLOOKUP(D$198, 'ODS Subs Data'!$A$73:$AH$82, MATCH($B203,'ODS Subs Data'!$A$73:$A$82,0),0)/SUMPRODUCT('ODS Subs Data'!$B$74:$AH$82*('ODS Subs Data'!$B$73:$AH$73='ODS Subs'!D$198)))</f>
        <v>2.3976690835256695E-8</v>
      </c>
      <c r="E203" s="49" cm="1">
        <f t="array" ref="E203">E$189*(HLOOKUP(E$198, 'ODS Subs Data'!$A$73:$AH$82, MATCH($B203,'ODS Subs Data'!$A$73:$A$82,0),0)/SUMPRODUCT('ODS Subs Data'!$B$74:$AH$82*('ODS Subs Data'!$B$73:$AH$73='ODS Subs'!E$198)))</f>
        <v>0.33813368819335021</v>
      </c>
      <c r="F203" s="49" cm="1">
        <f t="array" ref="F203">F$189*(HLOOKUP(F$198, 'ODS Subs Data'!$A$73:$AH$82, MATCH($B203,'ODS Subs Data'!$A$73:$A$82,0),0)/SUMPRODUCT('ODS Subs Data'!$B$74:$AH$82*('ODS Subs Data'!$B$73:$AH$73='ODS Subs'!F$198)))</f>
        <v>0.35356151509661082</v>
      </c>
      <c r="G203" s="49" cm="1">
        <f t="array" ref="G203">G$189*(HLOOKUP(G$198, 'ODS Subs Data'!$A$73:$AH$82, MATCH($B203,'ODS Subs Data'!$A$73:$A$82,0),0)/SUMPRODUCT('ODS Subs Data'!$B$74:$AH$82*('ODS Subs Data'!$B$73:$AH$73='ODS Subs'!G$198)))</f>
        <v>0.3794932319937116</v>
      </c>
      <c r="H203" s="49" cm="1">
        <f t="array" ref="H203">H$189*(HLOOKUP(H$198, 'ODS Subs Data'!$A$73:$AH$82, MATCH($B203,'ODS Subs Data'!$A$73:$A$82,0),0)/SUMPRODUCT('ODS Subs Data'!$B$74:$AH$82*('ODS Subs Data'!$B$73:$AH$73='ODS Subs'!H$198)))</f>
        <v>0.33379216670996431</v>
      </c>
      <c r="I203" s="49" cm="1">
        <f t="array" ref="I203">I$189*(HLOOKUP(I$198, 'ODS Subs Data'!$A$73:$AH$82, MATCH($B203,'ODS Subs Data'!$A$73:$A$82,0),0)/SUMPRODUCT('ODS Subs Data'!$B$74:$AH$82*('ODS Subs Data'!$B$73:$AH$73='ODS Subs'!I$198)))</f>
        <v>0.31423186605126369</v>
      </c>
      <c r="J203" s="49" cm="1">
        <f t="array" ref="J203">J$189*(HLOOKUP(J$198, 'ODS Subs Data'!$A$73:$AH$82, MATCH($B203,'ODS Subs Data'!$A$73:$A$82,0),0)/SUMPRODUCT('ODS Subs Data'!$B$74:$AH$82*('ODS Subs Data'!$B$73:$AH$73='ODS Subs'!J$198)))</f>
        <v>0.29461460605051148</v>
      </c>
      <c r="K203" s="49" cm="1">
        <f t="array" ref="K203">K$189*(HLOOKUP(K$198, 'ODS Subs Data'!$A$73:$AH$82, MATCH($B203,'ODS Subs Data'!$A$73:$A$82,0),0)/SUMPRODUCT('ODS Subs Data'!$B$74:$AH$82*('ODS Subs Data'!$B$73:$AH$73='ODS Subs'!K$198)))</f>
        <v>0.28238807719200421</v>
      </c>
      <c r="L203" s="49" cm="1">
        <f t="array" ref="L203">L$189*(HLOOKUP(L$198, 'ODS Subs Data'!$A$73:$AH$82, MATCH($B203,'ODS Subs Data'!$A$73:$A$82,0),0)/SUMPRODUCT('ODS Subs Data'!$B$74:$AH$82*('ODS Subs Data'!$B$73:$AH$73='ODS Subs'!L$198)))</f>
        <v>0.27474192638552519</v>
      </c>
      <c r="M203" s="49" cm="1">
        <f t="array" ref="M203">M$189*(HLOOKUP(M$198, 'ODS Subs Data'!$A$73:$AH$82, MATCH($B203,'ODS Subs Data'!$A$73:$A$82,0),0)/SUMPRODUCT('ODS Subs Data'!$B$74:$AH$82*('ODS Subs Data'!$B$73:$AH$73='ODS Subs'!M$198)))</f>
        <v>0.24393867881308828</v>
      </c>
      <c r="N203" s="49" cm="1">
        <f t="array" ref="N203">N$189*(HLOOKUP(N$198, 'ODS Subs Data'!$A$73:$AH$82, MATCH($B203,'ODS Subs Data'!$A$73:$A$82,0),0)/SUMPRODUCT('ODS Subs Data'!$B$74:$AH$82*('ODS Subs Data'!$B$73:$AH$73='ODS Subs'!N$198)))</f>
        <v>0.23412462287450603</v>
      </c>
      <c r="O203" s="49" cm="1">
        <f t="array" ref="O203">O$189*(HLOOKUP(O$198, 'ODS Subs Data'!$A$73:$AH$82, MATCH($B203,'ODS Subs Data'!$A$73:$A$82,0),0)/SUMPRODUCT('ODS Subs Data'!$B$74:$AH$82*('ODS Subs Data'!$B$73:$AH$73='ODS Subs'!O$198)))</f>
        <v>0.22843100235635691</v>
      </c>
      <c r="P203" s="7"/>
      <c r="Q203" s="7"/>
      <c r="R203" s="7"/>
      <c r="S203" s="127" t="s">
        <v>55</v>
      </c>
      <c r="T203" s="49">
        <f t="shared" si="348"/>
        <v>0.14077387040754646</v>
      </c>
      <c r="U203" s="14"/>
      <c r="V203" s="14"/>
      <c r="W203" s="14"/>
      <c r="X203" s="14"/>
      <c r="Y203" s="14"/>
      <c r="Z203" s="14"/>
      <c r="AA203" s="14"/>
      <c r="AB203" s="14"/>
      <c r="AC203" s="285"/>
      <c r="AD203" s="7"/>
      <c r="AE203" s="7"/>
      <c r="AF203" s="20"/>
      <c r="AG203" s="14"/>
      <c r="AH203" s="10"/>
      <c r="AI203" s="10"/>
      <c r="AJ203" s="10"/>
      <c r="AK203" s="10"/>
      <c r="AL203" s="10"/>
      <c r="AM203" s="10"/>
      <c r="AN203" s="10"/>
      <c r="AO203" s="10"/>
      <c r="AP203" s="1"/>
      <c r="AQ203" s="11"/>
      <c r="AR203" s="11"/>
      <c r="AT203" s="10"/>
      <c r="AU203" s="10"/>
      <c r="AV203" s="10"/>
      <c r="AW203" s="10"/>
    </row>
    <row r="204" spans="1:61">
      <c r="A204" s="1"/>
      <c r="B204" s="127" t="s">
        <v>55</v>
      </c>
      <c r="C204" s="156"/>
      <c r="D204" s="49" cm="1">
        <f t="array" ref="D204">D$189*(HLOOKUP(D$198, 'ODS Subs Data'!$A$73:$AH$82, MATCH($B204,'ODS Subs Data'!$A$73:$A$82,0),0)/SUMPRODUCT('ODS Subs Data'!$B$74:$AH$82*('ODS Subs Data'!$B$73:$AH$73='ODS Subs'!D$198)))</f>
        <v>1.1508811600923218E-6</v>
      </c>
      <c r="E204" s="49" cm="1">
        <f t="array" ref="E204">E$189*(HLOOKUP(E$198, 'ODS Subs Data'!$A$73:$AH$82, MATCH($B204,'ODS Subs Data'!$A$73:$A$82,0),0)/SUMPRODUCT('ODS Subs Data'!$B$74:$AH$82*('ODS Subs Data'!$B$73:$AH$73='ODS Subs'!E$198)))</f>
        <v>4.6641456851385203E-2</v>
      </c>
      <c r="F204" s="49" cm="1">
        <f t="array" ref="F204">F$189*(HLOOKUP(F$198, 'ODS Subs Data'!$A$73:$AH$82, MATCH($B204,'ODS Subs Data'!$A$73:$A$82,0),0)/SUMPRODUCT('ODS Subs Data'!$B$74:$AH$82*('ODS Subs Data'!$B$73:$AH$73='ODS Subs'!F$198)))</f>
        <v>6.4768493506600272E-2</v>
      </c>
      <c r="G204" s="49" cm="1">
        <f t="array" ref="G204">G$189*(HLOOKUP(G$198, 'ODS Subs Data'!$A$73:$AH$82, MATCH($B204,'ODS Subs Data'!$A$73:$A$82,0),0)/SUMPRODUCT('ODS Subs Data'!$B$74:$AH$82*('ODS Subs Data'!$B$73:$AH$73='ODS Subs'!G$198)))</f>
        <v>0.10168044520259392</v>
      </c>
      <c r="H204" s="49" cm="1">
        <f t="array" ref="H204">H$189*(HLOOKUP(H$198, 'ODS Subs Data'!$A$73:$AH$82, MATCH($B204,'ODS Subs Data'!$A$73:$A$82,0),0)/SUMPRODUCT('ODS Subs Data'!$B$74:$AH$82*('ODS Subs Data'!$B$73:$AH$73='ODS Subs'!H$198)))</f>
        <v>0.14877657531570188</v>
      </c>
      <c r="I204" s="49" cm="1">
        <f t="array" ref="I204">I$189*(HLOOKUP(I$198, 'ODS Subs Data'!$A$73:$AH$82, MATCH($B204,'ODS Subs Data'!$A$73:$A$82,0),0)/SUMPRODUCT('ODS Subs Data'!$B$74:$AH$82*('ODS Subs Data'!$B$73:$AH$73='ODS Subs'!I$198)))</f>
        <v>0.15169534777486179</v>
      </c>
      <c r="J204" s="49" cm="1">
        <f t="array" ref="J204">J$189*(HLOOKUP(J$198, 'ODS Subs Data'!$A$73:$AH$82, MATCH($B204,'ODS Subs Data'!$A$73:$A$82,0),0)/SUMPRODUCT('ODS Subs Data'!$B$74:$AH$82*('ODS Subs Data'!$B$73:$AH$73='ODS Subs'!J$198)))</f>
        <v>0.15055022721935835</v>
      </c>
      <c r="K204" s="49" cm="1">
        <f t="array" ref="K204">K$189*(HLOOKUP(K$198, 'ODS Subs Data'!$A$73:$AH$82, MATCH($B204,'ODS Subs Data'!$A$73:$A$82,0),0)/SUMPRODUCT('ODS Subs Data'!$B$74:$AH$82*('ODS Subs Data'!$B$73:$AH$73='ODS Subs'!K$198)))</f>
        <v>0.14860783116661774</v>
      </c>
      <c r="L204" s="49" cm="1">
        <f t="array" ref="L204">L$189*(HLOOKUP(L$198, 'ODS Subs Data'!$A$73:$AH$82, MATCH($B204,'ODS Subs Data'!$A$73:$A$82,0),0)/SUMPRODUCT('ODS Subs Data'!$B$74:$AH$82*('ODS Subs Data'!$B$73:$AH$73='ODS Subs'!L$198)))</f>
        <v>0.14848843354542945</v>
      </c>
      <c r="M204" s="49" cm="1">
        <f t="array" ref="M204">M$189*(HLOOKUP(M$198, 'ODS Subs Data'!$A$73:$AH$82, MATCH($B204,'ODS Subs Data'!$A$73:$A$82,0),0)/SUMPRODUCT('ODS Subs Data'!$B$74:$AH$82*('ODS Subs Data'!$B$73:$AH$73='ODS Subs'!M$198)))</f>
        <v>0.13500087567566496</v>
      </c>
      <c r="N204" s="49" cm="1">
        <f t="array" ref="N204">N$189*(HLOOKUP(N$198, 'ODS Subs Data'!$A$73:$AH$82, MATCH($B204,'ODS Subs Data'!$A$73:$A$82,0),0)/SUMPRODUCT('ODS Subs Data'!$B$74:$AH$82*('ODS Subs Data'!$B$73:$AH$73='ODS Subs'!N$198)))</f>
        <v>0.14029716070695608</v>
      </c>
      <c r="O204" s="49" cm="1">
        <f t="array" ref="O204">O$189*(HLOOKUP(O$198, 'ODS Subs Data'!$A$73:$AH$82, MATCH($B204,'ODS Subs Data'!$A$73:$A$82,0),0)/SUMPRODUCT('ODS Subs Data'!$B$74:$AH$82*('ODS Subs Data'!$B$73:$AH$73='ODS Subs'!O$198)))</f>
        <v>0.14077387040754646</v>
      </c>
      <c r="P204" s="7"/>
      <c r="Q204" s="7"/>
      <c r="R204" s="7"/>
      <c r="S204" s="127" t="s">
        <v>58</v>
      </c>
      <c r="T204" s="49">
        <f t="shared" si="348"/>
        <v>7.979685874198128E-2</v>
      </c>
      <c r="U204" s="14"/>
      <c r="V204" s="14"/>
      <c r="W204" s="14"/>
      <c r="X204" s="14"/>
      <c r="Y204" s="14"/>
      <c r="Z204" s="14"/>
      <c r="AA204" s="14"/>
      <c r="AB204" s="14"/>
      <c r="AC204" s="285"/>
      <c r="AD204" s="7"/>
      <c r="AE204" s="7"/>
      <c r="AF204" s="20"/>
      <c r="AG204" s="14"/>
      <c r="AH204" s="20"/>
      <c r="AI204" s="20"/>
      <c r="AJ204" s="20"/>
      <c r="AK204" s="20"/>
      <c r="AL204" s="20"/>
      <c r="AM204" s="20"/>
      <c r="AN204" s="20"/>
      <c r="AO204" s="20"/>
      <c r="AP204" s="34"/>
      <c r="AQ204" s="36"/>
      <c r="AR204" s="36"/>
      <c r="AS204" s="34"/>
      <c r="AT204" s="20"/>
      <c r="AU204" s="20"/>
      <c r="AV204" s="20"/>
      <c r="AW204" s="20"/>
      <c r="AX204" s="20"/>
      <c r="AY204" s="7"/>
      <c r="AZ204" s="7"/>
      <c r="BA204" s="7"/>
      <c r="BB204" s="7"/>
      <c r="BC204" s="21"/>
      <c r="BD204" s="7"/>
      <c r="BE204" s="15"/>
    </row>
    <row r="205" spans="1:61">
      <c r="A205" s="1"/>
      <c r="B205" s="127" t="s">
        <v>56</v>
      </c>
      <c r="C205" s="156"/>
      <c r="D205" s="49" cm="1">
        <f t="array" ref="D205">D$189*(HLOOKUP(D$198, 'ODS Subs Data'!$A$73:$AH$82, MATCH($B205,'ODS Subs Data'!$A$73:$A$82,0),0)/SUMPRODUCT('ODS Subs Data'!$B$74:$AH$82*('ODS Subs Data'!$B$73:$AH$73='ODS Subs'!D$198)))</f>
        <v>0</v>
      </c>
      <c r="E205" s="49" cm="1">
        <f t="array" ref="E205">E$189*(HLOOKUP(E$198, 'ODS Subs Data'!$A$73:$AH$82, MATCH($B205,'ODS Subs Data'!$A$73:$A$82,0),0)/SUMPRODUCT('ODS Subs Data'!$B$74:$AH$82*('ODS Subs Data'!$B$73:$AH$73='ODS Subs'!E$198)))</f>
        <v>4.753423869461774E-3</v>
      </c>
      <c r="F205" s="49" cm="1">
        <f t="array" ref="F205">F$189*(HLOOKUP(F$198, 'ODS Subs Data'!$A$73:$AH$82, MATCH($B205,'ODS Subs Data'!$A$73:$A$82,0),0)/SUMPRODUCT('ODS Subs Data'!$B$74:$AH$82*('ODS Subs Data'!$B$73:$AH$73='ODS Subs'!F$198)))</f>
        <v>4.9371314812687783E-3</v>
      </c>
      <c r="G205" s="49" cm="1">
        <f t="array" ref="G205">G$189*(HLOOKUP(G$198, 'ODS Subs Data'!$A$73:$AH$82, MATCH($B205,'ODS Subs Data'!$A$73:$A$82,0),0)/SUMPRODUCT('ODS Subs Data'!$B$74:$AH$82*('ODS Subs Data'!$B$73:$AH$73='ODS Subs'!G$198)))</f>
        <v>5.1312082110664412E-3</v>
      </c>
      <c r="H205" s="49" cm="1">
        <f t="array" ref="H205">H$189*(HLOOKUP(H$198, 'ODS Subs Data'!$A$73:$AH$82, MATCH($B205,'ODS Subs Data'!$A$73:$A$82,0),0)/SUMPRODUCT('ODS Subs Data'!$B$74:$AH$82*('ODS Subs Data'!$B$73:$AH$73='ODS Subs'!H$198)))</f>
        <v>4.9797297907315458E-3</v>
      </c>
      <c r="I205" s="49" cm="1">
        <f t="array" ref="I205">I$189*(HLOOKUP(I$198, 'ODS Subs Data'!$A$73:$AH$82, MATCH($B205,'ODS Subs Data'!$A$73:$A$82,0),0)/SUMPRODUCT('ODS Subs Data'!$B$74:$AH$82*('ODS Subs Data'!$B$73:$AH$73='ODS Subs'!I$198)))</f>
        <v>4.6479693562420325E-3</v>
      </c>
      <c r="J205" s="49" cm="1">
        <f t="array" ref="J205">J$189*(HLOOKUP(J$198, 'ODS Subs Data'!$A$73:$AH$82, MATCH($B205,'ODS Subs Data'!$A$73:$A$82,0),0)/SUMPRODUCT('ODS Subs Data'!$B$74:$AH$82*('ODS Subs Data'!$B$73:$AH$73='ODS Subs'!J$198)))</f>
        <v>4.3377591830841521E-3</v>
      </c>
      <c r="K205" s="49" cm="1">
        <f t="array" ref="K205">K$189*(HLOOKUP(K$198, 'ODS Subs Data'!$A$73:$AH$82, MATCH($B205,'ODS Subs Data'!$A$73:$A$82,0),0)/SUMPRODUCT('ODS Subs Data'!$B$74:$AH$82*('ODS Subs Data'!$B$73:$AH$73='ODS Subs'!K$198)))</f>
        <v>3.989571989395869E-3</v>
      </c>
      <c r="L205" s="49" cm="1">
        <f t="array" ref="L205">L$189*(HLOOKUP(L$198, 'ODS Subs Data'!$A$73:$AH$82, MATCH($B205,'ODS Subs Data'!$A$73:$A$82,0),0)/SUMPRODUCT('ODS Subs Data'!$B$74:$AH$82*('ODS Subs Data'!$B$73:$AH$73='ODS Subs'!L$198)))</f>
        <v>3.6478772382818134E-3</v>
      </c>
      <c r="M205" s="49" cm="1">
        <f t="array" ref="M205">M$189*(HLOOKUP(M$198, 'ODS Subs Data'!$A$73:$AH$82, MATCH($B205,'ODS Subs Data'!$A$73:$A$82,0),0)/SUMPRODUCT('ODS Subs Data'!$B$74:$AH$82*('ODS Subs Data'!$B$73:$AH$73='ODS Subs'!M$198)))</f>
        <v>3.0594188219781444E-3</v>
      </c>
      <c r="N205" s="49" cm="1">
        <f t="array" ref="N205">N$189*(HLOOKUP(N$198, 'ODS Subs Data'!$A$73:$AH$82, MATCH($B205,'ODS Subs Data'!$A$73:$A$82,0),0)/SUMPRODUCT('ODS Subs Data'!$B$74:$AH$82*('ODS Subs Data'!$B$73:$AH$73='ODS Subs'!N$198)))</f>
        <v>2.9403508637690272E-3</v>
      </c>
      <c r="O205" s="49" cm="1">
        <f t="array" ref="O205">O$189*(HLOOKUP(O$198, 'ODS Subs Data'!$A$73:$AH$82, MATCH($B205,'ODS Subs Data'!$A$73:$A$82,0),0)/SUMPRODUCT('ODS Subs Data'!$B$74:$AH$82*('ODS Subs Data'!$B$73:$AH$73='ODS Subs'!O$198)))</f>
        <v>2.7592459525477798E-3</v>
      </c>
      <c r="P205" s="7"/>
      <c r="Q205" s="7"/>
      <c r="R205" s="7"/>
      <c r="S205" s="127" t="s">
        <v>52</v>
      </c>
      <c r="T205" s="49">
        <f t="shared" si="348"/>
        <v>4.9874669525202149E-2</v>
      </c>
      <c r="U205" s="14"/>
      <c r="V205" s="14"/>
      <c r="W205" s="14"/>
      <c r="X205" s="14"/>
      <c r="Y205" s="14"/>
      <c r="Z205" s="14"/>
      <c r="AA205" s="14"/>
      <c r="AB205" s="14"/>
      <c r="AC205" s="285"/>
      <c r="AD205" s="7"/>
      <c r="AE205" s="7"/>
      <c r="AF205" s="20"/>
      <c r="AG205" s="14"/>
      <c r="AH205" s="20"/>
      <c r="AI205" s="20"/>
      <c r="AJ205" s="20"/>
      <c r="AK205" s="20"/>
      <c r="AL205" s="20"/>
      <c r="AM205" s="20"/>
      <c r="AN205" s="20"/>
      <c r="AO205" s="20"/>
      <c r="AP205" s="7"/>
      <c r="AQ205" s="37"/>
      <c r="AR205" s="37"/>
      <c r="AS205" s="7"/>
      <c r="AT205" s="20"/>
      <c r="AU205" s="20"/>
      <c r="AV205" s="20"/>
      <c r="AW205" s="20"/>
      <c r="AX205" s="20"/>
      <c r="AY205" s="7"/>
      <c r="AZ205" s="7"/>
      <c r="BA205" s="7"/>
      <c r="BB205" s="7"/>
      <c r="BC205" s="21"/>
      <c r="BD205" s="7"/>
      <c r="BE205" s="15"/>
    </row>
    <row r="206" spans="1:61" ht="13.5">
      <c r="A206" s="1"/>
      <c r="B206" s="127" t="s">
        <v>132</v>
      </c>
      <c r="C206" s="156"/>
      <c r="D206" s="49" cm="1">
        <f t="array" ref="D206">D$189*(HLOOKUP(D$198, 'ODS Subs Data'!$A$73:$AH$82, MATCH($B206,'ODS Subs Data'!$A$73:$A$82,0),0)/SUMPRODUCT('ODS Subs Data'!$B$74:$AH$82*('ODS Subs Data'!$B$73:$AH$73='ODS Subs'!D$198)))</f>
        <v>0</v>
      </c>
      <c r="E206" s="49" cm="1">
        <f t="array" ref="E206">E$189*(HLOOKUP(E$198, 'ODS Subs Data'!$A$73:$AH$82, MATCH($B206,'ODS Subs Data'!$A$73:$A$82,0),0)/SUMPRODUCT('ODS Subs Data'!$B$74:$AH$82*('ODS Subs Data'!$B$73:$AH$73='ODS Subs'!E$198)))</f>
        <v>9.7739550514062539E-5</v>
      </c>
      <c r="F206" s="49" cm="1">
        <f t="array" ref="F206">F$189*(HLOOKUP(F$198, 'ODS Subs Data'!$A$73:$AH$82, MATCH($B206,'ODS Subs Data'!$A$73:$A$82,0),0)/SUMPRODUCT('ODS Subs Data'!$B$74:$AH$82*('ODS Subs Data'!$B$73:$AH$73='ODS Subs'!F$198)))</f>
        <v>1.0327539664846639E-4</v>
      </c>
      <c r="G206" s="49" cm="1">
        <f t="array" ref="G206">G$189*(HLOOKUP(G$198, 'ODS Subs Data'!$A$73:$AH$82, MATCH($B206,'ODS Subs Data'!$A$73:$A$82,0),0)/SUMPRODUCT('ODS Subs Data'!$B$74:$AH$82*('ODS Subs Data'!$B$73:$AH$73='ODS Subs'!G$198)))</f>
        <v>1.1433608384616159E-4</v>
      </c>
      <c r="H206" s="49" cm="1">
        <f t="array" ref="H206">H$189*(HLOOKUP(H$198, 'ODS Subs Data'!$A$73:$AH$82, MATCH($B206,'ODS Subs Data'!$A$73:$A$82,0),0)/SUMPRODUCT('ODS Subs Data'!$B$74:$AH$82*('ODS Subs Data'!$B$73:$AH$73='ODS Subs'!H$198)))</f>
        <v>1.4196270272143254E-4</v>
      </c>
      <c r="I206" s="49" cm="1">
        <f t="array" ref="I206">I$189*(HLOOKUP(I$198, 'ODS Subs Data'!$A$73:$AH$82, MATCH($B206,'ODS Subs Data'!$A$73:$A$82,0),0)/SUMPRODUCT('ODS Subs Data'!$B$74:$AH$82*('ODS Subs Data'!$B$73:$AH$73='ODS Subs'!I$198)))</f>
        <v>1.4574537860875749E-4</v>
      </c>
      <c r="J206" s="49" cm="1">
        <f t="array" ref="J206">J$189*(HLOOKUP(J$198, 'ODS Subs Data'!$A$73:$AH$82, MATCH($B206,'ODS Subs Data'!$A$73:$A$82,0),0)/SUMPRODUCT('ODS Subs Data'!$B$74:$AH$82*('ODS Subs Data'!$B$73:$AH$73='ODS Subs'!J$198)))</f>
        <v>1.5030806356048992E-4</v>
      </c>
      <c r="K206" s="49" cm="1">
        <f t="array" ref="K206">K$189*(HLOOKUP(K$198, 'ODS Subs Data'!$A$73:$AH$82, MATCH($B206,'ODS Subs Data'!$A$73:$A$82,0),0)/SUMPRODUCT('ODS Subs Data'!$B$74:$AH$82*('ODS Subs Data'!$B$73:$AH$73='ODS Subs'!K$198)))</f>
        <v>1.5468712944584782E-4</v>
      </c>
      <c r="L206" s="49" cm="1">
        <f t="array" ref="L206">L$189*(HLOOKUP(L$198, 'ODS Subs Data'!$A$73:$AH$82, MATCH($B206,'ODS Subs Data'!$A$73:$A$82,0),0)/SUMPRODUCT('ODS Subs Data'!$B$74:$AH$82*('ODS Subs Data'!$B$73:$AH$73='ODS Subs'!L$198)))</f>
        <v>1.5815266449212062E-4</v>
      </c>
      <c r="M206" s="49" cm="1">
        <f t="array" ref="M206">M$189*(HLOOKUP(M$198, 'ODS Subs Data'!$A$73:$AH$82, MATCH($B206,'ODS Subs Data'!$A$73:$A$82,0),0)/SUMPRODUCT('ODS Subs Data'!$B$74:$AH$82*('ODS Subs Data'!$B$73:$AH$73='ODS Subs'!M$198)))</f>
        <v>1.3353364928448528E-4</v>
      </c>
      <c r="N206" s="49" cm="1">
        <f t="array" ref="N206">N$189*(HLOOKUP(N$198, 'ODS Subs Data'!$A$73:$AH$82, MATCH($B206,'ODS Subs Data'!$A$73:$A$82,0),0)/SUMPRODUCT('ODS Subs Data'!$B$74:$AH$82*('ODS Subs Data'!$B$73:$AH$73='ODS Subs'!N$198)))</f>
        <v>1.2777862536417805E-4</v>
      </c>
      <c r="O206" s="49" cm="1">
        <f t="array" ref="O206">O$189*(HLOOKUP(O$198, 'ODS Subs Data'!$A$73:$AH$82, MATCH($B206,'ODS Subs Data'!$A$73:$A$82,0),0)/SUMPRODUCT('ODS Subs Data'!$B$74:$AH$82*('ODS Subs Data'!$B$73:$AH$73='ODS Subs'!O$198)))</f>
        <v>1.1766969332320941E-4</v>
      </c>
      <c r="P206" s="7"/>
      <c r="Q206" s="7"/>
      <c r="R206" s="7"/>
      <c r="S206" s="127" t="s">
        <v>56</v>
      </c>
      <c r="T206" s="49">
        <f t="shared" si="348"/>
        <v>2.7592459525477798E-3</v>
      </c>
      <c r="U206" s="14"/>
      <c r="V206" s="14"/>
      <c r="W206" s="14"/>
      <c r="X206" s="14"/>
      <c r="Y206" s="14"/>
      <c r="Z206" s="14"/>
      <c r="AA206" s="14"/>
      <c r="AB206" s="14"/>
      <c r="AC206" s="285"/>
      <c r="AD206" s="7"/>
      <c r="AE206" s="7"/>
      <c r="AF206" s="20"/>
      <c r="AG206" s="14"/>
      <c r="AH206" s="10"/>
      <c r="AI206" s="10"/>
      <c r="AJ206" s="10"/>
      <c r="AK206" s="10"/>
      <c r="AL206" s="10"/>
      <c r="AM206" s="10"/>
      <c r="AN206" s="10"/>
      <c r="AO206" s="10"/>
      <c r="AP206" s="7"/>
      <c r="AQ206" s="37"/>
      <c r="AR206" s="37"/>
      <c r="AS206" s="7"/>
      <c r="AT206" s="10"/>
      <c r="AU206" s="10"/>
      <c r="AV206" s="10"/>
      <c r="AW206" s="10"/>
    </row>
    <row r="207" spans="1:61" ht="14.25">
      <c r="A207" s="1"/>
      <c r="B207" s="127" t="s">
        <v>183</v>
      </c>
      <c r="C207" s="156"/>
      <c r="D207" s="49" cm="1">
        <f t="array" ref="D207">D$189*(HLOOKUP(D$198, 'ODS Subs Data'!$A$73:$AH$82, MATCH($B207,'ODS Subs Data'!$A$73:$A$82,0),0)/SUMPRODUCT('ODS Subs Data'!$B$74:$AH$82*('ODS Subs Data'!$B$73:$AH$73='ODS Subs'!D$198)))</f>
        <v>7.0700498616782576E-8</v>
      </c>
      <c r="E207" s="49" cm="1">
        <f t="array" ref="E207">E$189*(HLOOKUP(E$198, 'ODS Subs Data'!$A$73:$AH$82, MATCH($B207,'ODS Subs Data'!$A$73:$A$82,0),0)/SUMPRODUCT('ODS Subs Data'!$B$74:$AH$82*('ODS Subs Data'!$B$73:$AH$73='ODS Subs'!E$198)))</f>
        <v>6.1490435613295533E-6</v>
      </c>
      <c r="F207" s="49" cm="1">
        <f t="array" ref="F207">F$189*(HLOOKUP(F$198, 'ODS Subs Data'!$A$73:$AH$82, MATCH($B207,'ODS Subs Data'!$A$73:$A$82,0),0)/SUMPRODUCT('ODS Subs Data'!$B$74:$AH$82*('ODS Subs Data'!$B$73:$AH$73='ODS Subs'!F$198)))</f>
        <v>6.8611634966690673E-6</v>
      </c>
      <c r="G207" s="49" cm="1">
        <f t="array" ref="G207">G$189*(HLOOKUP(G$198, 'ODS Subs Data'!$A$73:$AH$82, MATCH($B207,'ODS Subs Data'!$A$73:$A$82,0),0)/SUMPRODUCT('ODS Subs Data'!$B$74:$AH$82*('ODS Subs Data'!$B$73:$AH$73='ODS Subs'!G$198)))</f>
        <v>8.9617885042643091E-6</v>
      </c>
      <c r="H207" s="49" cm="1">
        <f t="array" ref="H207">H$189*(HLOOKUP(H$198, 'ODS Subs Data'!$A$73:$AH$82, MATCH($B207,'ODS Subs Data'!$A$73:$A$82,0),0)/SUMPRODUCT('ODS Subs Data'!$B$74:$AH$82*('ODS Subs Data'!$B$73:$AH$73='ODS Subs'!H$198)))</f>
        <v>1.2638775544916968E-5</v>
      </c>
      <c r="I207" s="49" cm="1">
        <f t="array" ref="I207">I$189*(HLOOKUP(I$198, 'ODS Subs Data'!$A$73:$AH$82, MATCH($B207,'ODS Subs Data'!$A$73:$A$82,0),0)/SUMPRODUCT('ODS Subs Data'!$B$74:$AH$82*('ODS Subs Data'!$B$73:$AH$73='ODS Subs'!I$198)))</f>
        <v>1.3507016175364299E-5</v>
      </c>
      <c r="J207" s="49" cm="1">
        <f t="array" ref="J207">J$189*(HLOOKUP(J$198, 'ODS Subs Data'!$A$73:$AH$82, MATCH($B207,'ODS Subs Data'!$A$73:$A$82,0),0)/SUMPRODUCT('ODS Subs Data'!$B$74:$AH$82*('ODS Subs Data'!$B$73:$AH$73='ODS Subs'!J$198)))</f>
        <v>1.4415347511563672E-5</v>
      </c>
      <c r="K207" s="49" cm="1">
        <f t="array" ref="K207">K$189*(HLOOKUP(K$198, 'ODS Subs Data'!$A$73:$AH$82, MATCH($B207,'ODS Subs Data'!$A$73:$A$82,0),0)/SUMPRODUCT('ODS Subs Data'!$B$74:$AH$82*('ODS Subs Data'!$B$73:$AH$73='ODS Subs'!K$198)))</f>
        <v>1.5472406064412486E-5</v>
      </c>
      <c r="L207" s="49" cm="1">
        <f t="array" ref="L207">L$189*(HLOOKUP(L$198, 'ODS Subs Data'!$A$73:$AH$82, MATCH($B207,'ODS Subs Data'!$A$73:$A$82,0),0)/SUMPRODUCT('ODS Subs Data'!$B$74:$AH$82*('ODS Subs Data'!$B$73:$AH$73='ODS Subs'!L$198)))</f>
        <v>1.6401554035510345E-5</v>
      </c>
      <c r="M207" s="49" cm="1">
        <f t="array" ref="M207">M$189*(HLOOKUP(M$198, 'ODS Subs Data'!$A$73:$AH$82, MATCH($B207,'ODS Subs Data'!$A$73:$A$82,0),0)/SUMPRODUCT('ODS Subs Data'!$B$74:$AH$82*('ODS Subs Data'!$B$73:$AH$73='ODS Subs'!M$198)))</f>
        <v>1.5863987862154464E-5</v>
      </c>
      <c r="N207" s="49" cm="1">
        <f t="array" ref="N207">N$189*(HLOOKUP(N$198, 'ODS Subs Data'!$A$73:$AH$82, MATCH($B207,'ODS Subs Data'!$A$73:$A$82,0),0)/SUMPRODUCT('ODS Subs Data'!$B$74:$AH$82*('ODS Subs Data'!$B$73:$AH$73='ODS Subs'!N$198)))</f>
        <v>1.7489344024487291E-5</v>
      </c>
      <c r="O207" s="49" cm="1">
        <f t="array" ref="O207">O$189*(HLOOKUP(O$198, 'ODS Subs Data'!$A$73:$AH$82, MATCH($B207,'ODS Subs Data'!$A$73:$A$82,0),0)/SUMPRODUCT('ODS Subs Data'!$B$74:$AH$82*('ODS Subs Data'!$B$73:$AH$73='ODS Subs'!O$198)))</f>
        <v>1.8766738473721074E-5</v>
      </c>
      <c r="P207" s="1"/>
      <c r="Q207" s="7"/>
      <c r="R207" s="7"/>
      <c r="U207" s="10"/>
      <c r="V207" s="10"/>
      <c r="W207" s="10"/>
      <c r="X207" s="10"/>
      <c r="Y207" s="10"/>
      <c r="Z207" s="10"/>
      <c r="AA207" s="10"/>
      <c r="AB207" s="10"/>
      <c r="AC207" s="10"/>
      <c r="AD207" s="1"/>
      <c r="AE207" s="1"/>
      <c r="AF207" s="11"/>
      <c r="AG207" s="10"/>
      <c r="AH207" s="20"/>
      <c r="AI207" s="20"/>
      <c r="AJ207" s="20"/>
      <c r="AK207" s="20"/>
      <c r="AL207" s="20"/>
      <c r="AM207" s="20"/>
      <c r="AN207" s="20"/>
      <c r="AO207" s="20"/>
      <c r="AP207" s="1"/>
      <c r="AQ207" s="37"/>
      <c r="AR207" s="37"/>
      <c r="AS207" s="1"/>
      <c r="AT207" s="20"/>
      <c r="AU207" s="20"/>
      <c r="AV207" s="20"/>
      <c r="AW207" s="20"/>
      <c r="AX207" s="20"/>
      <c r="AY207" s="7"/>
      <c r="AZ207" s="7"/>
      <c r="BA207" s="7"/>
      <c r="BB207" s="7"/>
      <c r="BC207" s="21"/>
      <c r="BD207" s="7"/>
      <c r="BE207" s="15"/>
    </row>
    <row r="208" spans="1:61" ht="14.25">
      <c r="A208" s="1"/>
      <c r="B208" s="127" t="s">
        <v>58</v>
      </c>
      <c r="C208" s="524"/>
      <c r="D208" s="49" cm="1">
        <f t="array" ref="D208">D$189*(HLOOKUP(D$198, 'ODS Subs Data'!$A$73:$AH$82, MATCH($B208,'ODS Subs Data'!$A$73:$A$82,0),0)/SUMPRODUCT('ODS Subs Data'!$B$74:$AH$82*('ODS Subs Data'!$B$73:$AH$73='ODS Subs'!D$198)))</f>
        <v>1.2932591767380766E-3</v>
      </c>
      <c r="E208" s="49" cm="1">
        <f t="array" ref="E208">E$189*(HLOOKUP(E$198, 'ODS Subs Data'!$A$73:$AH$82, MATCH($B208,'ODS Subs Data'!$A$73:$A$82,0),0)/SUMPRODUCT('ODS Subs Data'!$B$74:$AH$82*('ODS Subs Data'!$B$73:$AH$73='ODS Subs'!E$198)))</f>
        <v>3.2910386443180402E-2</v>
      </c>
      <c r="F208" s="49" cm="1">
        <f t="array" ref="F208">F$189*(HLOOKUP(F$198, 'ODS Subs Data'!$A$73:$AH$82, MATCH($B208,'ODS Subs Data'!$A$73:$A$82,0),0)/SUMPRODUCT('ODS Subs Data'!$B$74:$AH$82*('ODS Subs Data'!$B$73:$AH$73='ODS Subs'!F$198)))</f>
        <v>3.6465652719344627E-2</v>
      </c>
      <c r="G208" s="49" cm="1">
        <f t="array" ref="G208">G$189*(HLOOKUP(G$198, 'ODS Subs Data'!$A$73:$AH$82, MATCH($B208,'ODS Subs Data'!$A$73:$A$82,0),0)/SUMPRODUCT('ODS Subs Data'!$B$74:$AH$82*('ODS Subs Data'!$B$73:$AH$73='ODS Subs'!G$198)))</f>
        <v>4.4768523352249512E-2</v>
      </c>
      <c r="H208" s="49" cm="1">
        <f t="array" ref="H208">H$189*(HLOOKUP(H$198, 'ODS Subs Data'!$A$73:$AH$82, MATCH($B208,'ODS Subs Data'!$A$73:$A$82,0),0)/SUMPRODUCT('ODS Subs Data'!$B$74:$AH$82*('ODS Subs Data'!$B$73:$AH$73='ODS Subs'!H$198)))</f>
        <v>6.7440958849023097E-2</v>
      </c>
      <c r="I208" s="49" cm="1">
        <f t="array" ref="I208">I$189*(HLOOKUP(I$198, 'ODS Subs Data'!$A$73:$AH$82, MATCH($B208,'ODS Subs Data'!$A$73:$A$82,0),0)/SUMPRODUCT('ODS Subs Data'!$B$74:$AH$82*('ODS Subs Data'!$B$73:$AH$73='ODS Subs'!I$198)))</f>
        <v>7.2062356520735296E-2</v>
      </c>
      <c r="J208" s="49" cm="1">
        <f t="array" ref="J208">J$189*(HLOOKUP(J$198, 'ODS Subs Data'!$A$73:$AH$82, MATCH($B208,'ODS Subs Data'!$A$73:$A$82,0),0)/SUMPRODUCT('ODS Subs Data'!$B$74:$AH$82*('ODS Subs Data'!$B$73:$AH$73='ODS Subs'!J$198)))</f>
        <v>7.7441112022996653E-2</v>
      </c>
      <c r="K208" s="49" cm="1">
        <f t="array" ref="K208">K$189*(HLOOKUP(K$198, 'ODS Subs Data'!$A$73:$AH$82, MATCH($B208,'ODS Subs Data'!$A$73:$A$82,0),0)/SUMPRODUCT('ODS Subs Data'!$B$74:$AH$82*('ODS Subs Data'!$B$73:$AH$73='ODS Subs'!K$198)))</f>
        <v>7.9800741670039602E-2</v>
      </c>
      <c r="L208" s="49" cm="1">
        <f t="array" ref="L208">L$189*(HLOOKUP(L$198, 'ODS Subs Data'!$A$73:$AH$82, MATCH($B208,'ODS Subs Data'!$A$73:$A$82,0),0)/SUMPRODUCT('ODS Subs Data'!$B$74:$AH$82*('ODS Subs Data'!$B$73:$AH$73='ODS Subs'!L$198)))</f>
        <v>7.9801161756557479E-2</v>
      </c>
      <c r="M208" s="49" cm="1">
        <f t="array" ref="M208">M$189*(HLOOKUP(M$198, 'ODS Subs Data'!$A$73:$AH$82, MATCH($B208,'ODS Subs Data'!$A$73:$A$82,0),0)/SUMPRODUCT('ODS Subs Data'!$B$74:$AH$82*('ODS Subs Data'!$B$73:$AH$73='ODS Subs'!M$198)))</f>
        <v>7.1832959454835241E-2</v>
      </c>
      <c r="N208" s="49" cm="1">
        <f t="array" ref="N208">N$189*(HLOOKUP(N$198, 'ODS Subs Data'!$A$73:$AH$82, MATCH($B208,'ODS Subs Data'!$A$73:$A$82,0),0)/SUMPRODUCT('ODS Subs Data'!$B$74:$AH$82*('ODS Subs Data'!$B$73:$AH$73='ODS Subs'!N$198)))</f>
        <v>7.6448439606839641E-2</v>
      </c>
      <c r="O208" s="49" cm="1">
        <f t="array" ref="O208">O$189*(HLOOKUP(O$198, 'ODS Subs Data'!$A$73:$AH$82, MATCH($B208,'ODS Subs Data'!$A$73:$A$82,0),0)/SUMPRODUCT('ODS Subs Data'!$B$74:$AH$82*('ODS Subs Data'!$B$73:$AH$73='ODS Subs'!O$198)))</f>
        <v>7.979685874198128E-2</v>
      </c>
      <c r="P208" s="7"/>
      <c r="Q208" s="7"/>
      <c r="R208" s="7"/>
      <c r="S208" s="134" t="s">
        <v>183</v>
      </c>
      <c r="T208" s="49">
        <f>INDEX($O$200:$O$208,MATCH(S208,$B$200:$B$208,0))</f>
        <v>1.8766738473721074E-5</v>
      </c>
      <c r="U208" s="14"/>
      <c r="V208" s="14"/>
      <c r="W208" s="14"/>
      <c r="X208" s="14"/>
      <c r="Y208" s="14"/>
      <c r="Z208" s="14"/>
      <c r="AA208" s="14"/>
      <c r="AB208" s="14"/>
      <c r="AC208" s="285"/>
      <c r="AD208" s="7"/>
      <c r="AE208" s="7"/>
      <c r="AF208" s="20"/>
      <c r="AG208" s="14"/>
      <c r="AH208" s="20"/>
      <c r="AI208" s="20"/>
      <c r="AJ208" s="20"/>
      <c r="AK208" s="20"/>
      <c r="AL208" s="20"/>
      <c r="AM208" s="20"/>
      <c r="AN208" s="20"/>
      <c r="AO208" s="20"/>
      <c r="AP208" s="7"/>
      <c r="AQ208" s="37"/>
      <c r="AR208" s="37"/>
      <c r="AS208" s="7"/>
      <c r="AT208" s="20"/>
      <c r="AU208" s="20"/>
      <c r="AV208" s="20"/>
      <c r="AW208" s="20"/>
      <c r="AX208" s="20"/>
      <c r="AY208" s="7"/>
      <c r="AZ208" s="7"/>
      <c r="BA208" s="7"/>
      <c r="BB208" s="7"/>
      <c r="BC208" s="21"/>
      <c r="BD208" s="7"/>
      <c r="BE208" s="15"/>
    </row>
    <row r="209" spans="1:62">
      <c r="A209" s="1"/>
      <c r="B209" s="56"/>
      <c r="C209" s="56"/>
      <c r="D209" s="152"/>
      <c r="E209" s="152"/>
      <c r="F209" s="152"/>
      <c r="G209" s="152"/>
      <c r="H209" s="152"/>
      <c r="I209" s="152"/>
      <c r="J209" s="152"/>
      <c r="K209" s="152"/>
      <c r="L209" s="152"/>
      <c r="M209" s="152"/>
      <c r="N209" s="152"/>
      <c r="O209" s="152"/>
      <c r="P209" s="1"/>
      <c r="Q209" s="7"/>
      <c r="R209" s="7"/>
      <c r="S209" s="127" t="s">
        <v>51</v>
      </c>
      <c r="T209" s="49">
        <f t="shared" ref="T209:T210" si="349">INDEX($O$200:$O$208,MATCH(S209,$B$200:$B$208,0))</f>
        <v>1.4714727759435964E-4</v>
      </c>
      <c r="U209" s="10"/>
      <c r="V209" s="10"/>
      <c r="W209" s="10"/>
      <c r="X209" s="10"/>
      <c r="Y209" s="10"/>
      <c r="Z209" s="10"/>
      <c r="AA209" s="10"/>
      <c r="AB209" s="10"/>
      <c r="AC209" s="10"/>
      <c r="AD209" s="1"/>
      <c r="AE209" s="1"/>
      <c r="AF209" s="11"/>
      <c r="AG209" s="10"/>
      <c r="AH209" s="10"/>
      <c r="AI209" s="10"/>
      <c r="AJ209" s="10"/>
      <c r="AK209" s="10"/>
      <c r="AL209" s="10"/>
      <c r="AM209" s="10"/>
      <c r="AN209" s="10"/>
      <c r="AO209" s="10"/>
      <c r="AP209" s="7"/>
      <c r="AQ209" s="37"/>
      <c r="AR209" s="37"/>
      <c r="AS209" s="7"/>
      <c r="AT209" s="10"/>
      <c r="AU209" s="10"/>
      <c r="AV209" s="10"/>
      <c r="AW209" s="10"/>
    </row>
    <row r="210" spans="1:62" ht="14.25">
      <c r="A210" s="1"/>
      <c r="B210" s="159" t="s">
        <v>153</v>
      </c>
      <c r="C210" s="56"/>
      <c r="D210" s="45">
        <f t="shared" ref="D210:O210" si="350">SUM(D200:D208)</f>
        <v>1.2951478637102558E-3</v>
      </c>
      <c r="E210" s="45">
        <f t="shared" si="350"/>
        <v>0.46181603711610286</v>
      </c>
      <c r="F210" s="45">
        <f t="shared" si="350"/>
        <v>0.52285565538432743</v>
      </c>
      <c r="G210" s="45">
        <f>SUM(G200:G208)</f>
        <v>0.64547087176434959</v>
      </c>
      <c r="H210" s="45">
        <f t="shared" si="350"/>
        <v>0.77304586812249565</v>
      </c>
      <c r="I210" s="45">
        <f t="shared" si="350"/>
        <v>0.7793621591247043</v>
      </c>
      <c r="J210" s="45">
        <f t="shared" si="350"/>
        <v>0.78208292023898507</v>
      </c>
      <c r="K210" s="45">
        <f t="shared" si="350"/>
        <v>0.78992219245559414</v>
      </c>
      <c r="L210" s="45">
        <f t="shared" si="350"/>
        <v>0.80497522367442997</v>
      </c>
      <c r="M210" s="45">
        <f t="shared" si="350"/>
        <v>0.74999641597544886</v>
      </c>
      <c r="N210" s="45">
        <f t="shared" si="350"/>
        <v>0.80883125144920998</v>
      </c>
      <c r="O210" s="45">
        <f t="shared" si="350"/>
        <v>0.8421778373758072</v>
      </c>
      <c r="P210" s="7"/>
      <c r="Q210" s="7"/>
      <c r="R210" s="7"/>
      <c r="S210" s="127" t="s">
        <v>184</v>
      </c>
      <c r="T210" s="49">
        <f t="shared" si="349"/>
        <v>1.1766969332320941E-4</v>
      </c>
      <c r="U210" s="14"/>
      <c r="V210" s="14"/>
      <c r="W210" s="14"/>
      <c r="X210" s="14"/>
      <c r="Y210" s="14"/>
      <c r="Z210" s="14"/>
      <c r="AA210" s="14"/>
      <c r="AB210" s="14"/>
      <c r="AC210" s="285"/>
      <c r="AD210" s="7"/>
      <c r="AE210" s="7"/>
      <c r="AF210" s="20"/>
      <c r="AG210" s="14"/>
      <c r="AH210" s="20"/>
      <c r="AI210" s="20"/>
      <c r="AJ210" s="20"/>
      <c r="AK210" s="20"/>
      <c r="AL210" s="20"/>
      <c r="AM210" s="20"/>
      <c r="AN210" s="20"/>
      <c r="AO210" s="20"/>
      <c r="AP210" s="7"/>
      <c r="AQ210" s="37"/>
      <c r="AR210" s="37"/>
      <c r="AS210" s="7"/>
      <c r="AT210" s="20"/>
      <c r="AU210" s="20"/>
      <c r="AV210" s="20"/>
      <c r="AW210" s="20"/>
      <c r="AX210" s="20"/>
      <c r="AY210" s="7"/>
      <c r="AZ210" s="7"/>
      <c r="BA210" s="7"/>
      <c r="BB210" s="7"/>
      <c r="BC210" s="21"/>
      <c r="BD210" s="7"/>
      <c r="BE210" s="15"/>
    </row>
    <row r="211" spans="1:62">
      <c r="A211" s="1"/>
      <c r="B211" s="1"/>
      <c r="C211" s="1"/>
      <c r="D211" s="276">
        <f t="shared" ref="D211:O211" si="351">D210-D189</f>
        <v>0</v>
      </c>
      <c r="E211" s="276">
        <f t="shared" si="351"/>
        <v>0</v>
      </c>
      <c r="F211" s="276">
        <f t="shared" si="351"/>
        <v>0</v>
      </c>
      <c r="G211" s="276">
        <f t="shared" si="351"/>
        <v>0</v>
      </c>
      <c r="H211" s="276">
        <f t="shared" si="351"/>
        <v>0</v>
      </c>
      <c r="I211" s="276">
        <f t="shared" si="351"/>
        <v>0</v>
      </c>
      <c r="J211" s="276">
        <f t="shared" si="351"/>
        <v>0</v>
      </c>
      <c r="K211" s="276">
        <f t="shared" si="351"/>
        <v>0</v>
      </c>
      <c r="L211" s="276">
        <f t="shared" si="351"/>
        <v>0</v>
      </c>
      <c r="M211" s="276">
        <f t="shared" si="351"/>
        <v>0</v>
      </c>
      <c r="N211" s="276">
        <f t="shared" si="351"/>
        <v>0</v>
      </c>
      <c r="O211" s="276">
        <f t="shared" si="351"/>
        <v>0</v>
      </c>
      <c r="P211" s="7"/>
      <c r="Q211" s="7"/>
      <c r="R211" s="7"/>
      <c r="S211" s="7"/>
      <c r="T211" s="14"/>
      <c r="U211" s="14"/>
      <c r="V211" s="14"/>
      <c r="W211" s="14"/>
      <c r="X211" s="14"/>
      <c r="Y211" s="14"/>
      <c r="Z211" s="14"/>
      <c r="AA211" s="14"/>
      <c r="AB211" s="14"/>
      <c r="AC211" s="285"/>
      <c r="AD211" s="7"/>
      <c r="AE211" s="7"/>
      <c r="AF211" s="20"/>
      <c r="AG211" s="14"/>
      <c r="AH211" s="10"/>
      <c r="AI211" s="10"/>
      <c r="AJ211" s="10"/>
      <c r="AK211" s="10"/>
      <c r="AL211" s="10"/>
      <c r="AM211" s="10"/>
      <c r="AN211" s="10"/>
      <c r="AO211" s="10"/>
      <c r="AP211" s="7"/>
      <c r="AQ211" s="37"/>
      <c r="AR211" s="37"/>
      <c r="AS211" s="7"/>
      <c r="AT211" s="10"/>
      <c r="AU211" s="10"/>
      <c r="AV211" s="10"/>
      <c r="AW211" s="10"/>
    </row>
    <row r="212" spans="1:62">
      <c r="A212" s="1"/>
      <c r="B212" s="25" t="s">
        <v>185</v>
      </c>
      <c r="C212" s="1"/>
      <c r="D212" s="10"/>
      <c r="E212" s="10"/>
      <c r="F212" s="10"/>
      <c r="G212" s="10"/>
      <c r="H212" s="10"/>
      <c r="I212" s="10"/>
      <c r="J212" s="10"/>
      <c r="K212" s="10"/>
      <c r="L212" s="10"/>
      <c r="M212" s="10"/>
      <c r="N212" s="10"/>
      <c r="O212" s="10"/>
      <c r="P212" s="7"/>
      <c r="Q212" s="7"/>
      <c r="R212" s="7"/>
      <c r="S212" s="7"/>
      <c r="T212" s="14"/>
      <c r="U212" s="14"/>
      <c r="V212" s="14"/>
      <c r="W212" s="14"/>
      <c r="X212" s="14"/>
      <c r="Y212" s="14"/>
      <c r="Z212" s="14"/>
      <c r="AA212" s="14"/>
      <c r="AB212" s="14"/>
      <c r="AC212" s="285"/>
      <c r="AD212" s="7"/>
      <c r="AE212" s="7"/>
      <c r="AF212" s="20"/>
      <c r="AG212" s="14"/>
      <c r="AH212" s="20"/>
      <c r="AI212" s="20"/>
      <c r="AJ212" s="20"/>
      <c r="AK212" s="20"/>
      <c r="AL212" s="20"/>
      <c r="AM212" s="20"/>
      <c r="AN212" s="20"/>
      <c r="AO212" s="20"/>
      <c r="AP212" s="7"/>
      <c r="AQ212" s="37"/>
      <c r="AR212" s="37"/>
      <c r="AS212" s="7"/>
      <c r="AT212" s="20"/>
      <c r="AU212" s="20"/>
      <c r="AV212" s="20"/>
      <c r="AW212" s="20"/>
      <c r="AX212" s="20"/>
      <c r="AY212" s="7"/>
      <c r="AZ212" s="7"/>
      <c r="BA212" s="7"/>
      <c r="BB212" s="7"/>
      <c r="BC212" s="21"/>
      <c r="BD212" s="7"/>
      <c r="BE212" s="15"/>
    </row>
    <row r="213" spans="1:62">
      <c r="A213" s="1"/>
      <c r="B213" s="396" t="s">
        <v>51</v>
      </c>
      <c r="C213" s="1"/>
      <c r="D213" s="580">
        <f>D200-INDEX('IPPU Summary'!D$15:D$23,MATCH($B213,'IPPU Summary'!$C$15:$C$23,0))</f>
        <v>0</v>
      </c>
      <c r="E213" s="580">
        <f>E200-INDEX('IPPU Summary'!E$15:E$23,MATCH($B213,'IPPU Summary'!$C$15:$C$23,0))</f>
        <v>0</v>
      </c>
      <c r="F213" s="580">
        <f>F200-INDEX('IPPU Summary'!F$15:F$23,MATCH($B213,'IPPU Summary'!$C$15:$C$23,0))</f>
        <v>0</v>
      </c>
      <c r="G213" s="580">
        <f>G200-INDEX('IPPU Summary'!G$15:G$23,MATCH($B213,'IPPU Summary'!$C$15:$C$23,0))</f>
        <v>0</v>
      </c>
      <c r="H213" s="580">
        <f>H200-INDEX('IPPU Summary'!H$15:H$23,MATCH($B213,'IPPU Summary'!$C$15:$C$23,0))</f>
        <v>0</v>
      </c>
      <c r="I213" s="580">
        <f>I200-INDEX('IPPU Summary'!I$15:I$23,MATCH($B213,'IPPU Summary'!$C$15:$C$23,0))</f>
        <v>0</v>
      </c>
      <c r="J213" s="580">
        <f>J200-INDEX('IPPU Summary'!J$15:J$23,MATCH($B213,'IPPU Summary'!$C$15:$C$23,0))</f>
        <v>0</v>
      </c>
      <c r="K213" s="580">
        <f>K200-INDEX('IPPU Summary'!K$15:K$23,MATCH($B213,'IPPU Summary'!$C$15:$C$23,0))</f>
        <v>0</v>
      </c>
      <c r="L213" s="580">
        <f>L200-INDEX('IPPU Summary'!L$15:L$23,MATCH($B213,'IPPU Summary'!$C$15:$C$23,0))</f>
        <v>0</v>
      </c>
      <c r="M213" s="580">
        <f>M200-INDEX('IPPU Summary'!M$15:M$23,MATCH($B213,'IPPU Summary'!$C$15:$C$23,0))</f>
        <v>0</v>
      </c>
      <c r="N213" s="580">
        <f>N200-INDEX('IPPU Summary'!N$15:N$23,MATCH($B213,'IPPU Summary'!$C$15:$C$23,0))</f>
        <v>0</v>
      </c>
      <c r="O213" s="580">
        <f>O200-INDEX('IPPU Summary'!O$15:O$23,MATCH($B213,'IPPU Summary'!$C$15:$C$23,0))</f>
        <v>0</v>
      </c>
      <c r="P213" s="7"/>
      <c r="Q213" s="7"/>
      <c r="R213" s="7"/>
      <c r="S213" s="7"/>
      <c r="T213" s="14"/>
      <c r="U213" s="14"/>
      <c r="V213" s="14"/>
      <c r="W213" s="14"/>
      <c r="X213" s="14"/>
      <c r="Y213" s="14"/>
      <c r="Z213" s="14"/>
      <c r="AA213" s="14"/>
      <c r="AB213" s="14"/>
      <c r="AC213" s="285"/>
      <c r="AD213" s="7"/>
      <c r="AE213" s="7"/>
      <c r="AF213" s="20"/>
      <c r="AG213" s="14"/>
      <c r="AH213" s="20"/>
      <c r="AI213" s="20"/>
      <c r="AJ213" s="20"/>
      <c r="AK213" s="20"/>
      <c r="AL213" s="20"/>
      <c r="AM213" s="20"/>
      <c r="AN213" s="20"/>
      <c r="AO213" s="20"/>
      <c r="AP213" s="7"/>
      <c r="AQ213" s="37"/>
      <c r="AR213" s="37"/>
      <c r="AS213" s="7"/>
      <c r="AT213" s="20"/>
      <c r="AU213" s="20"/>
      <c r="AV213" s="20"/>
      <c r="AW213" s="20"/>
      <c r="AX213" s="20"/>
      <c r="AY213" s="7"/>
      <c r="AZ213" s="7"/>
      <c r="BA213" s="7"/>
      <c r="BB213" s="7"/>
      <c r="BC213" s="21"/>
      <c r="BD213" s="7"/>
      <c r="BE213" s="15"/>
    </row>
    <row r="214" spans="1:62">
      <c r="A214" s="1"/>
      <c r="B214" s="396" t="s">
        <v>52</v>
      </c>
      <c r="C214" s="1"/>
      <c r="D214" s="580">
        <f>D201-INDEX('IPPU Summary'!D$15:D$23,MATCH($B214,'IPPU Summary'!$C$15:$C$23,0))</f>
        <v>0</v>
      </c>
      <c r="E214" s="580">
        <f>E201-INDEX('IPPU Summary'!E$15:E$23,MATCH($B214,'IPPU Summary'!$C$15:$C$23,0))</f>
        <v>0</v>
      </c>
      <c r="F214" s="580">
        <f>F201-INDEX('IPPU Summary'!F$15:F$23,MATCH($B214,'IPPU Summary'!$C$15:$C$23,0))</f>
        <v>0</v>
      </c>
      <c r="G214" s="580">
        <f>G201-INDEX('IPPU Summary'!G$15:G$23,MATCH($B214,'IPPU Summary'!$C$15:$C$23,0))</f>
        <v>0</v>
      </c>
      <c r="H214" s="580">
        <f>H201-INDEX('IPPU Summary'!H$15:H$23,MATCH($B214,'IPPU Summary'!$C$15:$C$23,0))</f>
        <v>0</v>
      </c>
      <c r="I214" s="580">
        <f>I201-INDEX('IPPU Summary'!I$15:I$23,MATCH($B214,'IPPU Summary'!$C$15:$C$23,0))</f>
        <v>0</v>
      </c>
      <c r="J214" s="580">
        <f>J201-INDEX('IPPU Summary'!J$15:J$23,MATCH($B214,'IPPU Summary'!$C$15:$C$23,0))</f>
        <v>0</v>
      </c>
      <c r="K214" s="580">
        <f>K201-INDEX('IPPU Summary'!K$15:K$23,MATCH($B214,'IPPU Summary'!$C$15:$C$23,0))</f>
        <v>0</v>
      </c>
      <c r="L214" s="580">
        <f>L201-INDEX('IPPU Summary'!L$15:L$23,MATCH($B214,'IPPU Summary'!$C$15:$C$23,0))</f>
        <v>0</v>
      </c>
      <c r="M214" s="580">
        <f>M201-INDEX('IPPU Summary'!M$15:M$23,MATCH($B214,'IPPU Summary'!$C$15:$C$23,0))</f>
        <v>0</v>
      </c>
      <c r="N214" s="580">
        <f>N201-INDEX('IPPU Summary'!N$15:N$23,MATCH($B214,'IPPU Summary'!$C$15:$C$23,0))</f>
        <v>0</v>
      </c>
      <c r="O214" s="580">
        <f>O201-INDEX('IPPU Summary'!O$15:O$23,MATCH($B214,'IPPU Summary'!$C$15:$C$23,0))</f>
        <v>0</v>
      </c>
      <c r="P214" s="1"/>
      <c r="Q214" s="20"/>
      <c r="R214" s="20"/>
      <c r="S214" s="1"/>
      <c r="T214" s="20"/>
      <c r="U214" s="20"/>
      <c r="V214" s="20"/>
      <c r="W214" s="20"/>
      <c r="X214" s="20"/>
      <c r="Y214" s="20"/>
      <c r="Z214" s="20"/>
      <c r="AA214" s="20"/>
      <c r="AB214" s="20"/>
      <c r="AC214" s="20"/>
      <c r="AD214" s="1"/>
      <c r="AE214" s="1"/>
      <c r="AF214" s="20"/>
      <c r="AG214" s="20"/>
      <c r="AH214" s="20"/>
      <c r="AI214" s="20"/>
      <c r="AJ214" s="20"/>
      <c r="AK214" s="20"/>
      <c r="AL214" s="20"/>
      <c r="AM214" s="20"/>
      <c r="AN214" s="20"/>
      <c r="AO214" s="20"/>
      <c r="AP214" s="7"/>
      <c r="AQ214" s="37"/>
      <c r="AR214" s="37"/>
      <c r="AS214" s="7"/>
      <c r="AT214" s="20"/>
      <c r="AU214" s="20"/>
      <c r="AV214" s="20"/>
      <c r="AW214" s="20"/>
      <c r="AX214" s="20"/>
      <c r="AY214" s="7"/>
      <c r="AZ214" s="7"/>
      <c r="BA214" s="7"/>
      <c r="BB214" s="7"/>
      <c r="BC214" s="21"/>
      <c r="BD214" s="7"/>
      <c r="BE214" s="15"/>
    </row>
    <row r="215" spans="1:62">
      <c r="A215" s="1"/>
      <c r="B215" s="396" t="s">
        <v>53</v>
      </c>
      <c r="C215" s="1"/>
      <c r="D215" s="580">
        <f>D202-INDEX('IPPU Summary'!D$15:D$23,MATCH($B215,'IPPU Summary'!$C$15:$C$23,0))</f>
        <v>0</v>
      </c>
      <c r="E215" s="580">
        <f>E202-INDEX('IPPU Summary'!E$15:E$23,MATCH($B215,'IPPU Summary'!$C$15:$C$23,0))</f>
        <v>0</v>
      </c>
      <c r="F215" s="580">
        <f>F202-INDEX('IPPU Summary'!F$15:F$23,MATCH($B215,'IPPU Summary'!$C$15:$C$23,0))</f>
        <v>0</v>
      </c>
      <c r="G215" s="580">
        <f>G202-INDEX('IPPU Summary'!G$15:G$23,MATCH($B215,'IPPU Summary'!$C$15:$C$23,0))</f>
        <v>0</v>
      </c>
      <c r="H215" s="580">
        <f>H202-INDEX('IPPU Summary'!H$15:H$23,MATCH($B215,'IPPU Summary'!$C$15:$C$23,0))</f>
        <v>0</v>
      </c>
      <c r="I215" s="580">
        <f>I202-INDEX('IPPU Summary'!I$15:I$23,MATCH($B215,'IPPU Summary'!$C$15:$C$23,0))</f>
        <v>0</v>
      </c>
      <c r="J215" s="580">
        <f>J202-INDEX('IPPU Summary'!J$15:J$23,MATCH($B215,'IPPU Summary'!$C$15:$C$23,0))</f>
        <v>0</v>
      </c>
      <c r="K215" s="580">
        <f>K202-INDEX('IPPU Summary'!K$15:K$23,MATCH($B215,'IPPU Summary'!$C$15:$C$23,0))</f>
        <v>0</v>
      </c>
      <c r="L215" s="580">
        <f>L202-INDEX('IPPU Summary'!L$15:L$23,MATCH($B215,'IPPU Summary'!$C$15:$C$23,0))</f>
        <v>0</v>
      </c>
      <c r="M215" s="580">
        <f>M202-INDEX('IPPU Summary'!M$15:M$23,MATCH($B215,'IPPU Summary'!$C$15:$C$23,0))</f>
        <v>0</v>
      </c>
      <c r="N215" s="580">
        <f>N202-INDEX('IPPU Summary'!N$15:N$23,MATCH($B215,'IPPU Summary'!$C$15:$C$23,0))</f>
        <v>0</v>
      </c>
      <c r="O215" s="580">
        <f>O202-INDEX('IPPU Summary'!O$15:O$23,MATCH($B215,'IPPU Summary'!$C$15:$C$23,0))</f>
        <v>0</v>
      </c>
      <c r="P215" s="1"/>
      <c r="Q215" s="20"/>
      <c r="R215" s="20"/>
      <c r="S215" s="1"/>
      <c r="T215" s="20"/>
      <c r="U215" s="20"/>
      <c r="V215" s="20"/>
      <c r="W215" s="20"/>
      <c r="X215" s="20"/>
      <c r="Y215" s="20"/>
      <c r="Z215" s="20"/>
      <c r="AA215" s="20"/>
      <c r="AB215" s="20"/>
      <c r="AC215" s="20"/>
      <c r="AD215" s="1"/>
      <c r="AE215" s="1"/>
      <c r="AF215" s="20"/>
      <c r="AG215" s="20"/>
      <c r="AH215" s="20"/>
      <c r="AI215" s="20"/>
      <c r="AJ215" s="20"/>
      <c r="AK215" s="20"/>
      <c r="AL215" s="20"/>
      <c r="AM215" s="20"/>
      <c r="AN215" s="20"/>
      <c r="AO215" s="20"/>
      <c r="AP215" s="1"/>
      <c r="AQ215" s="37"/>
      <c r="AR215" s="37"/>
      <c r="AS215" s="1"/>
      <c r="AT215" s="20"/>
      <c r="AU215" s="20"/>
      <c r="AV215" s="20"/>
      <c r="AW215" s="20"/>
      <c r="AX215" s="20"/>
      <c r="AY215" s="7"/>
      <c r="AZ215" s="7"/>
      <c r="BA215" s="7"/>
      <c r="BB215" s="7"/>
      <c r="BC215" s="21"/>
      <c r="BD215" s="7"/>
      <c r="BE215" s="15"/>
    </row>
    <row r="216" spans="1:62">
      <c r="A216" s="1"/>
      <c r="B216" s="396" t="s">
        <v>54</v>
      </c>
      <c r="C216" s="1"/>
      <c r="D216" s="580">
        <f>D203-INDEX('IPPU Summary'!D$15:D$23,MATCH($B216,'IPPU Summary'!$C$15:$C$23,0))</f>
        <v>0</v>
      </c>
      <c r="E216" s="580">
        <f>E203-INDEX('IPPU Summary'!E$15:E$23,MATCH($B216,'IPPU Summary'!$C$15:$C$23,0))</f>
        <v>0</v>
      </c>
      <c r="F216" s="580">
        <f>F203-INDEX('IPPU Summary'!F$15:F$23,MATCH($B216,'IPPU Summary'!$C$15:$C$23,0))</f>
        <v>0</v>
      </c>
      <c r="G216" s="580">
        <f>G203-INDEX('IPPU Summary'!G$15:G$23,MATCH($B216,'IPPU Summary'!$C$15:$C$23,0))</f>
        <v>0</v>
      </c>
      <c r="H216" s="580">
        <f>H203-INDEX('IPPU Summary'!H$15:H$23,MATCH($B216,'IPPU Summary'!$C$15:$C$23,0))</f>
        <v>0</v>
      </c>
      <c r="I216" s="580">
        <f>I203-INDEX('IPPU Summary'!I$15:I$23,MATCH($B216,'IPPU Summary'!$C$15:$C$23,0))</f>
        <v>0</v>
      </c>
      <c r="J216" s="580">
        <f>J203-INDEX('IPPU Summary'!J$15:J$23,MATCH($B216,'IPPU Summary'!$C$15:$C$23,0))</f>
        <v>0</v>
      </c>
      <c r="K216" s="580">
        <f>K203-INDEX('IPPU Summary'!K$15:K$23,MATCH($B216,'IPPU Summary'!$C$15:$C$23,0))</f>
        <v>0</v>
      </c>
      <c r="L216" s="580">
        <f>L203-INDEX('IPPU Summary'!L$15:L$23,MATCH($B216,'IPPU Summary'!$C$15:$C$23,0))</f>
        <v>0</v>
      </c>
      <c r="M216" s="580">
        <f>M203-INDEX('IPPU Summary'!M$15:M$23,MATCH($B216,'IPPU Summary'!$C$15:$C$23,0))</f>
        <v>0</v>
      </c>
      <c r="N216" s="580">
        <f>N203-INDEX('IPPU Summary'!N$15:N$23,MATCH($B216,'IPPU Summary'!$C$15:$C$23,0))</f>
        <v>0</v>
      </c>
      <c r="O216" s="580">
        <f>O203-INDEX('IPPU Summary'!O$15:O$23,MATCH($B216,'IPPU Summary'!$C$15:$C$23,0))</f>
        <v>0</v>
      </c>
      <c r="P216" s="1"/>
      <c r="Q216" s="10"/>
      <c r="R216" s="10"/>
      <c r="S216" s="1"/>
      <c r="T216" s="10"/>
      <c r="U216" s="10"/>
      <c r="V216" s="10"/>
      <c r="W216" s="10"/>
      <c r="X216" s="10"/>
      <c r="Y216" s="10"/>
      <c r="Z216" s="10"/>
      <c r="AA216" s="10"/>
      <c r="AB216" s="10"/>
      <c r="AC216" s="10"/>
      <c r="AD216" s="1"/>
      <c r="AE216" s="1"/>
      <c r="AF216" s="10"/>
      <c r="AG216" s="10"/>
      <c r="AH216" s="10"/>
      <c r="AI216" s="10"/>
      <c r="AJ216" s="10"/>
      <c r="AK216" s="10"/>
      <c r="AL216" s="10"/>
      <c r="AM216" s="10"/>
      <c r="AN216" s="10"/>
      <c r="AO216" s="10"/>
      <c r="AP216" s="7"/>
      <c r="AQ216" s="37"/>
      <c r="AR216" s="37"/>
      <c r="AS216" s="7"/>
      <c r="AT216" s="10"/>
      <c r="AU216" s="10"/>
      <c r="AV216" s="10"/>
      <c r="AW216" s="10"/>
      <c r="AX216" s="10"/>
      <c r="BC216" s="10"/>
      <c r="BE216" s="22"/>
    </row>
    <row r="217" spans="1:62">
      <c r="A217" s="1"/>
      <c r="B217" s="396" t="s">
        <v>55</v>
      </c>
      <c r="C217" s="1"/>
      <c r="D217" s="580">
        <f>D204-INDEX('IPPU Summary'!D$15:D$23,MATCH($B217,'IPPU Summary'!$C$15:$C$23,0))</f>
        <v>0</v>
      </c>
      <c r="E217" s="580">
        <f>E204-INDEX('IPPU Summary'!E$15:E$23,MATCH($B217,'IPPU Summary'!$C$15:$C$23,0))</f>
        <v>0</v>
      </c>
      <c r="F217" s="580">
        <f>F204-INDEX('IPPU Summary'!F$15:F$23,MATCH($B217,'IPPU Summary'!$C$15:$C$23,0))</f>
        <v>0</v>
      </c>
      <c r="G217" s="580">
        <f>G204-INDEX('IPPU Summary'!G$15:G$23,MATCH($B217,'IPPU Summary'!$C$15:$C$23,0))</f>
        <v>0</v>
      </c>
      <c r="H217" s="580">
        <f>H204-INDEX('IPPU Summary'!H$15:H$23,MATCH($B217,'IPPU Summary'!$C$15:$C$23,0))</f>
        <v>0</v>
      </c>
      <c r="I217" s="580">
        <f>I204-INDEX('IPPU Summary'!I$15:I$23,MATCH($B217,'IPPU Summary'!$C$15:$C$23,0))</f>
        <v>0</v>
      </c>
      <c r="J217" s="580">
        <f>J204-INDEX('IPPU Summary'!J$15:J$23,MATCH($B217,'IPPU Summary'!$C$15:$C$23,0))</f>
        <v>0</v>
      </c>
      <c r="K217" s="580">
        <f>K204-INDEX('IPPU Summary'!K$15:K$23,MATCH($B217,'IPPU Summary'!$C$15:$C$23,0))</f>
        <v>0</v>
      </c>
      <c r="L217" s="580">
        <f>L204-INDEX('IPPU Summary'!L$15:L$23,MATCH($B217,'IPPU Summary'!$C$15:$C$23,0))</f>
        <v>0</v>
      </c>
      <c r="M217" s="580">
        <f>M204-INDEX('IPPU Summary'!M$15:M$23,MATCH($B217,'IPPU Summary'!$C$15:$C$23,0))</f>
        <v>0</v>
      </c>
      <c r="N217" s="580">
        <f>N204-INDEX('IPPU Summary'!N$15:N$23,MATCH($B217,'IPPU Summary'!$C$15:$C$23,0))</f>
        <v>0</v>
      </c>
      <c r="O217" s="580">
        <f>O204-INDEX('IPPU Summary'!O$15:O$23,MATCH($B217,'IPPU Summary'!$C$15:$C$23,0))</f>
        <v>0</v>
      </c>
      <c r="P217" s="1"/>
      <c r="Q217" s="7"/>
      <c r="R217" s="7"/>
      <c r="S217" s="1"/>
      <c r="T217" s="10"/>
      <c r="U217" s="10"/>
      <c r="V217" s="10"/>
      <c r="W217" s="10"/>
      <c r="X217" s="10"/>
      <c r="Y217" s="10"/>
      <c r="Z217" s="10"/>
      <c r="AA217" s="10"/>
      <c r="AB217" s="10"/>
      <c r="AC217" s="10"/>
      <c r="AD217" s="1"/>
      <c r="AE217" s="1"/>
      <c r="AF217" s="11"/>
      <c r="AG217" s="10"/>
      <c r="AH217" s="10"/>
      <c r="AI217" s="10"/>
      <c r="AJ217" s="10"/>
      <c r="AK217" s="10"/>
      <c r="AL217" s="10"/>
      <c r="AM217" s="10"/>
      <c r="AN217" s="10"/>
      <c r="AO217" s="10"/>
      <c r="AP217" s="7"/>
      <c r="AQ217" s="37"/>
      <c r="AR217" s="37"/>
      <c r="AS217" s="7"/>
      <c r="AT217" s="10"/>
      <c r="AU217" s="10"/>
      <c r="AV217" s="10"/>
      <c r="AW217" s="10"/>
    </row>
    <row r="218" spans="1:62">
      <c r="A218" s="12"/>
      <c r="B218" s="396" t="s">
        <v>56</v>
      </c>
      <c r="C218" s="1"/>
      <c r="D218" s="580">
        <f>D205-INDEX('IPPU Summary'!D$15:D$23,MATCH($B218,'IPPU Summary'!$C$15:$C$23,0))</f>
        <v>0</v>
      </c>
      <c r="E218" s="580">
        <f>E205-INDEX('IPPU Summary'!E$15:E$23,MATCH($B218,'IPPU Summary'!$C$15:$C$23,0))</f>
        <v>0</v>
      </c>
      <c r="F218" s="580">
        <f>F205-INDEX('IPPU Summary'!F$15:F$23,MATCH($B218,'IPPU Summary'!$C$15:$C$23,0))</f>
        <v>0</v>
      </c>
      <c r="G218" s="580">
        <f>G205-INDEX('IPPU Summary'!G$15:G$23,MATCH($B218,'IPPU Summary'!$C$15:$C$23,0))</f>
        <v>0</v>
      </c>
      <c r="H218" s="580">
        <f>H205-INDEX('IPPU Summary'!H$15:H$23,MATCH($B218,'IPPU Summary'!$C$15:$C$23,0))</f>
        <v>0</v>
      </c>
      <c r="I218" s="580">
        <f>I205-INDEX('IPPU Summary'!I$15:I$23,MATCH($B218,'IPPU Summary'!$C$15:$C$23,0))</f>
        <v>0</v>
      </c>
      <c r="J218" s="580">
        <f>J205-INDEX('IPPU Summary'!J$15:J$23,MATCH($B218,'IPPU Summary'!$C$15:$C$23,0))</f>
        <v>0</v>
      </c>
      <c r="K218" s="580">
        <f>K205-INDEX('IPPU Summary'!K$15:K$23,MATCH($B218,'IPPU Summary'!$C$15:$C$23,0))</f>
        <v>0</v>
      </c>
      <c r="L218" s="580">
        <f>L205-INDEX('IPPU Summary'!L$15:L$23,MATCH($B218,'IPPU Summary'!$C$15:$C$23,0))</f>
        <v>0</v>
      </c>
      <c r="M218" s="580">
        <f>M205-INDEX('IPPU Summary'!M$15:M$23,MATCH($B218,'IPPU Summary'!$C$15:$C$23,0))</f>
        <v>0</v>
      </c>
      <c r="N218" s="580">
        <f>N205-INDEX('IPPU Summary'!N$15:N$23,MATCH($B218,'IPPU Summary'!$C$15:$C$23,0))</f>
        <v>0</v>
      </c>
      <c r="O218" s="580">
        <f>O205-INDEX('IPPU Summary'!O$15:O$23,MATCH($B218,'IPPU Summary'!$C$15:$C$23,0))</f>
        <v>0</v>
      </c>
      <c r="P218" s="1"/>
      <c r="Q218" s="7"/>
      <c r="R218" s="7"/>
      <c r="S218" s="1"/>
      <c r="T218" s="10"/>
      <c r="U218" s="10"/>
      <c r="V218" s="10"/>
      <c r="W218" s="10"/>
      <c r="X218" s="10"/>
      <c r="Y218" s="10"/>
      <c r="Z218" s="10"/>
      <c r="AA218" s="10"/>
      <c r="AB218" s="10"/>
      <c r="AC218" s="10"/>
      <c r="AD218" s="1"/>
      <c r="AE218" s="1"/>
      <c r="AF218" s="11"/>
      <c r="AG218" s="10"/>
      <c r="AH218" s="10"/>
      <c r="AI218" s="10"/>
      <c r="AJ218" s="10"/>
      <c r="AK218" s="10"/>
      <c r="AL218" s="10"/>
      <c r="AM218" s="10"/>
      <c r="AN218" s="10"/>
      <c r="AO218" s="10"/>
      <c r="AP218" s="1"/>
      <c r="AQ218" s="37"/>
      <c r="AR218" s="37"/>
      <c r="AS218" s="1"/>
      <c r="AT218" s="10"/>
      <c r="AU218" s="10"/>
      <c r="AV218" s="10"/>
      <c r="AW218" s="10"/>
    </row>
    <row r="219" spans="1:62" s="1" customFormat="1" ht="13.5">
      <c r="A219" s="283"/>
      <c r="B219" s="396" t="s">
        <v>186</v>
      </c>
      <c r="D219" s="580">
        <f>D206-INDEX('IPPU Summary'!D$15:D$23,MATCH($B219,'IPPU Summary'!$C$15:$C$23,0))</f>
        <v>0</v>
      </c>
      <c r="E219" s="580">
        <f>E206-INDEX('IPPU Summary'!E$15:E$23,MATCH($B219,'IPPU Summary'!$C$15:$C$23,0))</f>
        <v>0</v>
      </c>
      <c r="F219" s="580">
        <f>F206-INDEX('IPPU Summary'!F$15:F$23,MATCH($B219,'IPPU Summary'!$C$15:$C$23,0))</f>
        <v>0</v>
      </c>
      <c r="G219" s="580">
        <f>G206-INDEX('IPPU Summary'!G$15:G$23,MATCH($B219,'IPPU Summary'!$C$15:$C$23,0))</f>
        <v>0</v>
      </c>
      <c r="H219" s="580">
        <f>H206-INDEX('IPPU Summary'!H$15:H$23,MATCH($B219,'IPPU Summary'!$C$15:$C$23,0))</f>
        <v>0</v>
      </c>
      <c r="I219" s="580">
        <f>I206-INDEX('IPPU Summary'!I$15:I$23,MATCH($B219,'IPPU Summary'!$C$15:$C$23,0))</f>
        <v>0</v>
      </c>
      <c r="J219" s="580">
        <f>J206-INDEX('IPPU Summary'!J$15:J$23,MATCH($B219,'IPPU Summary'!$C$15:$C$23,0))</f>
        <v>0</v>
      </c>
      <c r="K219" s="580">
        <f>K206-INDEX('IPPU Summary'!K$15:K$23,MATCH($B219,'IPPU Summary'!$C$15:$C$23,0))</f>
        <v>0</v>
      </c>
      <c r="L219" s="580">
        <f>L206-INDEX('IPPU Summary'!L$15:L$23,MATCH($B219,'IPPU Summary'!$C$15:$C$23,0))</f>
        <v>0</v>
      </c>
      <c r="M219" s="580">
        <f>M206-INDEX('IPPU Summary'!M$15:M$23,MATCH($B219,'IPPU Summary'!$C$15:$C$23,0))</f>
        <v>0</v>
      </c>
      <c r="N219" s="580">
        <f>N206-INDEX('IPPU Summary'!N$15:N$23,MATCH($B219,'IPPU Summary'!$C$15:$C$23,0))</f>
        <v>0</v>
      </c>
      <c r="O219" s="580">
        <f>O206-INDEX('IPPU Summary'!O$15:O$23,MATCH($B219,'IPPU Summary'!$C$15:$C$23,0))</f>
        <v>0</v>
      </c>
      <c r="P219" s="7"/>
      <c r="Q219" s="34"/>
      <c r="R219" s="34"/>
      <c r="S219" s="34"/>
      <c r="T219" s="34"/>
      <c r="U219" s="34"/>
      <c r="V219" s="34"/>
      <c r="W219" s="34"/>
      <c r="X219" s="34"/>
      <c r="Y219" s="34"/>
      <c r="Z219" s="34"/>
      <c r="AA219" s="34"/>
      <c r="AB219" s="34"/>
      <c r="AC219" s="284"/>
      <c r="AD219" s="34"/>
      <c r="AE219" s="34"/>
      <c r="AF219" s="36"/>
      <c r="AG219" s="34"/>
      <c r="AH219" s="34"/>
      <c r="AI219" s="34"/>
      <c r="AJ219" s="34"/>
      <c r="AK219" s="34"/>
      <c r="AL219" s="34"/>
      <c r="AM219" s="34"/>
      <c r="AN219" s="34"/>
      <c r="AO219" s="34"/>
      <c r="AP219" s="7"/>
      <c r="AQ219" s="37"/>
      <c r="AR219" s="37"/>
      <c r="AS219" s="7"/>
      <c r="AT219" s="34"/>
      <c r="AU219" s="34"/>
      <c r="AV219" s="34"/>
      <c r="AW219" s="34"/>
      <c r="AX219" s="34"/>
      <c r="AY219" s="34"/>
      <c r="AZ219" s="34"/>
      <c r="BA219" s="34"/>
      <c r="BB219" s="34"/>
      <c r="BC219" s="34"/>
      <c r="BD219" s="34"/>
      <c r="BE219" s="34"/>
      <c r="BF219" s="34"/>
      <c r="BG219" s="34"/>
      <c r="BH219" s="34"/>
      <c r="BI219" s="34"/>
      <c r="BJ219" s="13"/>
    </row>
    <row r="220" spans="1:62" ht="13.5">
      <c r="A220" s="1"/>
      <c r="B220" s="396" t="s">
        <v>187</v>
      </c>
      <c r="C220" s="1"/>
      <c r="D220" s="580">
        <f>D207-INDEX('IPPU Summary'!D$15:D$23,MATCH($B220,'IPPU Summary'!$C$15:$C$23,0))</f>
        <v>0</v>
      </c>
      <c r="E220" s="580">
        <f>E207-INDEX('IPPU Summary'!E$15:E$23,MATCH($B220,'IPPU Summary'!$C$15:$C$23,0))</f>
        <v>0</v>
      </c>
      <c r="F220" s="580">
        <f>F207-INDEX('IPPU Summary'!F$15:F$23,MATCH($B220,'IPPU Summary'!$C$15:$C$23,0))</f>
        <v>0</v>
      </c>
      <c r="G220" s="580">
        <f>G207-INDEX('IPPU Summary'!G$15:G$23,MATCH($B220,'IPPU Summary'!$C$15:$C$23,0))</f>
        <v>0</v>
      </c>
      <c r="H220" s="580">
        <f>H207-INDEX('IPPU Summary'!H$15:H$23,MATCH($B220,'IPPU Summary'!$C$15:$C$23,0))</f>
        <v>0</v>
      </c>
      <c r="I220" s="580">
        <f>I207-INDEX('IPPU Summary'!I$15:I$23,MATCH($B220,'IPPU Summary'!$C$15:$C$23,0))</f>
        <v>0</v>
      </c>
      <c r="J220" s="580">
        <f>J207-INDEX('IPPU Summary'!J$15:J$23,MATCH($B220,'IPPU Summary'!$C$15:$C$23,0))</f>
        <v>0</v>
      </c>
      <c r="K220" s="580">
        <f>K207-INDEX('IPPU Summary'!K$15:K$23,MATCH($B220,'IPPU Summary'!$C$15:$C$23,0))</f>
        <v>0</v>
      </c>
      <c r="L220" s="580">
        <f>L207-INDEX('IPPU Summary'!L$15:L$23,MATCH($B220,'IPPU Summary'!$C$15:$C$23,0))</f>
        <v>0</v>
      </c>
      <c r="M220" s="580">
        <f>M207-INDEX('IPPU Summary'!M$15:M$23,MATCH($B220,'IPPU Summary'!$C$15:$C$23,0))</f>
        <v>0</v>
      </c>
      <c r="N220" s="580">
        <f>N207-INDEX('IPPU Summary'!N$15:N$23,MATCH($B220,'IPPU Summary'!$C$15:$C$23,0))</f>
        <v>0</v>
      </c>
      <c r="O220" s="580">
        <f>O207-INDEX('IPPU Summary'!O$15:O$23,MATCH($B220,'IPPU Summary'!$C$15:$C$23,0))</f>
        <v>0</v>
      </c>
      <c r="P220" s="7"/>
      <c r="Q220" s="7"/>
      <c r="R220" s="7"/>
      <c r="S220" s="7"/>
      <c r="T220" s="14"/>
      <c r="U220" s="14"/>
      <c r="V220" s="14"/>
      <c r="W220" s="14"/>
      <c r="X220" s="14"/>
      <c r="Y220" s="14"/>
      <c r="Z220" s="14"/>
      <c r="AA220" s="14"/>
      <c r="AB220" s="14"/>
      <c r="AC220" s="285"/>
      <c r="AD220" s="7"/>
      <c r="AE220" s="7"/>
      <c r="AF220" s="20"/>
      <c r="AG220" s="14"/>
      <c r="AH220" s="14"/>
      <c r="AI220" s="14"/>
      <c r="AJ220" s="14"/>
      <c r="AK220" s="14"/>
      <c r="AL220" s="14"/>
      <c r="AM220" s="14"/>
      <c r="AN220" s="14"/>
      <c r="AO220" s="14"/>
      <c r="AP220" s="1"/>
      <c r="AQ220" s="37"/>
      <c r="AR220" s="37"/>
      <c r="AS220" s="1"/>
      <c r="AT220" s="14"/>
      <c r="AU220" s="14"/>
      <c r="AV220" s="14"/>
      <c r="AW220" s="14"/>
      <c r="AX220" s="8"/>
      <c r="AY220" s="7"/>
      <c r="AZ220" s="7"/>
      <c r="BA220" s="7"/>
      <c r="BB220" s="7"/>
      <c r="BC220" s="20"/>
      <c r="BD220" s="7"/>
      <c r="BE220" s="9"/>
      <c r="BF220" s="7"/>
      <c r="BG220" s="15"/>
      <c r="BH220" s="7"/>
      <c r="BI220" s="15"/>
    </row>
    <row r="221" spans="1:62">
      <c r="A221" s="1"/>
      <c r="B221" s="396" t="s">
        <v>58</v>
      </c>
      <c r="C221" s="1"/>
      <c r="D221" s="580">
        <f>D208-INDEX('IPPU Summary'!D$15:D$23,MATCH($B221,'IPPU Summary'!$C$15:$C$23,0))</f>
        <v>0</v>
      </c>
      <c r="E221" s="580">
        <f>E208-INDEX('IPPU Summary'!E$15:E$23,MATCH($B221,'IPPU Summary'!$C$15:$C$23,0))</f>
        <v>0</v>
      </c>
      <c r="F221" s="580">
        <f>F208-INDEX('IPPU Summary'!F$15:F$23,MATCH($B221,'IPPU Summary'!$C$15:$C$23,0))</f>
        <v>0</v>
      </c>
      <c r="G221" s="580">
        <f>G208-INDEX('IPPU Summary'!G$15:G$23,MATCH($B221,'IPPU Summary'!$C$15:$C$23,0))</f>
        <v>0</v>
      </c>
      <c r="H221" s="580">
        <f>H208-INDEX('IPPU Summary'!H$15:H$23,MATCH($B221,'IPPU Summary'!$C$15:$C$23,0))</f>
        <v>0</v>
      </c>
      <c r="I221" s="580">
        <f>I208-INDEX('IPPU Summary'!I$15:I$23,MATCH($B221,'IPPU Summary'!$C$15:$C$23,0))</f>
        <v>0</v>
      </c>
      <c r="J221" s="580">
        <f>J208-INDEX('IPPU Summary'!J$15:J$23,MATCH($B221,'IPPU Summary'!$C$15:$C$23,0))</f>
        <v>0</v>
      </c>
      <c r="K221" s="580">
        <f>K208-INDEX('IPPU Summary'!K$15:K$23,MATCH($B221,'IPPU Summary'!$C$15:$C$23,0))</f>
        <v>0</v>
      </c>
      <c r="L221" s="580">
        <f>L208-INDEX('IPPU Summary'!L$15:L$23,MATCH($B221,'IPPU Summary'!$C$15:$C$23,0))</f>
        <v>0</v>
      </c>
      <c r="M221" s="580">
        <f>M208-INDEX('IPPU Summary'!M$15:M$23,MATCH($B221,'IPPU Summary'!$C$15:$C$23,0))</f>
        <v>0</v>
      </c>
      <c r="N221" s="580">
        <f>N208-INDEX('IPPU Summary'!N$15:N$23,MATCH($B221,'IPPU Summary'!$C$15:$C$23,0))</f>
        <v>0</v>
      </c>
      <c r="O221" s="580">
        <f>O208-INDEX('IPPU Summary'!O$15:O$23,MATCH($B221,'IPPU Summary'!$C$15:$C$23,0))</f>
        <v>0</v>
      </c>
      <c r="P221" s="7"/>
      <c r="Q221" s="7"/>
      <c r="R221" s="7"/>
      <c r="S221" s="7"/>
      <c r="T221" s="14"/>
      <c r="U221" s="14"/>
      <c r="V221" s="14"/>
      <c r="W221" s="14"/>
      <c r="X221" s="14"/>
      <c r="Y221" s="14"/>
      <c r="Z221" s="14"/>
      <c r="AA221" s="14"/>
      <c r="AB221" s="14"/>
      <c r="AC221" s="285"/>
      <c r="AD221" s="7"/>
      <c r="AE221" s="7"/>
      <c r="AF221" s="20"/>
      <c r="AG221" s="14"/>
      <c r="AH221" s="14"/>
      <c r="AI221" s="14"/>
      <c r="AJ221" s="14"/>
      <c r="AK221" s="14"/>
      <c r="AL221" s="14"/>
      <c r="AM221" s="14"/>
      <c r="AN221" s="14"/>
      <c r="AO221" s="14"/>
      <c r="AP221" s="7"/>
      <c r="AQ221" s="37"/>
      <c r="AR221" s="37"/>
      <c r="AS221" s="7"/>
      <c r="AT221" s="14"/>
      <c r="AU221" s="14"/>
      <c r="AV221" s="14"/>
      <c r="AW221" s="14"/>
      <c r="AX221" s="8"/>
      <c r="AY221" s="7"/>
      <c r="AZ221" s="7"/>
      <c r="BA221" s="7"/>
      <c r="BB221" s="7"/>
      <c r="BC221" s="20"/>
      <c r="BD221" s="7"/>
      <c r="BE221" s="9"/>
      <c r="BF221" s="7"/>
      <c r="BG221" s="15"/>
      <c r="BH221" s="7"/>
      <c r="BI221" s="15"/>
    </row>
    <row r="222" spans="1:62">
      <c r="A222" s="1"/>
      <c r="B222" s="3"/>
      <c r="C222" s="1"/>
      <c r="D222" s="34"/>
      <c r="E222" s="34"/>
      <c r="F222" s="34"/>
      <c r="G222" s="34"/>
      <c r="H222" s="34"/>
      <c r="I222" s="34"/>
      <c r="J222" s="34"/>
      <c r="K222" s="34"/>
      <c r="L222" s="34"/>
      <c r="M222" s="34"/>
      <c r="N222" s="34"/>
      <c r="O222" s="34"/>
      <c r="P222" s="1"/>
      <c r="Q222" s="7"/>
      <c r="R222" s="7"/>
      <c r="S222" s="1"/>
      <c r="T222" s="10"/>
      <c r="U222" s="10"/>
      <c r="V222" s="10"/>
      <c r="W222" s="10"/>
      <c r="X222" s="10"/>
      <c r="Y222" s="10"/>
      <c r="Z222" s="10"/>
      <c r="AA222" s="10"/>
      <c r="AB222" s="10"/>
      <c r="AC222" s="285"/>
      <c r="AD222" s="1"/>
      <c r="AE222" s="1"/>
      <c r="AF222" s="11"/>
      <c r="AG222" s="10"/>
      <c r="AH222" s="10"/>
      <c r="AI222" s="10"/>
      <c r="AJ222" s="10"/>
      <c r="AK222" s="10"/>
      <c r="AL222" s="10"/>
      <c r="AM222" s="10"/>
      <c r="AN222" s="10"/>
      <c r="AO222" s="10"/>
      <c r="AP222" s="7"/>
      <c r="AQ222" s="37"/>
      <c r="AR222" s="37"/>
      <c r="AS222" s="7"/>
      <c r="AT222" s="10"/>
      <c r="AU222" s="10"/>
      <c r="AV222" s="10"/>
      <c r="AW222" s="10"/>
      <c r="AX222" s="8"/>
      <c r="AY222" s="1"/>
      <c r="AZ222" s="1"/>
      <c r="BA222" s="1"/>
      <c r="BB222" s="1"/>
      <c r="BD222" s="1"/>
      <c r="BF222" s="1"/>
      <c r="BH222" s="1"/>
    </row>
    <row r="223" spans="1:62">
      <c r="A223" s="1"/>
      <c r="B223" s="1"/>
      <c r="C223" s="1"/>
      <c r="D223" s="14"/>
      <c r="E223" s="14"/>
      <c r="F223" s="14"/>
      <c r="G223" s="14"/>
      <c r="H223" s="14"/>
      <c r="I223" s="14"/>
      <c r="J223" s="14"/>
      <c r="K223" s="14"/>
      <c r="L223" s="14"/>
      <c r="M223" s="14"/>
      <c r="N223" s="14"/>
      <c r="O223" s="14"/>
      <c r="P223" s="7"/>
      <c r="Q223" s="7"/>
      <c r="R223" s="7"/>
      <c r="S223" s="7"/>
      <c r="T223" s="14"/>
      <c r="U223" s="14"/>
      <c r="V223" s="14"/>
      <c r="W223" s="14"/>
      <c r="X223" s="14"/>
      <c r="Y223" s="14"/>
      <c r="Z223" s="14"/>
      <c r="AA223" s="14"/>
      <c r="AB223" s="14"/>
      <c r="AC223" s="285"/>
      <c r="AD223" s="7"/>
      <c r="AE223" s="7"/>
      <c r="AF223" s="20"/>
      <c r="AG223" s="14"/>
      <c r="AH223" s="14"/>
      <c r="AI223" s="14"/>
      <c r="AJ223" s="14"/>
      <c r="AK223" s="14"/>
      <c r="AL223" s="14"/>
      <c r="AM223" s="14"/>
      <c r="AN223" s="14"/>
      <c r="AO223" s="14"/>
      <c r="AP223" s="7"/>
      <c r="AQ223" s="37"/>
      <c r="AR223" s="37"/>
      <c r="AS223" s="7"/>
      <c r="AT223" s="14"/>
      <c r="AU223" s="14"/>
      <c r="AV223" s="14"/>
      <c r="AW223" s="14"/>
      <c r="AX223" s="8"/>
      <c r="AY223" s="7"/>
      <c r="AZ223" s="7"/>
      <c r="BA223" s="7"/>
      <c r="BB223" s="7"/>
      <c r="BC223" s="20"/>
      <c r="BD223" s="7"/>
      <c r="BE223" s="9"/>
      <c r="BF223" s="7"/>
      <c r="BG223" s="15"/>
      <c r="BH223" s="7"/>
      <c r="BI223" s="15"/>
    </row>
    <row r="224" spans="1:62">
      <c r="A224" s="1"/>
      <c r="B224" s="1"/>
      <c r="C224" s="1"/>
      <c r="D224" s="14"/>
      <c r="E224" s="14"/>
      <c r="F224" s="14"/>
      <c r="G224" s="14"/>
      <c r="H224" s="14"/>
      <c r="I224" s="14"/>
      <c r="J224" s="14"/>
      <c r="K224" s="14"/>
      <c r="L224" s="14"/>
      <c r="M224" s="14"/>
      <c r="N224" s="14"/>
      <c r="O224" s="14"/>
      <c r="P224" s="7"/>
      <c r="Q224" s="7"/>
      <c r="R224" s="7"/>
      <c r="S224" s="7"/>
      <c r="T224" s="14"/>
      <c r="U224" s="14"/>
      <c r="V224" s="14"/>
      <c r="W224" s="14"/>
      <c r="X224" s="14"/>
      <c r="Y224" s="14"/>
      <c r="Z224" s="14"/>
      <c r="AA224" s="14"/>
      <c r="AB224" s="14"/>
      <c r="AC224" s="285"/>
      <c r="AD224" s="7"/>
      <c r="AE224" s="7"/>
      <c r="AF224" s="20"/>
      <c r="AG224" s="14"/>
      <c r="AH224" s="14"/>
      <c r="AI224" s="14"/>
      <c r="AJ224" s="14"/>
      <c r="AK224" s="14"/>
      <c r="AL224" s="14"/>
      <c r="AM224" s="14"/>
      <c r="AN224" s="14"/>
      <c r="AO224" s="14"/>
      <c r="AP224" s="7"/>
      <c r="AQ224" s="37"/>
      <c r="AR224" s="37"/>
      <c r="AS224" s="7"/>
      <c r="AT224" s="14"/>
      <c r="AU224" s="14"/>
      <c r="AV224" s="14"/>
      <c r="AW224" s="14"/>
      <c r="AX224" s="8"/>
      <c r="AY224" s="7"/>
      <c r="AZ224" s="7"/>
      <c r="BA224" s="7"/>
      <c r="BB224" s="7"/>
      <c r="BC224" s="20"/>
      <c r="BD224" s="7"/>
      <c r="BE224" s="9"/>
      <c r="BF224" s="7"/>
      <c r="BG224" s="15"/>
      <c r="BH224" s="7"/>
      <c r="BI224" s="15"/>
    </row>
    <row r="225" spans="1:61">
      <c r="A225" s="1"/>
      <c r="B225" s="1"/>
      <c r="C225" s="1"/>
      <c r="D225" s="10"/>
      <c r="E225" s="10"/>
      <c r="F225" s="10"/>
      <c r="G225" s="10"/>
      <c r="H225" s="10"/>
      <c r="I225" s="10"/>
      <c r="J225" s="10"/>
      <c r="K225" s="10"/>
      <c r="L225" s="10"/>
      <c r="M225" s="10"/>
      <c r="N225" s="10"/>
      <c r="O225" s="10"/>
      <c r="P225" s="7"/>
      <c r="Q225" s="7"/>
      <c r="R225" s="7"/>
      <c r="S225" s="7"/>
      <c r="T225" s="14"/>
      <c r="U225" s="14"/>
      <c r="V225" s="14"/>
      <c r="W225" s="14"/>
      <c r="X225" s="14"/>
      <c r="Y225" s="14"/>
      <c r="Z225" s="14"/>
      <c r="AA225" s="14"/>
      <c r="AB225" s="14"/>
      <c r="AC225" s="285"/>
      <c r="AD225" s="7"/>
      <c r="AE225" s="7"/>
      <c r="AF225" s="20"/>
      <c r="AG225" s="14"/>
      <c r="AH225" s="14"/>
      <c r="AI225" s="14"/>
      <c r="AJ225" s="14"/>
      <c r="AK225" s="14"/>
      <c r="AL225" s="14"/>
      <c r="AM225" s="14"/>
      <c r="AN225" s="14"/>
      <c r="AO225" s="14"/>
      <c r="AP225" s="7"/>
      <c r="AQ225" s="37"/>
      <c r="AR225" s="37"/>
      <c r="AS225" s="7"/>
      <c r="AT225" s="14"/>
      <c r="AU225" s="14"/>
      <c r="AV225" s="14"/>
      <c r="AW225" s="14"/>
      <c r="AX225" s="8"/>
      <c r="AY225" s="7"/>
      <c r="AZ225" s="7"/>
      <c r="BA225" s="7"/>
      <c r="BB225" s="7"/>
      <c r="BC225" s="20"/>
      <c r="BD225" s="7"/>
      <c r="BE225" s="9"/>
      <c r="BF225" s="7"/>
      <c r="BG225" s="15"/>
      <c r="BH225" s="7"/>
      <c r="BI225" s="15"/>
    </row>
    <row r="226" spans="1:61">
      <c r="A226" s="1"/>
      <c r="B226" s="1"/>
      <c r="C226" s="1"/>
      <c r="D226" s="14"/>
      <c r="E226" s="14"/>
      <c r="F226" s="14"/>
      <c r="G226" s="14"/>
      <c r="H226" s="14"/>
      <c r="I226" s="14"/>
      <c r="J226" s="14"/>
      <c r="K226" s="14"/>
      <c r="L226" s="14"/>
      <c r="M226" s="14"/>
      <c r="N226" s="14"/>
      <c r="O226" s="14"/>
      <c r="P226" s="7"/>
      <c r="Q226" s="7"/>
      <c r="R226" s="7"/>
      <c r="S226" s="7"/>
      <c r="T226" s="14"/>
      <c r="U226" s="14"/>
      <c r="V226" s="14"/>
      <c r="W226" s="14"/>
      <c r="X226" s="14"/>
      <c r="Y226" s="14"/>
      <c r="Z226" s="14"/>
      <c r="AA226" s="14"/>
      <c r="AB226" s="14"/>
      <c r="AC226" s="285"/>
      <c r="AD226" s="7"/>
      <c r="AE226" s="7"/>
      <c r="AF226" s="20"/>
      <c r="AG226" s="14"/>
      <c r="AH226" s="14"/>
      <c r="AI226" s="14"/>
      <c r="AJ226" s="14"/>
      <c r="AK226" s="14"/>
      <c r="AL226" s="14"/>
      <c r="AM226" s="14"/>
      <c r="AN226" s="14"/>
      <c r="AO226" s="14"/>
      <c r="AP226" s="7"/>
      <c r="AQ226" s="37"/>
      <c r="AR226" s="37"/>
      <c r="AS226" s="7"/>
      <c r="AT226" s="14"/>
      <c r="AU226" s="14"/>
      <c r="AV226" s="14"/>
      <c r="AW226" s="14"/>
      <c r="AX226" s="8"/>
      <c r="AY226" s="7"/>
      <c r="AZ226" s="7"/>
      <c r="BA226" s="7"/>
      <c r="BB226" s="7"/>
      <c r="BC226" s="20"/>
      <c r="BD226" s="7"/>
      <c r="BE226" s="9"/>
      <c r="BF226" s="7"/>
      <c r="BG226" s="15"/>
      <c r="BH226" s="7"/>
      <c r="BI226" s="15"/>
    </row>
    <row r="227" spans="1:61">
      <c r="A227" s="1"/>
      <c r="B227" s="1"/>
      <c r="C227" s="1"/>
      <c r="D227" s="14"/>
      <c r="E227" s="14"/>
      <c r="F227" s="14"/>
      <c r="G227" s="14"/>
      <c r="H227" s="14"/>
      <c r="I227" s="14"/>
      <c r="J227" s="14"/>
      <c r="K227" s="14"/>
      <c r="L227" s="14"/>
      <c r="M227" s="14"/>
      <c r="N227" s="14"/>
      <c r="O227" s="14"/>
      <c r="P227" s="7"/>
      <c r="Q227" s="7"/>
      <c r="R227" s="7"/>
      <c r="S227" s="7"/>
      <c r="T227" s="14"/>
      <c r="U227" s="14"/>
      <c r="V227" s="14"/>
      <c r="W227" s="14"/>
      <c r="X227" s="14"/>
      <c r="Y227" s="14"/>
      <c r="Z227" s="14"/>
      <c r="AA227" s="14"/>
      <c r="AB227" s="14"/>
      <c r="AC227" s="285"/>
      <c r="AD227" s="7"/>
      <c r="AE227" s="7"/>
      <c r="AF227" s="20"/>
      <c r="AG227" s="14"/>
      <c r="AH227" s="14"/>
      <c r="AI227" s="14"/>
      <c r="AJ227" s="14"/>
      <c r="AK227" s="14"/>
      <c r="AL227" s="14"/>
      <c r="AM227" s="14"/>
      <c r="AN227" s="14"/>
      <c r="AO227" s="14"/>
      <c r="AP227" s="1"/>
      <c r="AQ227" s="17"/>
      <c r="AR227" s="17"/>
      <c r="AT227" s="14"/>
      <c r="AU227" s="14"/>
      <c r="AV227" s="14"/>
      <c r="AW227" s="14"/>
      <c r="AX227" s="8"/>
      <c r="AY227" s="7"/>
      <c r="AZ227" s="7"/>
      <c r="BA227" s="7"/>
      <c r="BB227" s="7"/>
      <c r="BC227" s="20"/>
      <c r="BD227" s="7"/>
      <c r="BE227" s="9"/>
      <c r="BF227" s="7"/>
      <c r="BG227" s="15"/>
      <c r="BH227" s="7"/>
      <c r="BI227" s="15"/>
    </row>
    <row r="228" spans="1:61">
      <c r="A228" s="1"/>
      <c r="B228" s="1"/>
      <c r="C228" s="1"/>
      <c r="D228" s="14"/>
      <c r="E228" s="14"/>
      <c r="F228" s="14"/>
      <c r="G228" s="14"/>
      <c r="H228" s="14"/>
      <c r="I228" s="14"/>
      <c r="J228" s="14"/>
      <c r="K228" s="14"/>
      <c r="L228" s="14"/>
      <c r="M228" s="14"/>
      <c r="N228" s="14"/>
      <c r="O228" s="14"/>
      <c r="P228" s="7"/>
      <c r="Q228" s="7"/>
      <c r="R228" s="7"/>
      <c r="S228" s="7"/>
      <c r="T228" s="14"/>
      <c r="U228" s="14"/>
      <c r="V228" s="14"/>
      <c r="W228" s="14"/>
      <c r="X228" s="14"/>
      <c r="Y228" s="14"/>
      <c r="Z228" s="14"/>
      <c r="AA228" s="14"/>
      <c r="AB228" s="14"/>
      <c r="AC228" s="285"/>
      <c r="AD228" s="7"/>
      <c r="AE228" s="7"/>
      <c r="AF228" s="20"/>
      <c r="AG228" s="14"/>
      <c r="AH228" s="14"/>
      <c r="AI228" s="14"/>
      <c r="AJ228" s="14"/>
      <c r="AK228" s="14"/>
      <c r="AL228" s="14"/>
      <c r="AM228" s="14"/>
      <c r="AN228" s="14"/>
      <c r="AO228" s="14"/>
      <c r="AP228" s="1"/>
      <c r="AQ228" s="11"/>
      <c r="AR228" s="11"/>
      <c r="AT228" s="14"/>
      <c r="AU228" s="14"/>
      <c r="AV228" s="14"/>
      <c r="AW228" s="14"/>
      <c r="AX228" s="8"/>
      <c r="AY228" s="7"/>
      <c r="AZ228" s="7"/>
      <c r="BA228" s="7"/>
      <c r="BB228" s="7"/>
      <c r="BC228" s="20"/>
      <c r="BD228" s="7"/>
      <c r="BE228" s="9"/>
      <c r="BF228" s="7"/>
      <c r="BG228" s="15"/>
      <c r="BH228" s="7"/>
      <c r="BI228" s="15"/>
    </row>
    <row r="229" spans="1:61">
      <c r="A229" s="1"/>
      <c r="B229" s="1"/>
      <c r="C229" s="1"/>
      <c r="D229" s="14"/>
      <c r="E229" s="14"/>
      <c r="F229" s="14"/>
      <c r="G229" s="14"/>
      <c r="H229" s="14"/>
      <c r="I229" s="14"/>
      <c r="J229" s="14"/>
      <c r="K229" s="14"/>
      <c r="L229" s="14"/>
      <c r="M229" s="14"/>
      <c r="N229" s="14"/>
      <c r="O229" s="14"/>
      <c r="P229" s="7"/>
      <c r="Q229" s="7"/>
      <c r="R229" s="7"/>
      <c r="S229" s="7"/>
      <c r="T229" s="14"/>
      <c r="U229" s="14"/>
      <c r="V229" s="14"/>
      <c r="W229" s="14"/>
      <c r="X229" s="14"/>
      <c r="Y229" s="14"/>
      <c r="Z229" s="14"/>
      <c r="AA229" s="14"/>
      <c r="AB229" s="14"/>
      <c r="AC229" s="285"/>
      <c r="AD229" s="7"/>
      <c r="AE229" s="7"/>
      <c r="AF229" s="20"/>
      <c r="AG229" s="14"/>
      <c r="AH229" s="14"/>
      <c r="AI229" s="14"/>
      <c r="AJ229" s="14"/>
      <c r="AK229" s="14"/>
      <c r="AL229" s="14"/>
      <c r="AM229" s="14"/>
      <c r="AN229" s="14"/>
      <c r="AO229" s="14"/>
      <c r="AP229" s="34"/>
      <c r="AQ229" s="36"/>
      <c r="AR229" s="36"/>
      <c r="AS229" s="34"/>
      <c r="AT229" s="14"/>
      <c r="AU229" s="14"/>
      <c r="AV229" s="14"/>
      <c r="AW229" s="14"/>
      <c r="AX229" s="8"/>
      <c r="AY229" s="7"/>
      <c r="AZ229" s="7"/>
      <c r="BA229" s="7"/>
      <c r="BB229" s="7"/>
      <c r="BC229" s="20"/>
      <c r="BD229" s="7"/>
      <c r="BE229" s="9"/>
      <c r="BF229" s="7"/>
      <c r="BG229" s="15"/>
      <c r="BH229" s="7"/>
      <c r="BI229" s="15"/>
    </row>
    <row r="230" spans="1:61">
      <c r="A230" s="1"/>
      <c r="B230" s="1"/>
      <c r="C230" s="1"/>
      <c r="D230" s="14"/>
      <c r="E230" s="14"/>
      <c r="F230" s="14"/>
      <c r="G230" s="14"/>
      <c r="H230" s="14"/>
      <c r="I230" s="14"/>
      <c r="J230" s="14"/>
      <c r="K230" s="14"/>
      <c r="L230" s="14"/>
      <c r="M230" s="14"/>
      <c r="N230" s="14"/>
      <c r="O230" s="14"/>
      <c r="P230" s="1"/>
      <c r="Q230" s="7"/>
      <c r="R230" s="7"/>
      <c r="S230" s="1"/>
      <c r="T230" s="10"/>
      <c r="U230" s="10"/>
      <c r="V230" s="10"/>
      <c r="W230" s="10"/>
      <c r="X230" s="10"/>
      <c r="Y230" s="10"/>
      <c r="Z230" s="10"/>
      <c r="AA230" s="10"/>
      <c r="AB230" s="10"/>
      <c r="AC230" s="10"/>
      <c r="AD230" s="1"/>
      <c r="AE230" s="1"/>
      <c r="AF230" s="11"/>
      <c r="AG230" s="10"/>
      <c r="AH230" s="10"/>
      <c r="AI230" s="10"/>
      <c r="AJ230" s="10"/>
      <c r="AK230" s="10"/>
      <c r="AL230" s="10"/>
      <c r="AM230" s="10"/>
      <c r="AN230" s="10"/>
      <c r="AO230" s="10"/>
      <c r="AP230" s="1"/>
      <c r="AQ230" s="20"/>
      <c r="AR230" s="20"/>
      <c r="AS230" s="7"/>
      <c r="AT230" s="10"/>
      <c r="AU230" s="10"/>
      <c r="AV230" s="10"/>
      <c r="AW230" s="10"/>
      <c r="AX230" s="8"/>
      <c r="AY230" s="1"/>
      <c r="AZ230" s="1"/>
      <c r="BA230" s="1"/>
      <c r="BB230" s="1"/>
      <c r="BD230" s="1"/>
      <c r="BF230" s="1"/>
      <c r="BH230" s="1"/>
    </row>
    <row r="231" spans="1:61">
      <c r="A231" s="1"/>
      <c r="B231" s="1"/>
      <c r="C231" s="1"/>
      <c r="D231" s="14"/>
      <c r="E231" s="14"/>
      <c r="F231" s="14"/>
      <c r="G231" s="14"/>
      <c r="H231" s="14"/>
      <c r="I231" s="14"/>
      <c r="J231" s="14"/>
      <c r="K231" s="14"/>
      <c r="L231" s="14"/>
      <c r="M231" s="14"/>
      <c r="N231" s="14"/>
      <c r="O231" s="14"/>
      <c r="P231" s="7"/>
      <c r="Q231" s="7"/>
      <c r="R231" s="7"/>
      <c r="S231" s="7"/>
      <c r="T231" s="14"/>
      <c r="U231" s="14"/>
      <c r="V231" s="14"/>
      <c r="W231" s="14"/>
      <c r="X231" s="14"/>
      <c r="Y231" s="14"/>
      <c r="Z231" s="14"/>
      <c r="AA231" s="14"/>
      <c r="AB231" s="14"/>
      <c r="AC231" s="285"/>
      <c r="AD231" s="7"/>
      <c r="AE231" s="7"/>
      <c r="AF231" s="20"/>
      <c r="AG231" s="14"/>
      <c r="AH231" s="14"/>
      <c r="AI231" s="14"/>
      <c r="AJ231" s="14"/>
      <c r="AK231" s="14"/>
      <c r="AL231" s="14"/>
      <c r="AM231" s="14"/>
      <c r="AN231" s="14"/>
      <c r="AO231" s="14"/>
      <c r="AP231" s="1"/>
      <c r="AQ231" s="20"/>
      <c r="AR231" s="20"/>
      <c r="AS231" s="7"/>
      <c r="AT231" s="14"/>
      <c r="AU231" s="14"/>
      <c r="AV231" s="14"/>
      <c r="AW231" s="14"/>
      <c r="AX231" s="8"/>
      <c r="AY231" s="7"/>
      <c r="AZ231" s="7"/>
      <c r="BA231" s="7"/>
      <c r="BB231" s="7"/>
      <c r="BC231" s="20"/>
      <c r="BD231" s="7"/>
      <c r="BE231" s="9"/>
      <c r="BF231" s="7"/>
      <c r="BG231" s="15"/>
      <c r="BH231" s="7"/>
      <c r="BI231" s="15"/>
    </row>
    <row r="232" spans="1:61">
      <c r="A232" s="1"/>
      <c r="B232" s="1"/>
      <c r="C232" s="1"/>
      <c r="D232" s="14"/>
      <c r="E232" s="14"/>
      <c r="F232" s="14"/>
      <c r="G232" s="14"/>
      <c r="H232" s="14"/>
      <c r="I232" s="14"/>
      <c r="J232" s="14"/>
      <c r="K232" s="14"/>
      <c r="L232" s="14"/>
      <c r="M232" s="14"/>
      <c r="N232" s="14"/>
      <c r="O232" s="14"/>
      <c r="P232" s="7"/>
      <c r="Q232" s="7"/>
      <c r="R232" s="7"/>
      <c r="S232" s="7"/>
      <c r="T232" s="14"/>
      <c r="U232" s="14"/>
      <c r="V232" s="14"/>
      <c r="W232" s="14"/>
      <c r="X232" s="14"/>
      <c r="Y232" s="14"/>
      <c r="Z232" s="14"/>
      <c r="AA232" s="14"/>
      <c r="AB232" s="14"/>
      <c r="AC232" s="285"/>
      <c r="AD232" s="7"/>
      <c r="AE232" s="7"/>
      <c r="AF232" s="20"/>
      <c r="AG232" s="14"/>
      <c r="AH232" s="14"/>
      <c r="AI232" s="14"/>
      <c r="AJ232" s="14"/>
      <c r="AK232" s="14"/>
      <c r="AL232" s="14"/>
      <c r="AM232" s="14"/>
      <c r="AN232" s="14"/>
      <c r="AO232" s="14"/>
      <c r="AP232" s="1"/>
      <c r="AQ232" s="11"/>
      <c r="AR232" s="11"/>
      <c r="AT232" s="14"/>
      <c r="AU232" s="14"/>
      <c r="AV232" s="14"/>
      <c r="AW232" s="14"/>
      <c r="AX232" s="8"/>
      <c r="AY232" s="7"/>
      <c r="AZ232" s="7"/>
      <c r="BA232" s="7"/>
      <c r="BB232" s="7"/>
      <c r="BC232" s="20"/>
      <c r="BD232" s="7"/>
      <c r="BE232" s="9"/>
      <c r="BF232" s="7"/>
      <c r="BG232" s="15"/>
      <c r="BH232" s="7"/>
      <c r="BI232" s="15"/>
    </row>
    <row r="233" spans="1:61">
      <c r="A233" s="1"/>
      <c r="C233" s="1"/>
      <c r="D233" s="10"/>
      <c r="E233" s="10"/>
      <c r="F233" s="10"/>
      <c r="G233" s="10"/>
      <c r="H233" s="10"/>
      <c r="I233" s="10"/>
      <c r="J233" s="10"/>
      <c r="K233" s="10"/>
      <c r="L233" s="10"/>
      <c r="M233" s="10"/>
      <c r="N233" s="10"/>
      <c r="O233" s="10"/>
      <c r="P233" s="1"/>
      <c r="Q233" s="7"/>
      <c r="R233" s="7"/>
      <c r="S233" s="1"/>
      <c r="T233" s="10"/>
      <c r="U233" s="10"/>
      <c r="V233" s="10"/>
      <c r="W233" s="10"/>
      <c r="X233" s="10"/>
      <c r="Y233" s="10"/>
      <c r="Z233" s="10"/>
      <c r="AA233" s="10"/>
      <c r="AB233" s="10"/>
      <c r="AC233" s="10"/>
      <c r="AD233" s="1"/>
      <c r="AE233" s="1"/>
      <c r="AF233" s="11"/>
      <c r="AG233" s="10"/>
      <c r="AH233" s="10"/>
      <c r="AI233" s="10"/>
      <c r="AJ233" s="10"/>
      <c r="AK233" s="10"/>
      <c r="AL233" s="10"/>
      <c r="AM233" s="10"/>
      <c r="AN233" s="10"/>
      <c r="AO233" s="10"/>
      <c r="AP233" s="1"/>
      <c r="AQ233" s="20"/>
      <c r="AR233" s="20"/>
      <c r="AS233" s="7"/>
      <c r="AT233" s="10"/>
      <c r="AU233" s="10"/>
      <c r="AV233" s="10"/>
      <c r="AW233" s="10"/>
      <c r="AX233" s="8"/>
      <c r="AY233" s="1"/>
      <c r="AZ233" s="1"/>
      <c r="BA233" s="1"/>
      <c r="BB233" s="1"/>
      <c r="BD233" s="1"/>
      <c r="BF233" s="1"/>
      <c r="BH233" s="1"/>
    </row>
    <row r="234" spans="1:61">
      <c r="A234" s="1"/>
      <c r="B234" s="1"/>
      <c r="C234" s="1"/>
      <c r="D234" s="14"/>
      <c r="E234" s="14"/>
      <c r="F234" s="14"/>
      <c r="G234" s="14"/>
      <c r="H234" s="14"/>
      <c r="I234" s="14"/>
      <c r="J234" s="14"/>
      <c r="K234" s="14"/>
      <c r="L234" s="14"/>
      <c r="M234" s="14"/>
      <c r="N234" s="14"/>
      <c r="O234" s="14"/>
      <c r="P234" s="7"/>
      <c r="Q234" s="7"/>
      <c r="R234" s="7"/>
      <c r="S234" s="7"/>
      <c r="T234" s="14"/>
      <c r="U234" s="14"/>
      <c r="V234" s="14"/>
      <c r="W234" s="14"/>
      <c r="X234" s="14"/>
      <c r="Y234" s="14"/>
      <c r="Z234" s="14"/>
      <c r="AA234" s="14"/>
      <c r="AB234" s="14"/>
      <c r="AC234" s="285"/>
      <c r="AD234" s="7"/>
      <c r="AE234" s="7"/>
      <c r="AF234" s="20"/>
      <c r="AG234" s="14"/>
      <c r="AH234" s="14"/>
      <c r="AI234" s="14"/>
      <c r="AJ234" s="14"/>
      <c r="AK234" s="14"/>
      <c r="AL234" s="14"/>
      <c r="AM234" s="14"/>
      <c r="AN234" s="14"/>
      <c r="AO234" s="14"/>
      <c r="AP234" s="1"/>
      <c r="AQ234" s="20"/>
      <c r="AR234" s="20"/>
      <c r="AS234" s="7"/>
      <c r="AT234" s="14"/>
      <c r="AU234" s="14"/>
      <c r="AV234" s="14"/>
      <c r="AW234" s="14"/>
      <c r="AX234" s="8"/>
      <c r="AY234" s="7"/>
      <c r="AZ234" s="7"/>
      <c r="BA234" s="7"/>
      <c r="BB234" s="7"/>
      <c r="BC234" s="20"/>
      <c r="BD234" s="7"/>
      <c r="BE234" s="9"/>
      <c r="BF234" s="7"/>
      <c r="BG234" s="15"/>
      <c r="BH234" s="7"/>
      <c r="BI234" s="15"/>
    </row>
    <row r="235" spans="1:61">
      <c r="A235" s="1"/>
      <c r="B235" s="1"/>
      <c r="C235" s="1"/>
      <c r="D235" s="14"/>
      <c r="E235" s="14"/>
      <c r="F235" s="14"/>
      <c r="G235" s="14"/>
      <c r="H235" s="14"/>
      <c r="I235" s="14"/>
      <c r="J235" s="14"/>
      <c r="K235" s="14"/>
      <c r="L235" s="14"/>
      <c r="M235" s="14"/>
      <c r="N235" s="14"/>
      <c r="O235" s="14"/>
      <c r="P235" s="1"/>
      <c r="Q235" s="7"/>
      <c r="R235" s="7"/>
      <c r="S235" s="1"/>
      <c r="T235" s="10"/>
      <c r="U235" s="10"/>
      <c r="V235" s="10"/>
      <c r="W235" s="10"/>
      <c r="X235" s="10"/>
      <c r="Y235" s="10"/>
      <c r="Z235" s="10"/>
      <c r="AA235" s="10"/>
      <c r="AB235" s="10"/>
      <c r="AC235" s="10"/>
      <c r="AD235" s="1"/>
      <c r="AE235" s="1"/>
      <c r="AF235" s="11"/>
      <c r="AG235" s="10"/>
      <c r="AH235" s="10"/>
      <c r="AI235" s="10"/>
      <c r="AJ235" s="10"/>
      <c r="AK235" s="10"/>
      <c r="AL235" s="10"/>
      <c r="AM235" s="10"/>
      <c r="AN235" s="10"/>
      <c r="AO235" s="10"/>
      <c r="AP235" s="1"/>
      <c r="AQ235" s="11"/>
      <c r="AR235" s="11"/>
      <c r="AT235" s="10"/>
      <c r="AU235" s="10"/>
      <c r="AV235" s="10"/>
      <c r="AW235" s="10"/>
      <c r="AX235" s="8"/>
      <c r="AY235" s="1"/>
      <c r="AZ235" s="1"/>
      <c r="BA235" s="1"/>
      <c r="BB235" s="1"/>
      <c r="BD235" s="1"/>
      <c r="BF235" s="1"/>
      <c r="BH235" s="1"/>
    </row>
    <row r="236" spans="1:61">
      <c r="A236" s="1"/>
      <c r="B236" s="1"/>
      <c r="C236" s="1"/>
      <c r="D236" s="10"/>
      <c r="E236" s="10"/>
      <c r="F236" s="10"/>
      <c r="G236" s="10"/>
      <c r="H236" s="10"/>
      <c r="I236" s="10"/>
      <c r="J236" s="10"/>
      <c r="K236" s="10"/>
      <c r="L236" s="10"/>
      <c r="M236" s="10"/>
      <c r="N236" s="10"/>
      <c r="O236" s="10"/>
      <c r="P236" s="7"/>
      <c r="Q236" s="7"/>
      <c r="R236" s="7"/>
      <c r="S236" s="7"/>
      <c r="T236" s="14"/>
      <c r="U236" s="14"/>
      <c r="V236" s="14"/>
      <c r="W236" s="14"/>
      <c r="X236" s="14"/>
      <c r="Y236" s="14"/>
      <c r="Z236" s="14"/>
      <c r="AA236" s="14"/>
      <c r="AB236" s="14"/>
      <c r="AC236" s="285"/>
      <c r="AD236" s="7"/>
      <c r="AE236" s="7"/>
      <c r="AF236" s="20"/>
      <c r="AG236" s="14"/>
      <c r="AH236" s="14"/>
      <c r="AI236" s="14"/>
      <c r="AJ236" s="14"/>
      <c r="AK236" s="14"/>
      <c r="AL236" s="14"/>
      <c r="AM236" s="14"/>
      <c r="AN236" s="14"/>
      <c r="AO236" s="14"/>
      <c r="AP236" s="1"/>
      <c r="AQ236" s="20"/>
      <c r="AR236" s="20"/>
      <c r="AS236" s="7"/>
      <c r="AT236" s="14"/>
      <c r="AU236" s="14"/>
      <c r="AV236" s="14"/>
      <c r="AW236" s="14"/>
      <c r="AX236" s="16"/>
      <c r="AY236" s="7"/>
      <c r="AZ236" s="7"/>
      <c r="BA236" s="7"/>
      <c r="BB236" s="7"/>
      <c r="BC236" s="20"/>
      <c r="BD236" s="7"/>
      <c r="BE236" s="9"/>
      <c r="BF236" s="7"/>
      <c r="BG236" s="15"/>
      <c r="BH236" s="7"/>
      <c r="BI236" s="15"/>
    </row>
    <row r="237" spans="1:61">
      <c r="A237" s="1"/>
      <c r="B237" s="1"/>
      <c r="C237" s="1"/>
      <c r="D237" s="14"/>
      <c r="E237" s="14"/>
      <c r="F237" s="14"/>
      <c r="G237" s="14"/>
      <c r="H237" s="14"/>
      <c r="I237" s="14"/>
      <c r="J237" s="14"/>
      <c r="K237" s="14"/>
      <c r="L237" s="14"/>
      <c r="M237" s="14"/>
      <c r="N237" s="14"/>
      <c r="O237" s="14"/>
      <c r="P237" s="7"/>
      <c r="Q237" s="7"/>
      <c r="R237" s="7"/>
      <c r="S237" s="7"/>
      <c r="T237" s="14"/>
      <c r="U237" s="14"/>
      <c r="V237" s="14"/>
      <c r="W237" s="14"/>
      <c r="X237" s="14"/>
      <c r="Y237" s="14"/>
      <c r="Z237" s="14"/>
      <c r="AA237" s="14"/>
      <c r="AB237" s="14"/>
      <c r="AC237" s="285"/>
      <c r="AD237" s="7"/>
      <c r="AE237" s="7"/>
      <c r="AF237" s="20"/>
      <c r="AG237" s="14"/>
      <c r="AH237" s="14"/>
      <c r="AI237" s="14"/>
      <c r="AJ237" s="14"/>
      <c r="AK237" s="14"/>
      <c r="AL237" s="14"/>
      <c r="AM237" s="14"/>
      <c r="AN237" s="14"/>
      <c r="AO237" s="14"/>
      <c r="AP237" s="1"/>
      <c r="AQ237" s="20"/>
      <c r="AR237" s="20"/>
      <c r="AS237" s="7"/>
      <c r="AT237" s="14"/>
      <c r="AU237" s="14"/>
      <c r="AV237" s="14"/>
      <c r="AW237" s="14"/>
      <c r="AX237" s="16"/>
      <c r="AY237" s="7"/>
      <c r="AZ237" s="7"/>
      <c r="BA237" s="7"/>
      <c r="BB237" s="7"/>
      <c r="BC237" s="20"/>
      <c r="BD237" s="7"/>
      <c r="BE237" s="9"/>
      <c r="BF237" s="7"/>
      <c r="BG237" s="15"/>
      <c r="BH237" s="7"/>
      <c r="BI237" s="15"/>
    </row>
    <row r="238" spans="1:61">
      <c r="A238" s="1"/>
      <c r="B238" s="1"/>
      <c r="C238" s="1"/>
      <c r="D238" s="10"/>
      <c r="E238" s="10"/>
      <c r="F238" s="10"/>
      <c r="G238" s="10"/>
      <c r="H238" s="10"/>
      <c r="I238" s="10"/>
      <c r="J238" s="10"/>
      <c r="K238" s="10"/>
      <c r="L238" s="10"/>
      <c r="M238" s="10"/>
      <c r="N238" s="10"/>
      <c r="O238" s="10"/>
      <c r="P238" s="7"/>
      <c r="Q238" s="7"/>
      <c r="R238" s="7"/>
      <c r="S238" s="7"/>
      <c r="T238" s="14"/>
      <c r="U238" s="14"/>
      <c r="V238" s="14"/>
      <c r="W238" s="14"/>
      <c r="X238" s="14"/>
      <c r="Y238" s="14"/>
      <c r="Z238" s="14"/>
      <c r="AA238" s="14"/>
      <c r="AB238" s="14"/>
      <c r="AC238" s="285"/>
      <c r="AD238" s="7"/>
      <c r="AE238" s="7"/>
      <c r="AF238" s="20"/>
      <c r="AG238" s="14"/>
      <c r="AH238" s="14"/>
      <c r="AI238" s="14"/>
      <c r="AJ238" s="14"/>
      <c r="AK238" s="14"/>
      <c r="AL238" s="14"/>
      <c r="AM238" s="14"/>
      <c r="AN238" s="14"/>
      <c r="AO238" s="14"/>
      <c r="AP238" s="1"/>
      <c r="AQ238" s="11"/>
      <c r="AR238" s="11"/>
      <c r="AT238" s="14"/>
      <c r="AU238" s="14"/>
      <c r="AV238" s="14"/>
      <c r="AW238" s="14"/>
      <c r="AX238" s="8"/>
      <c r="AY238" s="7"/>
      <c r="AZ238" s="7"/>
      <c r="BA238" s="7"/>
      <c r="BB238" s="7"/>
      <c r="BC238" s="20"/>
      <c r="BD238" s="7"/>
      <c r="BE238" s="9"/>
      <c r="BF238" s="7"/>
      <c r="BG238" s="15"/>
      <c r="BH238" s="7"/>
      <c r="BI238" s="15"/>
    </row>
    <row r="239" spans="1:61">
      <c r="A239" s="1"/>
      <c r="B239" s="1"/>
      <c r="C239" s="1"/>
      <c r="D239" s="14"/>
      <c r="E239" s="14"/>
      <c r="F239" s="14"/>
      <c r="G239" s="14"/>
      <c r="H239" s="14"/>
      <c r="I239" s="14"/>
      <c r="J239" s="14"/>
      <c r="K239" s="14"/>
      <c r="L239" s="14"/>
      <c r="M239" s="14"/>
      <c r="N239" s="14"/>
      <c r="O239" s="14"/>
      <c r="P239" s="7"/>
      <c r="Q239" s="7"/>
      <c r="R239" s="7"/>
      <c r="S239" s="7"/>
      <c r="T239" s="14"/>
      <c r="U239" s="14"/>
      <c r="V239" s="14"/>
      <c r="W239" s="14"/>
      <c r="X239" s="14"/>
      <c r="Y239" s="14"/>
      <c r="Z239" s="14"/>
      <c r="AA239" s="14"/>
      <c r="AB239" s="14"/>
      <c r="AC239" s="285"/>
      <c r="AD239" s="7"/>
      <c r="AE239" s="7"/>
      <c r="AF239" s="20"/>
      <c r="AG239" s="14"/>
      <c r="AH239" s="14"/>
      <c r="AI239" s="14"/>
      <c r="AJ239" s="14"/>
      <c r="AK239" s="14"/>
      <c r="AL239" s="14"/>
      <c r="AM239" s="14"/>
      <c r="AN239" s="14"/>
      <c r="AO239" s="14"/>
      <c r="AP239" s="1"/>
      <c r="AQ239" s="20"/>
      <c r="AR239" s="20"/>
      <c r="AS239" s="7"/>
      <c r="AT239" s="14"/>
      <c r="AU239" s="14"/>
      <c r="AV239" s="14"/>
      <c r="AW239" s="14"/>
      <c r="AX239" s="8"/>
      <c r="AY239" s="7"/>
      <c r="AZ239" s="7"/>
      <c r="BA239" s="7"/>
      <c r="BB239" s="7"/>
      <c r="BC239" s="20"/>
      <c r="BD239" s="7"/>
      <c r="BE239" s="9"/>
      <c r="BF239" s="7"/>
      <c r="BG239" s="15"/>
      <c r="BH239" s="7"/>
      <c r="BI239" s="15"/>
    </row>
    <row r="240" spans="1:61">
      <c r="A240" s="1"/>
      <c r="B240" s="1"/>
      <c r="C240" s="1"/>
      <c r="D240" s="14"/>
      <c r="E240" s="14"/>
      <c r="F240" s="14"/>
      <c r="G240" s="14"/>
      <c r="H240" s="14"/>
      <c r="I240" s="14"/>
      <c r="J240" s="14"/>
      <c r="K240" s="14"/>
      <c r="L240" s="14"/>
      <c r="M240" s="14"/>
      <c r="N240" s="14"/>
      <c r="O240" s="14"/>
      <c r="P240" s="7"/>
      <c r="Q240" s="7"/>
      <c r="R240" s="7"/>
      <c r="S240" s="7"/>
      <c r="T240" s="14"/>
      <c r="U240" s="14"/>
      <c r="V240" s="14"/>
      <c r="W240" s="14"/>
      <c r="X240" s="14"/>
      <c r="Y240" s="14"/>
      <c r="Z240" s="14"/>
      <c r="AA240" s="14"/>
      <c r="AB240" s="14"/>
      <c r="AC240" s="285"/>
      <c r="AD240" s="7"/>
      <c r="AE240" s="7"/>
      <c r="AF240" s="20"/>
      <c r="AG240" s="14"/>
      <c r="AH240" s="14"/>
      <c r="AI240" s="14"/>
      <c r="AJ240" s="14"/>
      <c r="AK240" s="14"/>
      <c r="AL240" s="14"/>
      <c r="AM240" s="14"/>
      <c r="AN240" s="14"/>
      <c r="AO240" s="14"/>
      <c r="AP240" s="1"/>
      <c r="AQ240" s="11"/>
      <c r="AR240" s="11"/>
      <c r="AT240" s="14"/>
      <c r="AU240" s="14"/>
      <c r="AV240" s="14"/>
      <c r="AW240" s="14"/>
      <c r="AX240" s="16"/>
      <c r="AY240" s="7"/>
      <c r="AZ240" s="7"/>
      <c r="BA240" s="7"/>
      <c r="BB240" s="7"/>
      <c r="BC240" s="20"/>
      <c r="BD240" s="7"/>
      <c r="BE240" s="9"/>
      <c r="BF240" s="7"/>
      <c r="BG240" s="15"/>
      <c r="BH240" s="7"/>
      <c r="BI240" s="15"/>
    </row>
    <row r="241" spans="1:61">
      <c r="A241" s="1"/>
      <c r="B241" s="1"/>
      <c r="C241" s="1"/>
      <c r="D241" s="14"/>
      <c r="E241" s="14"/>
      <c r="F241" s="14"/>
      <c r="G241" s="14"/>
      <c r="H241" s="14"/>
      <c r="I241" s="14"/>
      <c r="J241" s="14"/>
      <c r="K241" s="14"/>
      <c r="L241" s="14"/>
      <c r="M241" s="14"/>
      <c r="N241" s="14"/>
      <c r="O241" s="14"/>
      <c r="P241" s="7"/>
      <c r="Q241" s="7"/>
      <c r="R241" s="7"/>
      <c r="S241" s="7"/>
      <c r="T241" s="14"/>
      <c r="U241" s="14"/>
      <c r="V241" s="14"/>
      <c r="W241" s="14"/>
      <c r="X241" s="14"/>
      <c r="Y241" s="14"/>
      <c r="Z241" s="14"/>
      <c r="AA241" s="14"/>
      <c r="AB241" s="14"/>
      <c r="AC241" s="285"/>
      <c r="AD241" s="7"/>
      <c r="AE241" s="7"/>
      <c r="AF241" s="20"/>
      <c r="AG241" s="14"/>
      <c r="AH241" s="14"/>
      <c r="AI241" s="14"/>
      <c r="AJ241" s="14"/>
      <c r="AK241" s="14"/>
      <c r="AL241" s="14"/>
      <c r="AM241" s="14"/>
      <c r="AN241" s="14"/>
      <c r="AO241" s="14"/>
      <c r="AP241" s="1"/>
      <c r="AQ241" s="20"/>
      <c r="AR241" s="20"/>
      <c r="AS241" s="7"/>
      <c r="AT241" s="14"/>
      <c r="AU241" s="14"/>
      <c r="AV241" s="14"/>
      <c r="AW241" s="14"/>
      <c r="AX241" s="16"/>
      <c r="AY241" s="7"/>
      <c r="AZ241" s="7"/>
      <c r="BA241" s="7"/>
      <c r="BB241" s="7"/>
      <c r="BC241" s="20"/>
      <c r="BD241" s="7"/>
      <c r="BE241" s="9"/>
      <c r="BF241" s="7"/>
      <c r="BG241" s="15"/>
      <c r="BH241" s="7"/>
      <c r="BI241" s="15"/>
    </row>
    <row r="242" spans="1:61">
      <c r="A242" s="1"/>
      <c r="B242" s="1"/>
      <c r="C242" s="1"/>
      <c r="D242" s="14"/>
      <c r="E242" s="14"/>
      <c r="F242" s="14"/>
      <c r="G242" s="14"/>
      <c r="H242" s="14"/>
      <c r="I242" s="14"/>
      <c r="J242" s="14"/>
      <c r="K242" s="14"/>
      <c r="L242" s="14"/>
      <c r="M242" s="14"/>
      <c r="N242" s="14"/>
      <c r="O242" s="14"/>
      <c r="P242" s="1"/>
      <c r="Q242" s="7"/>
      <c r="R242" s="7"/>
      <c r="S242" s="1"/>
      <c r="T242" s="10"/>
      <c r="U242" s="10"/>
      <c r="V242" s="10"/>
      <c r="W242" s="10"/>
      <c r="X242" s="10"/>
      <c r="Y242" s="10"/>
      <c r="Z242" s="10"/>
      <c r="AA242" s="10"/>
      <c r="AB242" s="10"/>
      <c r="AC242" s="10"/>
      <c r="AD242" s="1"/>
      <c r="AE242" s="1"/>
      <c r="AF242" s="10"/>
      <c r="AG242" s="10"/>
      <c r="AH242" s="10"/>
      <c r="AI242" s="10"/>
      <c r="AJ242" s="10"/>
      <c r="AK242" s="10"/>
      <c r="AL242" s="10"/>
      <c r="AM242" s="10"/>
      <c r="AN242" s="10"/>
      <c r="AO242" s="10"/>
      <c r="AP242" s="1"/>
      <c r="AQ242" s="20"/>
      <c r="AR242" s="20"/>
      <c r="AS242" s="7"/>
      <c r="AT242" s="10"/>
      <c r="AU242" s="10"/>
      <c r="AV242" s="10"/>
      <c r="AW242" s="10"/>
      <c r="BC242" s="10"/>
      <c r="BE242" s="10"/>
      <c r="BG242" s="18"/>
      <c r="BI242" s="18"/>
    </row>
    <row r="243" spans="1:61">
      <c r="A243" s="1"/>
      <c r="B243" s="1"/>
      <c r="C243" s="1"/>
      <c r="D243" s="14"/>
      <c r="E243" s="14"/>
      <c r="F243" s="14"/>
      <c r="G243" s="14"/>
      <c r="H243" s="14"/>
      <c r="I243" s="14"/>
      <c r="J243" s="14"/>
      <c r="K243" s="14"/>
      <c r="L243" s="14"/>
      <c r="M243" s="14"/>
      <c r="N243" s="14"/>
      <c r="O243" s="14"/>
      <c r="P243" s="1"/>
      <c r="Q243" s="7"/>
      <c r="R243" s="7"/>
      <c r="S243" s="1"/>
      <c r="T243" s="10"/>
      <c r="U243" s="10"/>
      <c r="V243" s="10"/>
      <c r="W243" s="10"/>
      <c r="X243" s="10"/>
      <c r="Y243" s="10"/>
      <c r="Z243" s="10"/>
      <c r="AA243" s="10"/>
      <c r="AB243" s="10"/>
      <c r="AC243" s="10"/>
      <c r="AD243" s="1"/>
      <c r="AE243" s="1"/>
      <c r="AF243" s="11"/>
      <c r="AG243" s="10"/>
      <c r="AH243" s="10"/>
      <c r="AI243" s="10"/>
      <c r="AJ243" s="10"/>
      <c r="AK243" s="10"/>
      <c r="AL243" s="10"/>
      <c r="AM243" s="10"/>
      <c r="AN243" s="10"/>
      <c r="AO243" s="10"/>
      <c r="AP243" s="1"/>
      <c r="AQ243" s="20"/>
      <c r="AR243" s="20"/>
      <c r="AS243" s="7"/>
      <c r="AT243" s="10"/>
      <c r="AU243" s="10"/>
      <c r="AV243" s="10"/>
      <c r="AW243" s="10"/>
    </row>
    <row r="244" spans="1:61">
      <c r="A244" s="283"/>
      <c r="B244" s="1"/>
      <c r="C244" s="1"/>
      <c r="D244" s="14"/>
      <c r="E244" s="14"/>
      <c r="F244" s="14"/>
      <c r="G244" s="14"/>
      <c r="H244" s="14"/>
      <c r="I244" s="14"/>
      <c r="J244" s="14"/>
      <c r="K244" s="14"/>
      <c r="L244" s="14"/>
      <c r="M244" s="14"/>
      <c r="N244" s="14"/>
      <c r="O244" s="14"/>
      <c r="P244" s="1"/>
      <c r="Q244" s="34"/>
      <c r="R244" s="34"/>
      <c r="S244" s="1"/>
      <c r="T244" s="34"/>
      <c r="U244" s="34"/>
      <c r="V244" s="34"/>
      <c r="W244" s="34"/>
      <c r="X244" s="34"/>
      <c r="Y244" s="34"/>
      <c r="Z244" s="34"/>
      <c r="AA244" s="34"/>
      <c r="AB244" s="34"/>
      <c r="AC244" s="284"/>
      <c r="AD244" s="34"/>
      <c r="AE244" s="34"/>
      <c r="AF244" s="36"/>
      <c r="AG244" s="34"/>
      <c r="AH244" s="34"/>
      <c r="AI244" s="34"/>
      <c r="AJ244" s="34"/>
      <c r="AK244" s="34"/>
      <c r="AL244" s="34"/>
      <c r="AM244" s="34"/>
      <c r="AN244" s="34"/>
      <c r="AO244" s="34"/>
      <c r="AP244" s="1"/>
      <c r="AQ244" s="20"/>
      <c r="AR244" s="20"/>
      <c r="AS244" s="7"/>
      <c r="AT244" s="34"/>
      <c r="AU244" s="34"/>
      <c r="AV244" s="34"/>
      <c r="AW244" s="34"/>
      <c r="AX244" s="34"/>
      <c r="AY244" s="34"/>
      <c r="AZ244" s="34"/>
      <c r="BA244" s="34"/>
      <c r="BB244" s="34"/>
      <c r="BC244" s="34"/>
      <c r="BD244" s="34"/>
      <c r="BE244" s="34"/>
      <c r="BF244" s="34"/>
      <c r="BG244" s="34"/>
      <c r="BH244" s="19"/>
    </row>
    <row r="245" spans="1:61">
      <c r="A245" s="1"/>
      <c r="B245" s="3"/>
      <c r="C245" s="1"/>
      <c r="D245" s="10"/>
      <c r="E245" s="10"/>
      <c r="F245" s="10"/>
      <c r="G245" s="10"/>
      <c r="H245" s="10"/>
      <c r="I245" s="10"/>
      <c r="J245" s="10"/>
      <c r="K245" s="10"/>
      <c r="L245" s="10"/>
      <c r="M245" s="10"/>
      <c r="N245" s="10"/>
      <c r="O245" s="10"/>
      <c r="P245" s="1"/>
      <c r="Q245" s="20"/>
      <c r="R245" s="20"/>
      <c r="S245" s="1"/>
      <c r="T245" s="20"/>
      <c r="U245" s="20"/>
      <c r="V245" s="20"/>
      <c r="W245" s="20"/>
      <c r="X245" s="20"/>
      <c r="Y245" s="20"/>
      <c r="Z245" s="20"/>
      <c r="AA245" s="20"/>
      <c r="AB245" s="20"/>
      <c r="AC245" s="20"/>
      <c r="AD245" s="1"/>
      <c r="AE245" s="1"/>
      <c r="AF245" s="20"/>
      <c r="AG245" s="20"/>
      <c r="AH245" s="20"/>
      <c r="AI245" s="20"/>
      <c r="AJ245" s="20"/>
      <c r="AK245" s="20"/>
      <c r="AL245" s="20"/>
      <c r="AM245" s="20"/>
      <c r="AN245" s="20"/>
      <c r="AO245" s="20"/>
      <c r="AP245" s="1"/>
      <c r="AQ245" s="10"/>
      <c r="AR245" s="10"/>
      <c r="AT245" s="20"/>
      <c r="AU245" s="20"/>
      <c r="AV245" s="20"/>
      <c r="AW245" s="20"/>
      <c r="AX245" s="20"/>
      <c r="AY245" s="7"/>
      <c r="AZ245" s="7"/>
      <c r="BA245" s="7"/>
      <c r="BB245" s="7"/>
      <c r="BC245" s="21"/>
      <c r="BD245" s="7"/>
      <c r="BE245" s="15"/>
    </row>
    <row r="246" spans="1:61">
      <c r="A246" s="1"/>
      <c r="B246" s="3"/>
      <c r="C246" s="1"/>
      <c r="D246" s="10"/>
      <c r="E246" s="10"/>
      <c r="F246" s="10"/>
      <c r="G246" s="10"/>
      <c r="H246" s="10"/>
      <c r="I246" s="10"/>
      <c r="J246" s="10"/>
      <c r="K246" s="10"/>
      <c r="L246" s="10"/>
      <c r="M246" s="10"/>
      <c r="N246" s="10"/>
      <c r="O246" s="10"/>
      <c r="P246" s="1"/>
      <c r="Q246" s="20"/>
      <c r="R246" s="20"/>
      <c r="S246" s="1"/>
      <c r="T246" s="20"/>
      <c r="U246" s="20"/>
      <c r="V246" s="20"/>
      <c r="W246" s="20"/>
      <c r="X246" s="20"/>
      <c r="Y246" s="20"/>
      <c r="Z246" s="20"/>
      <c r="AA246" s="20"/>
      <c r="AB246" s="20"/>
      <c r="AC246" s="20"/>
      <c r="AD246" s="1"/>
      <c r="AE246" s="1"/>
      <c r="AF246" s="20"/>
      <c r="AG246" s="20"/>
      <c r="AH246" s="20"/>
      <c r="AI246" s="20"/>
      <c r="AJ246" s="20"/>
      <c r="AK246" s="20"/>
      <c r="AL246" s="20"/>
      <c r="AM246" s="20"/>
      <c r="AN246" s="20"/>
      <c r="AO246" s="20"/>
      <c r="AP246" s="1"/>
      <c r="AQ246" s="11"/>
      <c r="AR246" s="11"/>
      <c r="AT246" s="20"/>
      <c r="AU246" s="20"/>
      <c r="AV246" s="20"/>
      <c r="AW246" s="20"/>
      <c r="AX246" s="20"/>
      <c r="AY246" s="7"/>
      <c r="AZ246" s="7"/>
      <c r="BA246" s="7"/>
      <c r="BB246" s="7"/>
      <c r="BC246" s="21"/>
      <c r="BD246" s="7"/>
      <c r="BE246" s="15"/>
    </row>
    <row r="247" spans="1:61">
      <c r="A247" s="1"/>
      <c r="B247" s="3"/>
      <c r="C247" s="1"/>
      <c r="D247" s="34"/>
      <c r="E247" s="34"/>
      <c r="F247" s="34"/>
      <c r="G247" s="34"/>
      <c r="H247" s="34"/>
      <c r="I247" s="34"/>
      <c r="J247" s="34"/>
      <c r="K247" s="34"/>
      <c r="L247" s="34"/>
      <c r="M247" s="34"/>
      <c r="N247" s="34"/>
      <c r="O247" s="34"/>
      <c r="P247" s="1"/>
      <c r="Q247" s="7"/>
      <c r="R247" s="7"/>
      <c r="S247" s="1"/>
      <c r="T247" s="10"/>
      <c r="U247" s="10"/>
      <c r="V247" s="10"/>
      <c r="W247" s="10"/>
      <c r="X247" s="10"/>
      <c r="Y247" s="10"/>
      <c r="Z247" s="10"/>
      <c r="AA247" s="10"/>
      <c r="AB247" s="10"/>
      <c r="AC247" s="10"/>
      <c r="AD247" s="1"/>
      <c r="AE247" s="1"/>
      <c r="AF247" s="11"/>
      <c r="AG247" s="10"/>
      <c r="AH247" s="10"/>
      <c r="AI247" s="10"/>
      <c r="AJ247" s="10"/>
      <c r="AK247" s="10"/>
      <c r="AL247" s="10"/>
      <c r="AM247" s="10"/>
      <c r="AN247" s="10"/>
      <c r="AO247" s="10"/>
      <c r="AP247" s="1"/>
      <c r="AQ247" s="11"/>
      <c r="AR247" s="11"/>
      <c r="AT247" s="10"/>
      <c r="AU247" s="10"/>
      <c r="AV247" s="10"/>
      <c r="AW247" s="10"/>
    </row>
    <row r="248" spans="1:61">
      <c r="A248" s="1"/>
      <c r="B248" s="1"/>
      <c r="C248" s="1"/>
      <c r="D248" s="20"/>
      <c r="E248" s="20"/>
      <c r="F248" s="20"/>
      <c r="G248" s="20"/>
      <c r="H248" s="20"/>
      <c r="I248" s="20"/>
      <c r="J248" s="20"/>
      <c r="K248" s="20"/>
      <c r="L248" s="20"/>
      <c r="M248" s="20"/>
      <c r="N248" s="20"/>
      <c r="O248" s="20"/>
      <c r="P248" s="1"/>
      <c r="Q248" s="20"/>
      <c r="R248" s="20"/>
      <c r="S248" s="1"/>
      <c r="T248" s="20"/>
      <c r="U248" s="20"/>
      <c r="V248" s="20"/>
      <c r="W248" s="20"/>
      <c r="X248" s="20"/>
      <c r="Y248" s="20"/>
      <c r="Z248" s="20"/>
      <c r="AA248" s="20"/>
      <c r="AB248" s="20"/>
      <c r="AC248" s="20"/>
      <c r="AD248" s="1"/>
      <c r="AE248" s="1"/>
      <c r="AF248" s="20"/>
      <c r="AG248" s="20"/>
      <c r="AH248" s="20"/>
      <c r="AI248" s="20"/>
      <c r="AJ248" s="20"/>
      <c r="AK248" s="20"/>
      <c r="AL248" s="20"/>
      <c r="AM248" s="20"/>
      <c r="AN248" s="20"/>
      <c r="AO248" s="20"/>
      <c r="AP248" s="1"/>
      <c r="AQ248" s="11"/>
      <c r="AR248" s="11"/>
      <c r="AT248" s="20"/>
      <c r="AU248" s="20"/>
      <c r="AV248" s="20"/>
      <c r="AW248" s="20"/>
      <c r="AX248" s="20"/>
      <c r="AY248" s="7"/>
      <c r="AZ248" s="7"/>
      <c r="BA248" s="7"/>
      <c r="BB248" s="7"/>
      <c r="BC248" s="21"/>
      <c r="BD248" s="7"/>
      <c r="BE248" s="15"/>
    </row>
    <row r="249" spans="1:61">
      <c r="A249" s="1"/>
      <c r="B249" s="1"/>
      <c r="C249" s="1"/>
      <c r="D249" s="20"/>
      <c r="E249" s="20"/>
      <c r="F249" s="20"/>
      <c r="G249" s="20"/>
      <c r="H249" s="20"/>
      <c r="I249" s="20"/>
      <c r="J249" s="20"/>
      <c r="K249" s="20"/>
      <c r="L249" s="20"/>
      <c r="M249" s="20"/>
      <c r="N249" s="20"/>
      <c r="O249" s="20"/>
      <c r="P249" s="1"/>
      <c r="Q249" s="20"/>
      <c r="R249" s="20"/>
      <c r="S249" s="1"/>
      <c r="T249" s="20"/>
      <c r="U249" s="20"/>
      <c r="V249" s="20"/>
      <c r="W249" s="20"/>
      <c r="X249" s="20"/>
      <c r="Y249" s="20"/>
      <c r="Z249" s="20"/>
      <c r="AA249" s="20"/>
      <c r="AB249" s="20"/>
      <c r="AC249" s="20"/>
      <c r="AD249" s="1"/>
      <c r="AE249" s="1"/>
      <c r="AF249" s="20"/>
      <c r="AG249" s="20"/>
      <c r="AH249" s="20"/>
      <c r="AI249" s="20"/>
      <c r="AJ249" s="20"/>
      <c r="AK249" s="20"/>
      <c r="AL249" s="20"/>
      <c r="AM249" s="20"/>
      <c r="AN249" s="20"/>
      <c r="AO249" s="20"/>
      <c r="AP249" s="1"/>
      <c r="AQ249" s="11"/>
      <c r="AR249" s="11"/>
      <c r="AT249" s="20"/>
      <c r="AU249" s="20"/>
      <c r="AV249" s="20"/>
      <c r="AW249" s="20"/>
      <c r="AX249" s="20"/>
      <c r="AY249" s="7"/>
      <c r="AZ249" s="7"/>
      <c r="BA249" s="7"/>
      <c r="BB249" s="7"/>
      <c r="BC249" s="21"/>
      <c r="BD249" s="7"/>
      <c r="BE249" s="15"/>
    </row>
    <row r="250" spans="1:61">
      <c r="A250" s="1"/>
      <c r="B250" s="1"/>
      <c r="C250" s="1"/>
      <c r="D250" s="10"/>
      <c r="E250" s="10"/>
      <c r="F250" s="10"/>
      <c r="G250" s="10"/>
      <c r="H250" s="10"/>
      <c r="I250" s="10"/>
      <c r="J250" s="10"/>
      <c r="K250" s="10"/>
      <c r="L250" s="10"/>
      <c r="M250" s="10"/>
      <c r="N250" s="10"/>
      <c r="O250" s="10"/>
      <c r="P250" s="1"/>
      <c r="Q250" s="7"/>
      <c r="R250" s="7"/>
      <c r="S250" s="1"/>
      <c r="T250" s="10"/>
      <c r="U250" s="10"/>
      <c r="V250" s="10"/>
      <c r="W250" s="10"/>
      <c r="X250" s="10"/>
      <c r="Y250" s="10"/>
      <c r="Z250" s="10"/>
      <c r="AA250" s="10"/>
      <c r="AB250" s="10"/>
      <c r="AC250" s="10"/>
      <c r="AD250" s="1"/>
      <c r="AE250" s="1"/>
      <c r="AF250" s="11"/>
      <c r="AG250" s="10"/>
      <c r="AH250" s="10"/>
      <c r="AI250" s="10"/>
      <c r="AJ250" s="10"/>
      <c r="AK250" s="10"/>
      <c r="AL250" s="10"/>
      <c r="AM250" s="10"/>
      <c r="AN250" s="10"/>
      <c r="AO250" s="10"/>
      <c r="AT250" s="10"/>
      <c r="AU250" s="10"/>
      <c r="AV250" s="10"/>
      <c r="AW250" s="10"/>
    </row>
    <row r="251" spans="1:61">
      <c r="A251" s="1"/>
      <c r="B251" s="1"/>
      <c r="C251" s="1"/>
      <c r="D251" s="20"/>
      <c r="E251" s="20"/>
      <c r="F251" s="20"/>
      <c r="G251" s="20"/>
      <c r="H251" s="20"/>
      <c r="I251" s="20"/>
      <c r="J251" s="20"/>
      <c r="K251" s="20"/>
      <c r="L251" s="20"/>
      <c r="M251" s="20"/>
      <c r="N251" s="20"/>
      <c r="O251" s="20"/>
      <c r="P251" s="1"/>
      <c r="Q251" s="20"/>
      <c r="R251" s="20"/>
      <c r="S251" s="1"/>
      <c r="T251" s="20"/>
      <c r="U251" s="20"/>
      <c r="V251" s="20"/>
      <c r="W251" s="20"/>
      <c r="X251" s="20"/>
      <c r="Y251" s="20"/>
      <c r="Z251" s="20"/>
      <c r="AA251" s="20"/>
      <c r="AB251" s="20"/>
      <c r="AC251" s="20"/>
      <c r="AD251" s="1"/>
      <c r="AE251" s="1"/>
      <c r="AF251" s="20"/>
      <c r="AG251" s="20"/>
      <c r="AH251" s="20"/>
      <c r="AI251" s="20"/>
      <c r="AJ251" s="20"/>
      <c r="AK251" s="20"/>
      <c r="AL251" s="20"/>
      <c r="AM251" s="20"/>
      <c r="AN251" s="20"/>
      <c r="AO251" s="20"/>
      <c r="AT251" s="20"/>
      <c r="AU251" s="20"/>
      <c r="AV251" s="20"/>
      <c r="AW251" s="20"/>
      <c r="AX251" s="20"/>
      <c r="AY251" s="7"/>
      <c r="AZ251" s="7"/>
      <c r="BA251" s="7"/>
      <c r="BB251" s="7"/>
      <c r="BC251" s="21"/>
      <c r="BD251" s="7"/>
      <c r="BE251" s="15"/>
    </row>
    <row r="252" spans="1:61">
      <c r="A252" s="1"/>
      <c r="B252" s="1"/>
      <c r="C252" s="1"/>
      <c r="D252" s="20"/>
      <c r="E252" s="20"/>
      <c r="F252" s="20"/>
      <c r="G252" s="20"/>
      <c r="H252" s="20"/>
      <c r="I252" s="20"/>
      <c r="J252" s="20"/>
      <c r="K252" s="20"/>
      <c r="L252" s="20"/>
      <c r="M252" s="20"/>
      <c r="N252" s="20"/>
      <c r="O252" s="20"/>
      <c r="P252" s="1"/>
      <c r="Q252" s="20"/>
      <c r="R252" s="20"/>
      <c r="S252" s="1"/>
      <c r="T252" s="20"/>
      <c r="U252" s="20"/>
      <c r="V252" s="20"/>
      <c r="W252" s="20"/>
      <c r="X252" s="20"/>
      <c r="Y252" s="20"/>
      <c r="Z252" s="20"/>
      <c r="AA252" s="20"/>
      <c r="AB252" s="20"/>
      <c r="AC252" s="20"/>
      <c r="AD252" s="1"/>
      <c r="AE252" s="1"/>
      <c r="AF252" s="20"/>
      <c r="AG252" s="20"/>
      <c r="AH252" s="20"/>
      <c r="AI252" s="20"/>
      <c r="AJ252" s="20"/>
      <c r="AK252" s="20"/>
      <c r="AL252" s="20"/>
      <c r="AM252" s="20"/>
      <c r="AN252" s="20"/>
      <c r="AO252" s="20"/>
      <c r="AT252" s="20"/>
      <c r="AU252" s="20"/>
      <c r="AV252" s="20"/>
      <c r="AW252" s="20"/>
      <c r="AX252" s="20"/>
      <c r="AY252" s="7"/>
      <c r="AZ252" s="7"/>
      <c r="BA252" s="7"/>
      <c r="BB252" s="7"/>
      <c r="BC252" s="21"/>
      <c r="BD252" s="7"/>
      <c r="BE252" s="15"/>
    </row>
    <row r="253" spans="1:61">
      <c r="A253" s="1"/>
      <c r="B253" s="1"/>
      <c r="C253" s="1"/>
      <c r="D253" s="10"/>
      <c r="E253" s="10"/>
      <c r="F253" s="10"/>
      <c r="G253" s="10"/>
      <c r="H253" s="10"/>
      <c r="I253" s="10"/>
      <c r="J253" s="10"/>
      <c r="K253" s="10"/>
      <c r="L253" s="10"/>
      <c r="M253" s="10"/>
      <c r="N253" s="10"/>
      <c r="O253" s="10"/>
      <c r="P253" s="1"/>
      <c r="Q253" s="7"/>
      <c r="R253" s="7"/>
      <c r="S253" s="1"/>
      <c r="T253" s="10"/>
      <c r="U253" s="10"/>
      <c r="V253" s="10"/>
      <c r="W253" s="10"/>
      <c r="X253" s="10"/>
      <c r="Y253" s="10"/>
      <c r="Z253" s="10"/>
      <c r="AA253" s="10"/>
      <c r="AB253" s="10"/>
      <c r="AC253" s="10"/>
      <c r="AD253" s="1"/>
      <c r="AE253" s="1"/>
      <c r="AF253" s="11"/>
      <c r="AG253" s="10"/>
      <c r="AH253" s="10"/>
      <c r="AI253" s="10"/>
      <c r="AJ253" s="10"/>
      <c r="AK253" s="10"/>
      <c r="AL253" s="10"/>
      <c r="AM253" s="10"/>
      <c r="AN253" s="10"/>
      <c r="AO253" s="10"/>
      <c r="AT253" s="10"/>
      <c r="AU253" s="10"/>
      <c r="AV253" s="10"/>
      <c r="AW253" s="10"/>
    </row>
    <row r="254" spans="1:61">
      <c r="A254" s="1"/>
      <c r="B254" s="1"/>
      <c r="C254" s="1"/>
      <c r="D254" s="20"/>
      <c r="E254" s="20"/>
      <c r="F254" s="20"/>
      <c r="G254" s="20"/>
      <c r="H254" s="20"/>
      <c r="I254" s="20"/>
      <c r="J254" s="20"/>
      <c r="K254" s="20"/>
      <c r="L254" s="20"/>
      <c r="M254" s="20"/>
      <c r="N254" s="20"/>
      <c r="O254" s="20"/>
      <c r="P254" s="1"/>
      <c r="Q254" s="20"/>
      <c r="R254" s="20"/>
      <c r="S254" s="1"/>
      <c r="T254" s="20"/>
      <c r="U254" s="20"/>
      <c r="V254" s="20"/>
      <c r="W254" s="20"/>
      <c r="X254" s="20"/>
      <c r="Y254" s="20"/>
      <c r="Z254" s="20"/>
      <c r="AA254" s="20"/>
      <c r="AB254" s="20"/>
      <c r="AC254" s="20"/>
      <c r="AD254" s="1"/>
      <c r="AE254" s="1"/>
      <c r="AF254" s="20"/>
      <c r="AG254" s="20"/>
      <c r="AH254" s="20"/>
      <c r="AI254" s="20"/>
      <c r="AJ254" s="20"/>
      <c r="AK254" s="20"/>
      <c r="AL254" s="20"/>
      <c r="AM254" s="20"/>
      <c r="AN254" s="20"/>
      <c r="AO254" s="20"/>
      <c r="AT254" s="20"/>
      <c r="AU254" s="20"/>
      <c r="AV254" s="20"/>
      <c r="AW254" s="20"/>
      <c r="AX254" s="20"/>
      <c r="AY254" s="7"/>
      <c r="AZ254" s="7"/>
      <c r="BA254" s="7"/>
      <c r="BB254" s="7"/>
      <c r="BC254" s="21"/>
      <c r="BD254" s="7"/>
      <c r="BE254" s="15"/>
    </row>
    <row r="255" spans="1:61">
      <c r="A255" s="1"/>
      <c r="B255" s="1"/>
      <c r="C255" s="1"/>
      <c r="D255" s="20"/>
      <c r="E255" s="20"/>
      <c r="F255" s="20"/>
      <c r="G255" s="20"/>
      <c r="H255" s="20"/>
      <c r="I255" s="20"/>
      <c r="J255" s="20"/>
      <c r="K255" s="20"/>
      <c r="L255" s="20"/>
      <c r="M255" s="20"/>
      <c r="N255" s="20"/>
      <c r="O255" s="20"/>
      <c r="P255" s="1"/>
      <c r="Q255" s="7"/>
      <c r="R255" s="7"/>
      <c r="S255" s="1"/>
      <c r="T255" s="10"/>
      <c r="U255" s="10"/>
      <c r="V255" s="10"/>
      <c r="W255" s="10"/>
      <c r="X255" s="10"/>
      <c r="Y255" s="10"/>
      <c r="Z255" s="10"/>
      <c r="AA255" s="10"/>
      <c r="AB255" s="10"/>
      <c r="AC255" s="10"/>
      <c r="AD255" s="1"/>
      <c r="AE255" s="1"/>
      <c r="AF255" s="11"/>
      <c r="AG255" s="10"/>
      <c r="AH255" s="10"/>
      <c r="AI255" s="10"/>
      <c r="AJ255" s="10"/>
      <c r="AK255" s="10"/>
      <c r="AL255" s="10"/>
      <c r="AM255" s="10"/>
      <c r="AN255" s="10"/>
      <c r="AO255" s="10"/>
      <c r="AT255" s="10"/>
      <c r="AU255" s="10"/>
      <c r="AV255" s="10"/>
      <c r="AW255" s="10"/>
    </row>
    <row r="256" spans="1:61">
      <c r="A256" s="1"/>
      <c r="B256" s="1"/>
      <c r="C256" s="1"/>
      <c r="D256" s="10"/>
      <c r="E256" s="10"/>
      <c r="F256" s="10"/>
      <c r="G256" s="10"/>
      <c r="H256" s="10"/>
      <c r="I256" s="10"/>
      <c r="J256" s="10"/>
      <c r="K256" s="10"/>
      <c r="L256" s="10"/>
      <c r="M256" s="10"/>
      <c r="N256" s="10"/>
      <c r="O256" s="10"/>
      <c r="P256" s="1"/>
      <c r="Q256" s="20"/>
      <c r="R256" s="20"/>
      <c r="S256" s="1"/>
      <c r="T256" s="20"/>
      <c r="U256" s="20"/>
      <c r="V256" s="20"/>
      <c r="W256" s="20"/>
      <c r="X256" s="20"/>
      <c r="Y256" s="20"/>
      <c r="Z256" s="20"/>
      <c r="AA256" s="20"/>
      <c r="AB256" s="20"/>
      <c r="AC256" s="20"/>
      <c r="AD256" s="1"/>
      <c r="AE256" s="1"/>
      <c r="AF256" s="20"/>
      <c r="AG256" s="20"/>
      <c r="AH256" s="20"/>
      <c r="AI256" s="20"/>
      <c r="AJ256" s="20"/>
      <c r="AK256" s="20"/>
      <c r="AL256" s="20"/>
      <c r="AM256" s="20"/>
      <c r="AN256" s="20"/>
      <c r="AO256" s="20"/>
      <c r="AT256" s="20"/>
      <c r="AU256" s="20"/>
      <c r="AV256" s="20"/>
      <c r="AW256" s="20"/>
      <c r="AX256" s="20"/>
      <c r="AY256" s="7"/>
      <c r="AZ256" s="7"/>
      <c r="BA256" s="7"/>
      <c r="BB256" s="7"/>
      <c r="BC256" s="21"/>
      <c r="BD256" s="7"/>
      <c r="BE256" s="15"/>
    </row>
    <row r="257" spans="1:57">
      <c r="A257" s="1"/>
      <c r="B257" s="1"/>
      <c r="C257" s="1"/>
      <c r="D257" s="20"/>
      <c r="E257" s="20"/>
      <c r="F257" s="20"/>
      <c r="G257" s="20"/>
      <c r="H257" s="20"/>
      <c r="I257" s="20"/>
      <c r="J257" s="20"/>
      <c r="K257" s="20"/>
      <c r="L257" s="20"/>
      <c r="M257" s="20"/>
      <c r="N257" s="20"/>
      <c r="O257" s="20"/>
      <c r="P257" s="1"/>
      <c r="Q257" s="20"/>
      <c r="R257" s="20"/>
      <c r="S257" s="1"/>
      <c r="T257" s="20"/>
      <c r="U257" s="20"/>
      <c r="V257" s="20"/>
      <c r="W257" s="20"/>
      <c r="X257" s="20"/>
      <c r="Y257" s="20"/>
      <c r="Z257" s="20"/>
      <c r="AA257" s="20"/>
      <c r="AB257" s="20"/>
      <c r="AC257" s="20"/>
      <c r="AD257" s="1"/>
      <c r="AE257" s="1"/>
      <c r="AF257" s="20"/>
      <c r="AG257" s="20"/>
      <c r="AH257" s="20"/>
      <c r="AI257" s="20"/>
      <c r="AJ257" s="20"/>
      <c r="AK257" s="20"/>
      <c r="AL257" s="20"/>
      <c r="AM257" s="20"/>
      <c r="AN257" s="20"/>
      <c r="AO257" s="20"/>
      <c r="AT257" s="20"/>
      <c r="AU257" s="20"/>
      <c r="AV257" s="20"/>
      <c r="AW257" s="20"/>
      <c r="AX257" s="20"/>
      <c r="AY257" s="7"/>
      <c r="AZ257" s="7"/>
      <c r="BA257" s="7"/>
      <c r="BB257" s="7"/>
      <c r="BC257" s="21"/>
      <c r="BD257" s="7"/>
      <c r="BE257" s="15"/>
    </row>
    <row r="258" spans="1:57">
      <c r="A258" s="1"/>
      <c r="B258" s="1"/>
      <c r="C258" s="1"/>
      <c r="D258" s="10"/>
      <c r="E258" s="10"/>
      <c r="F258" s="10"/>
      <c r="G258" s="10"/>
      <c r="H258" s="10"/>
      <c r="I258" s="10"/>
      <c r="J258" s="10"/>
      <c r="K258" s="10"/>
      <c r="L258" s="10"/>
      <c r="M258" s="10"/>
      <c r="N258" s="10"/>
      <c r="O258" s="10"/>
      <c r="P258" s="1"/>
      <c r="Q258" s="20"/>
      <c r="R258" s="20"/>
      <c r="S258" s="1"/>
      <c r="T258" s="20"/>
      <c r="U258" s="20"/>
      <c r="V258" s="20"/>
      <c r="W258" s="20"/>
      <c r="X258" s="20"/>
      <c r="Y258" s="20"/>
      <c r="Z258" s="20"/>
      <c r="AA258" s="20"/>
      <c r="AB258" s="20"/>
      <c r="AC258" s="20"/>
      <c r="AD258" s="1"/>
      <c r="AE258" s="1"/>
      <c r="AF258" s="20"/>
      <c r="AG258" s="20"/>
      <c r="AH258" s="20"/>
      <c r="AI258" s="20"/>
      <c r="AJ258" s="20"/>
      <c r="AK258" s="20"/>
      <c r="AL258" s="20"/>
      <c r="AM258" s="20"/>
      <c r="AN258" s="20"/>
      <c r="AO258" s="20"/>
      <c r="AT258" s="20"/>
      <c r="AU258" s="20"/>
      <c r="AV258" s="20"/>
      <c r="AW258" s="20"/>
      <c r="AX258" s="20"/>
      <c r="AY258" s="7"/>
      <c r="AZ258" s="7"/>
      <c r="BA258" s="7"/>
      <c r="BB258" s="7"/>
      <c r="BC258" s="21"/>
      <c r="BD258" s="7"/>
      <c r="BE258" s="15"/>
    </row>
    <row r="259" spans="1:57">
      <c r="A259" s="1"/>
      <c r="B259" s="1"/>
      <c r="C259" s="1"/>
      <c r="D259" s="20"/>
      <c r="E259" s="20"/>
      <c r="F259" s="20"/>
      <c r="G259" s="20"/>
      <c r="H259" s="20"/>
      <c r="I259" s="20"/>
      <c r="J259" s="20"/>
      <c r="K259" s="20"/>
      <c r="L259" s="20"/>
      <c r="M259" s="20"/>
      <c r="N259" s="20"/>
      <c r="O259" s="20"/>
      <c r="P259" s="1"/>
      <c r="Q259" s="20"/>
      <c r="R259" s="20"/>
      <c r="S259" s="1"/>
      <c r="T259" s="20"/>
      <c r="U259" s="20"/>
      <c r="V259" s="20"/>
      <c r="W259" s="20"/>
      <c r="X259" s="20"/>
      <c r="Y259" s="20"/>
      <c r="Z259" s="20"/>
      <c r="AA259" s="20"/>
      <c r="AB259" s="20"/>
      <c r="AC259" s="20"/>
      <c r="AD259" s="1"/>
      <c r="AE259" s="1"/>
      <c r="AF259" s="20"/>
      <c r="AG259" s="20"/>
      <c r="AH259" s="20"/>
      <c r="AI259" s="20"/>
      <c r="AJ259" s="20"/>
      <c r="AK259" s="20"/>
      <c r="AL259" s="20"/>
      <c r="AM259" s="20"/>
      <c r="AN259" s="20"/>
      <c r="AO259" s="20"/>
      <c r="AT259" s="20"/>
      <c r="AU259" s="20"/>
      <c r="AV259" s="20"/>
      <c r="AW259" s="20"/>
      <c r="AX259" s="20"/>
      <c r="AY259" s="7"/>
      <c r="AZ259" s="7"/>
      <c r="BA259" s="7"/>
      <c r="BB259" s="7"/>
      <c r="BC259" s="21"/>
      <c r="BD259" s="7"/>
      <c r="BE259" s="15"/>
    </row>
    <row r="260" spans="1:57">
      <c r="A260" s="1"/>
      <c r="B260" s="1"/>
      <c r="C260" s="1"/>
      <c r="D260" s="20"/>
      <c r="E260" s="20"/>
      <c r="F260" s="20"/>
      <c r="G260" s="20"/>
      <c r="H260" s="20"/>
      <c r="I260" s="20"/>
      <c r="J260" s="20"/>
      <c r="K260" s="20"/>
      <c r="L260" s="20"/>
      <c r="M260" s="20"/>
      <c r="N260" s="20"/>
      <c r="O260" s="20"/>
      <c r="P260" s="1"/>
      <c r="Q260" s="10"/>
      <c r="R260" s="10"/>
      <c r="S260" s="1"/>
      <c r="T260" s="10"/>
      <c r="U260" s="10"/>
      <c r="V260" s="10"/>
      <c r="W260" s="10"/>
      <c r="X260" s="10"/>
      <c r="Y260" s="10"/>
      <c r="Z260" s="10"/>
      <c r="AA260" s="10"/>
      <c r="AB260" s="10"/>
      <c r="AC260" s="10"/>
      <c r="AD260" s="1"/>
      <c r="AE260" s="1"/>
      <c r="AF260" s="10"/>
      <c r="AG260" s="10"/>
      <c r="AH260" s="10"/>
      <c r="AI260" s="10"/>
      <c r="AJ260" s="10"/>
      <c r="AK260" s="10"/>
      <c r="AL260" s="10"/>
      <c r="AM260" s="10"/>
      <c r="AN260" s="10"/>
      <c r="AO260" s="10"/>
      <c r="AT260" s="10"/>
      <c r="AU260" s="10"/>
      <c r="AV260" s="10"/>
      <c r="AW260" s="10"/>
      <c r="AX260" s="10"/>
      <c r="BC260" s="10"/>
      <c r="BE260" s="22"/>
    </row>
    <row r="261" spans="1:57">
      <c r="A261" s="1"/>
      <c r="B261" s="1"/>
      <c r="C261" s="1"/>
      <c r="D261" s="20"/>
      <c r="E261" s="20"/>
      <c r="F261" s="20"/>
      <c r="G261" s="20"/>
      <c r="H261" s="20"/>
      <c r="I261" s="20"/>
      <c r="J261" s="20"/>
      <c r="K261" s="20"/>
      <c r="L261" s="20"/>
      <c r="M261" s="20"/>
      <c r="N261" s="20"/>
      <c r="O261" s="20"/>
      <c r="P261" s="1"/>
      <c r="Q261" s="7"/>
      <c r="R261" s="7"/>
      <c r="S261" s="1"/>
      <c r="T261" s="10"/>
      <c r="U261" s="10"/>
      <c r="V261" s="10"/>
      <c r="W261" s="10"/>
      <c r="X261" s="10"/>
      <c r="Y261" s="10"/>
      <c r="Z261" s="10"/>
      <c r="AA261" s="10"/>
      <c r="AB261" s="10"/>
      <c r="AC261" s="10"/>
      <c r="AD261" s="1"/>
      <c r="AE261" s="1"/>
      <c r="AF261" s="11"/>
      <c r="AG261" s="10"/>
      <c r="AH261" s="10"/>
      <c r="AI261" s="10"/>
      <c r="AJ261" s="10"/>
      <c r="AK261" s="10"/>
      <c r="AL261" s="10"/>
      <c r="AM261" s="10"/>
      <c r="AN261" s="10"/>
      <c r="AO261" s="10"/>
      <c r="AT261" s="10"/>
      <c r="AU261" s="10"/>
      <c r="AV261" s="10"/>
      <c r="AW261" s="10"/>
    </row>
    <row r="262" spans="1:57">
      <c r="A262" s="1"/>
      <c r="B262" s="1"/>
      <c r="C262" s="1"/>
      <c r="D262" s="20"/>
      <c r="E262" s="20"/>
      <c r="F262" s="20"/>
      <c r="G262" s="20"/>
      <c r="H262" s="20"/>
      <c r="I262" s="20"/>
      <c r="J262" s="20"/>
      <c r="K262" s="20"/>
      <c r="L262" s="20"/>
      <c r="M262" s="20"/>
      <c r="N262" s="20"/>
      <c r="O262" s="20"/>
      <c r="P262" s="1"/>
      <c r="Q262" s="7"/>
      <c r="R262" s="7"/>
      <c r="S262" s="1"/>
      <c r="T262" s="10"/>
      <c r="U262" s="10"/>
      <c r="V262" s="10"/>
      <c r="W262" s="10"/>
      <c r="X262" s="10"/>
      <c r="Y262" s="10"/>
      <c r="Z262" s="10"/>
      <c r="AA262" s="10"/>
      <c r="AB262" s="10"/>
      <c r="AC262" s="10"/>
      <c r="AD262" s="1"/>
      <c r="AE262" s="1"/>
      <c r="AF262" s="11"/>
      <c r="AG262" s="10"/>
      <c r="AH262" s="10"/>
      <c r="AI262" s="10"/>
      <c r="AJ262" s="10"/>
      <c r="AK262" s="10"/>
      <c r="AL262" s="10"/>
      <c r="AM262" s="10"/>
      <c r="AN262" s="10"/>
      <c r="AO262" s="10"/>
      <c r="AT262" s="10"/>
      <c r="AU262" s="10"/>
      <c r="AV262" s="10"/>
      <c r="AW262" s="10"/>
    </row>
    <row r="263" spans="1:57">
      <c r="A263" s="1"/>
      <c r="B263" s="3"/>
      <c r="C263" s="1"/>
      <c r="D263" s="10"/>
      <c r="E263" s="10"/>
      <c r="F263" s="10"/>
      <c r="G263" s="10"/>
      <c r="H263" s="10"/>
      <c r="I263" s="10"/>
      <c r="J263" s="10"/>
      <c r="K263" s="10"/>
      <c r="L263" s="10"/>
      <c r="M263" s="10"/>
      <c r="N263" s="10"/>
      <c r="O263" s="10"/>
      <c r="P263" s="1"/>
      <c r="Q263" s="7"/>
      <c r="R263" s="7"/>
      <c r="S263" s="1"/>
      <c r="T263" s="10"/>
      <c r="U263" s="10"/>
      <c r="V263" s="10"/>
      <c r="W263" s="10"/>
      <c r="X263" s="10"/>
      <c r="Y263" s="10"/>
      <c r="Z263" s="10"/>
      <c r="AA263" s="10"/>
      <c r="AB263" s="10"/>
      <c r="AC263" s="10"/>
      <c r="AD263" s="1"/>
      <c r="AE263" s="1"/>
      <c r="AF263" s="11"/>
      <c r="AG263" s="10"/>
      <c r="AH263" s="10"/>
      <c r="AI263" s="10"/>
      <c r="AJ263" s="10"/>
      <c r="AK263" s="10"/>
      <c r="AL263" s="10"/>
      <c r="AM263" s="10"/>
      <c r="AN263" s="10"/>
      <c r="AO263" s="10"/>
      <c r="AT263" s="10"/>
      <c r="AU263" s="10"/>
      <c r="AV263" s="10"/>
      <c r="AW263" s="10"/>
    </row>
    <row r="264" spans="1:57">
      <c r="A264" s="1"/>
      <c r="B264" s="3"/>
      <c r="C264" s="1"/>
      <c r="D264" s="10"/>
      <c r="E264" s="10"/>
      <c r="F264" s="10"/>
      <c r="G264" s="10"/>
      <c r="H264" s="10"/>
      <c r="I264" s="10"/>
      <c r="J264" s="10"/>
      <c r="K264" s="10"/>
      <c r="L264" s="10"/>
      <c r="M264" s="10"/>
      <c r="N264" s="10"/>
      <c r="O264" s="10"/>
      <c r="P264" s="1"/>
      <c r="Q264" s="7"/>
      <c r="R264" s="7"/>
      <c r="S264" s="1"/>
      <c r="T264" s="10"/>
      <c r="U264" s="10"/>
      <c r="V264" s="10"/>
      <c r="W264" s="10"/>
      <c r="X264" s="10"/>
      <c r="Y264" s="10"/>
      <c r="Z264" s="10"/>
      <c r="AA264" s="10"/>
      <c r="AB264" s="10"/>
      <c r="AC264" s="10"/>
      <c r="AD264" s="1"/>
      <c r="AE264" s="1"/>
      <c r="AF264" s="11"/>
      <c r="AG264" s="10"/>
      <c r="AH264" s="10"/>
      <c r="AI264" s="10"/>
      <c r="AJ264" s="10"/>
      <c r="AK264" s="10"/>
      <c r="AL264" s="10"/>
      <c r="AM264" s="10"/>
      <c r="AN264" s="10"/>
      <c r="AO264" s="10"/>
      <c r="AT264" s="10"/>
      <c r="AU264" s="10"/>
      <c r="AV264" s="10"/>
      <c r="AW264" s="10"/>
    </row>
    <row r="265" spans="1:57">
      <c r="B265" s="3"/>
      <c r="C265" s="1"/>
      <c r="D265" s="10"/>
      <c r="E265" s="10"/>
      <c r="F265" s="10"/>
      <c r="G265" s="10"/>
      <c r="H265" s="10"/>
      <c r="I265" s="10"/>
      <c r="J265" s="10"/>
      <c r="K265" s="10"/>
      <c r="L265" s="10"/>
      <c r="M265" s="10"/>
      <c r="N265" s="10"/>
      <c r="O265" s="10"/>
    </row>
    <row r="266" spans="1:57">
      <c r="B266" s="3"/>
      <c r="C266" s="1"/>
      <c r="D266" s="10"/>
      <c r="E266" s="10"/>
      <c r="F266" s="10"/>
      <c r="G266" s="10"/>
      <c r="H266" s="10"/>
      <c r="I266" s="10"/>
      <c r="J266" s="10"/>
      <c r="K266" s="10"/>
      <c r="L266" s="10"/>
      <c r="M266" s="10"/>
      <c r="N266" s="10"/>
      <c r="O266" s="10"/>
    </row>
    <row r="267" spans="1:57">
      <c r="A267" s="23"/>
      <c r="B267" s="3"/>
      <c r="C267" s="1"/>
      <c r="D267" s="10"/>
      <c r="E267" s="10"/>
      <c r="F267" s="10"/>
      <c r="G267" s="10"/>
      <c r="H267" s="10"/>
      <c r="I267" s="10"/>
      <c r="J267" s="10"/>
      <c r="K267" s="10"/>
      <c r="L267" s="10"/>
      <c r="M267" s="10"/>
      <c r="N267" s="10"/>
      <c r="O267" s="10"/>
    </row>
    <row r="271" spans="1:57">
      <c r="A271" s="6"/>
      <c r="P271" s="1"/>
      <c r="Q271" s="7"/>
      <c r="R271" s="7"/>
      <c r="S271" s="1"/>
      <c r="T271" s="1"/>
      <c r="U271" s="1"/>
      <c r="V271" s="1"/>
      <c r="W271" s="1"/>
      <c r="X271" s="1"/>
      <c r="Y271" s="1"/>
      <c r="Z271" s="1"/>
      <c r="AA271" s="1"/>
      <c r="AB271" s="1"/>
      <c r="AC271" s="1"/>
      <c r="AD271" s="1"/>
      <c r="AE271" s="1"/>
      <c r="AF271" s="1"/>
      <c r="AG271" s="1"/>
      <c r="AH271" s="1"/>
      <c r="AI271" s="1"/>
      <c r="AJ271" s="1"/>
      <c r="AK271" s="1"/>
      <c r="AL271" s="1"/>
      <c r="AM271" s="1"/>
      <c r="AN271" s="1"/>
      <c r="AO271" s="1"/>
      <c r="AT271" s="1"/>
      <c r="AU271" s="1"/>
      <c r="AV271" s="1"/>
      <c r="AW271" s="1"/>
    </row>
    <row r="272" spans="1:57">
      <c r="P272" s="407"/>
      <c r="Q272" s="407"/>
      <c r="R272" s="407"/>
      <c r="S272" s="407"/>
      <c r="T272" s="407"/>
      <c r="U272" s="407"/>
      <c r="V272" s="407"/>
      <c r="W272" s="407"/>
      <c r="X272" s="407"/>
      <c r="Y272" s="407"/>
      <c r="Z272" s="407"/>
      <c r="AA272" s="407"/>
      <c r="AB272" s="407"/>
      <c r="AC272" s="407"/>
      <c r="AD272" s="407"/>
      <c r="AE272" s="407"/>
      <c r="AF272" s="407"/>
      <c r="AG272" s="407"/>
      <c r="AT272" s="407"/>
    </row>
    <row r="273" spans="2:49">
      <c r="P273" s="25"/>
      <c r="Q273" s="406"/>
      <c r="R273" s="406"/>
      <c r="S273" s="406"/>
      <c r="T273" s="406"/>
      <c r="U273" s="406"/>
      <c r="V273" s="406"/>
      <c r="W273" s="406"/>
      <c r="X273" s="406"/>
      <c r="Y273" s="406"/>
      <c r="Z273" s="406"/>
      <c r="AA273" s="406"/>
      <c r="AB273" s="406"/>
      <c r="AC273" s="406"/>
      <c r="AD273" s="406"/>
      <c r="AE273" s="406"/>
      <c r="AF273" s="25"/>
      <c r="AG273" s="25"/>
      <c r="AT273" s="25"/>
    </row>
    <row r="274" spans="2:49">
      <c r="B274" s="6"/>
      <c r="C274" s="1"/>
      <c r="D274" s="1"/>
      <c r="E274" s="1"/>
      <c r="F274" s="1"/>
      <c r="G274" s="1"/>
      <c r="H274" s="1"/>
      <c r="I274" s="1"/>
      <c r="J274" s="1"/>
      <c r="K274" s="1"/>
      <c r="L274" s="1"/>
      <c r="M274" s="1"/>
      <c r="N274" s="1"/>
      <c r="O274" s="1"/>
      <c r="P274" s="25"/>
      <c r="Q274" s="26"/>
      <c r="R274" s="26"/>
      <c r="S274" s="26"/>
      <c r="T274" s="26"/>
      <c r="U274" s="26"/>
      <c r="V274" s="26"/>
      <c r="W274" s="26"/>
      <c r="X274" s="26"/>
      <c r="Y274" s="26"/>
      <c r="Z274" s="26"/>
      <c r="AA274" s="26"/>
      <c r="AB274" s="26"/>
      <c r="AC274" s="26"/>
      <c r="AD274" s="25"/>
      <c r="AE274" s="25"/>
      <c r="AF274" s="26"/>
      <c r="AG274" s="26"/>
      <c r="AH274" s="26"/>
      <c r="AI274" s="26"/>
      <c r="AJ274" s="26"/>
      <c r="AK274" s="26"/>
      <c r="AL274" s="26"/>
      <c r="AM274" s="26"/>
      <c r="AN274" s="26"/>
      <c r="AO274" s="26"/>
      <c r="AT274" s="26"/>
      <c r="AU274" s="26"/>
      <c r="AV274" s="26"/>
      <c r="AW274" s="26"/>
    </row>
    <row r="275" spans="2:49">
      <c r="B275" s="24"/>
      <c r="C275" s="407"/>
      <c r="D275" s="407"/>
      <c r="E275" s="407"/>
      <c r="F275" s="407"/>
      <c r="G275" s="407"/>
      <c r="H275" s="407"/>
      <c r="I275" s="407"/>
      <c r="J275" s="407"/>
      <c r="K275" s="407"/>
      <c r="L275" s="407"/>
      <c r="M275" s="407"/>
      <c r="N275" s="407"/>
      <c r="O275" s="407"/>
      <c r="P275" s="9"/>
      <c r="Q275" s="27"/>
      <c r="R275" s="27"/>
      <c r="S275" s="9"/>
      <c r="T275" s="27"/>
      <c r="U275" s="27"/>
      <c r="V275" s="27"/>
      <c r="W275" s="27"/>
      <c r="X275" s="27"/>
      <c r="Y275" s="27"/>
      <c r="Z275" s="27"/>
      <c r="AA275" s="27"/>
      <c r="AB275" s="27"/>
      <c r="AC275" s="27"/>
      <c r="AD275" s="9"/>
      <c r="AE275" s="9"/>
      <c r="AF275" s="27"/>
      <c r="AG275" s="27"/>
      <c r="AH275" s="27"/>
      <c r="AI275" s="27"/>
      <c r="AJ275" s="27"/>
      <c r="AK275" s="27"/>
      <c r="AL275" s="27"/>
      <c r="AM275" s="27"/>
      <c r="AN275" s="27"/>
      <c r="AO275" s="27"/>
      <c r="AT275" s="27"/>
      <c r="AU275" s="27"/>
      <c r="AV275" s="27"/>
      <c r="AW275" s="27"/>
    </row>
    <row r="276" spans="2:49">
      <c r="B276" s="24"/>
      <c r="C276" s="605"/>
      <c r="D276" s="605"/>
      <c r="E276" s="406"/>
      <c r="F276" s="406"/>
      <c r="G276" s="406"/>
      <c r="H276" s="406"/>
      <c r="I276" s="406"/>
      <c r="J276" s="406"/>
      <c r="K276" s="406"/>
      <c r="L276" s="406"/>
      <c r="M276" s="406"/>
      <c r="N276" s="406"/>
      <c r="O276" s="406"/>
      <c r="P276" s="9"/>
      <c r="Q276" s="27"/>
      <c r="R276" s="27"/>
      <c r="S276" s="9"/>
      <c r="T276" s="27"/>
      <c r="U276" s="27"/>
      <c r="V276" s="27"/>
      <c r="W276" s="27"/>
      <c r="X276" s="27"/>
      <c r="Y276" s="27"/>
      <c r="Z276" s="27"/>
      <c r="AA276" s="27"/>
      <c r="AB276" s="27"/>
      <c r="AC276" s="27"/>
      <c r="AD276" s="9"/>
      <c r="AE276" s="9"/>
      <c r="AF276" s="27"/>
      <c r="AG276" s="27"/>
      <c r="AH276" s="27"/>
      <c r="AI276" s="27"/>
      <c r="AJ276" s="27"/>
      <c r="AK276" s="27"/>
      <c r="AL276" s="27"/>
      <c r="AM276" s="27"/>
      <c r="AN276" s="27"/>
      <c r="AO276" s="27"/>
      <c r="AT276" s="27"/>
      <c r="AU276" s="27"/>
      <c r="AV276" s="27"/>
      <c r="AW276" s="27"/>
    </row>
    <row r="277" spans="2:49">
      <c r="B277" s="3"/>
      <c r="C277" s="26"/>
      <c r="D277" s="26"/>
      <c r="E277" s="26"/>
      <c r="F277" s="26"/>
      <c r="G277" s="26"/>
      <c r="H277" s="26"/>
      <c r="I277" s="26"/>
      <c r="J277" s="26"/>
      <c r="K277" s="26"/>
      <c r="L277" s="26"/>
      <c r="M277" s="26"/>
      <c r="N277" s="26"/>
      <c r="O277" s="26"/>
      <c r="P277" s="9"/>
      <c r="Q277" s="27"/>
      <c r="R277" s="27"/>
      <c r="S277" s="9"/>
      <c r="T277" s="27"/>
      <c r="U277" s="27"/>
      <c r="V277" s="27"/>
      <c r="W277" s="27"/>
      <c r="X277" s="27"/>
      <c r="Y277" s="27"/>
      <c r="Z277" s="27"/>
      <c r="AA277" s="27"/>
      <c r="AB277" s="27"/>
      <c r="AC277" s="27"/>
      <c r="AD277" s="9"/>
      <c r="AE277" s="9"/>
      <c r="AF277" s="27"/>
      <c r="AG277" s="27"/>
      <c r="AH277" s="27"/>
      <c r="AI277" s="27"/>
      <c r="AJ277" s="27"/>
      <c r="AK277" s="27"/>
      <c r="AL277" s="27"/>
      <c r="AM277" s="27"/>
      <c r="AN277" s="27"/>
      <c r="AO277" s="27"/>
      <c r="AT277" s="27"/>
      <c r="AU277" s="27"/>
      <c r="AV277" s="27"/>
      <c r="AW277" s="27"/>
    </row>
    <row r="278" spans="2:49">
      <c r="B278" s="5"/>
      <c r="C278" s="27"/>
      <c r="D278" s="27"/>
      <c r="E278" s="27"/>
      <c r="F278" s="27"/>
      <c r="G278" s="27"/>
      <c r="H278" s="27"/>
      <c r="I278" s="27"/>
      <c r="J278" s="27"/>
      <c r="K278" s="27"/>
      <c r="L278" s="27"/>
      <c r="M278" s="27"/>
      <c r="N278" s="27"/>
      <c r="O278" s="27"/>
      <c r="P278" s="9"/>
      <c r="Q278" s="27"/>
      <c r="R278" s="27"/>
      <c r="S278" s="9"/>
      <c r="T278" s="27"/>
      <c r="U278" s="27"/>
      <c r="V278" s="27"/>
      <c r="W278" s="27"/>
      <c r="X278" s="27"/>
      <c r="Y278" s="27"/>
      <c r="Z278" s="27"/>
      <c r="AA278" s="27"/>
      <c r="AB278" s="27"/>
      <c r="AC278" s="27"/>
      <c r="AD278" s="9"/>
      <c r="AE278" s="9"/>
      <c r="AF278" s="27"/>
      <c r="AG278" s="27"/>
      <c r="AH278" s="27"/>
      <c r="AI278" s="27"/>
      <c r="AJ278" s="27"/>
      <c r="AK278" s="27"/>
      <c r="AL278" s="27"/>
      <c r="AM278" s="27"/>
      <c r="AN278" s="27"/>
      <c r="AO278" s="27"/>
      <c r="AT278" s="27"/>
      <c r="AU278" s="27"/>
      <c r="AV278" s="27"/>
      <c r="AW278" s="27"/>
    </row>
    <row r="279" spans="2:49">
      <c r="B279" s="5"/>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c r="AC279" s="27"/>
      <c r="AD279" s="27"/>
      <c r="AE279" s="27"/>
      <c r="AF279" s="27"/>
      <c r="AG279" s="27"/>
      <c r="AH279" s="27"/>
      <c r="AI279" s="27"/>
      <c r="AJ279" s="27"/>
      <c r="AK279" s="27"/>
      <c r="AL279" s="27"/>
      <c r="AM279" s="27"/>
      <c r="AN279" s="27"/>
      <c r="AO279" s="27"/>
      <c r="AT279" s="27"/>
      <c r="AU279" s="27"/>
      <c r="AV279" s="27"/>
      <c r="AW279" s="27"/>
    </row>
    <row r="280" spans="2:49">
      <c r="B280" s="5"/>
      <c r="C280" s="27"/>
      <c r="D280" s="27"/>
      <c r="E280" s="27"/>
      <c r="F280" s="27"/>
      <c r="G280" s="27"/>
      <c r="H280" s="27"/>
      <c r="I280" s="27"/>
      <c r="J280" s="27"/>
      <c r="K280" s="27"/>
      <c r="L280" s="27"/>
      <c r="M280" s="27"/>
      <c r="N280" s="27"/>
      <c r="O280" s="27"/>
      <c r="P280" s="9"/>
      <c r="Q280" s="27"/>
      <c r="R280" s="27"/>
      <c r="S280" s="9"/>
      <c r="T280" s="27"/>
      <c r="U280" s="27"/>
      <c r="V280" s="27"/>
      <c r="W280" s="27"/>
      <c r="X280" s="27"/>
      <c r="Y280" s="27"/>
      <c r="Z280" s="27"/>
      <c r="AA280" s="27"/>
      <c r="AB280" s="27"/>
      <c r="AC280" s="27"/>
      <c r="AD280" s="9"/>
      <c r="AE280" s="9"/>
      <c r="AF280" s="27"/>
      <c r="AG280" s="27"/>
      <c r="AH280" s="27"/>
      <c r="AI280" s="27"/>
      <c r="AJ280" s="27"/>
      <c r="AK280" s="27"/>
      <c r="AL280" s="27"/>
      <c r="AM280" s="27"/>
      <c r="AN280" s="27"/>
      <c r="AO280" s="27"/>
      <c r="AT280" s="27"/>
      <c r="AU280" s="27"/>
      <c r="AV280" s="27"/>
      <c r="AW280" s="27"/>
    </row>
    <row r="281" spans="2:49">
      <c r="B281" s="5"/>
      <c r="C281" s="27"/>
      <c r="D281" s="27"/>
      <c r="E281" s="27"/>
      <c r="F281" s="27"/>
      <c r="G281" s="27"/>
      <c r="H281" s="27"/>
      <c r="I281" s="27"/>
      <c r="J281" s="27"/>
      <c r="K281" s="27"/>
      <c r="L281" s="27"/>
      <c r="M281" s="27"/>
      <c r="N281" s="27"/>
      <c r="O281" s="27"/>
      <c r="P281" s="9"/>
      <c r="Q281" s="27"/>
      <c r="R281" s="27"/>
      <c r="S281" s="9"/>
      <c r="T281" s="27"/>
      <c r="U281" s="27"/>
      <c r="V281" s="27"/>
      <c r="W281" s="27"/>
      <c r="X281" s="27"/>
      <c r="Y281" s="27"/>
      <c r="Z281" s="27"/>
      <c r="AA281" s="27"/>
      <c r="AB281" s="27"/>
      <c r="AC281" s="27"/>
      <c r="AD281" s="9"/>
      <c r="AE281" s="9"/>
      <c r="AF281" s="27"/>
      <c r="AG281" s="27"/>
      <c r="AH281" s="27"/>
      <c r="AI281" s="27"/>
      <c r="AJ281" s="27"/>
      <c r="AK281" s="27"/>
      <c r="AL281" s="27"/>
      <c r="AM281" s="27"/>
      <c r="AN281" s="27"/>
      <c r="AO281" s="27"/>
      <c r="AT281" s="27"/>
      <c r="AU281" s="27"/>
      <c r="AV281" s="27"/>
      <c r="AW281" s="27"/>
    </row>
    <row r="282" spans="2:49">
      <c r="B282" s="286"/>
      <c r="C282" s="27"/>
      <c r="D282" s="27"/>
      <c r="E282" s="27"/>
      <c r="F282" s="27"/>
      <c r="G282" s="27"/>
      <c r="H282" s="27"/>
      <c r="I282" s="27"/>
      <c r="J282" s="27"/>
      <c r="K282" s="27"/>
      <c r="L282" s="27"/>
      <c r="M282" s="27"/>
      <c r="N282" s="27"/>
      <c r="O282" s="27"/>
      <c r="P282" s="9"/>
      <c r="Q282" s="27"/>
      <c r="R282" s="27"/>
      <c r="S282" s="9"/>
      <c r="T282" s="27"/>
      <c r="U282" s="27"/>
      <c r="V282" s="27"/>
      <c r="W282" s="27"/>
      <c r="X282" s="27"/>
      <c r="Y282" s="27"/>
      <c r="Z282" s="27"/>
      <c r="AA282" s="27"/>
      <c r="AB282" s="27"/>
      <c r="AC282" s="27"/>
      <c r="AD282" s="9"/>
      <c r="AE282" s="9"/>
      <c r="AF282" s="27"/>
      <c r="AG282" s="27"/>
      <c r="AH282" s="27"/>
      <c r="AI282" s="27"/>
      <c r="AJ282" s="27"/>
      <c r="AK282" s="27"/>
      <c r="AL282" s="27"/>
      <c r="AM282" s="27"/>
      <c r="AN282" s="27"/>
      <c r="AO282" s="27"/>
      <c r="AT282" s="27"/>
      <c r="AU282" s="27"/>
      <c r="AV282" s="27"/>
      <c r="AW282" s="27"/>
    </row>
    <row r="283" spans="2:49">
      <c r="B283" s="286"/>
      <c r="C283" s="27"/>
      <c r="D283" s="27"/>
      <c r="E283" s="27"/>
      <c r="F283" s="27"/>
      <c r="G283" s="27"/>
      <c r="H283" s="27"/>
      <c r="I283" s="27"/>
      <c r="J283" s="27"/>
      <c r="K283" s="27"/>
      <c r="L283" s="27"/>
      <c r="M283" s="27"/>
      <c r="N283" s="27"/>
      <c r="O283" s="27"/>
      <c r="P283" s="9"/>
      <c r="Q283" s="27"/>
      <c r="R283" s="27"/>
      <c r="S283" s="9"/>
      <c r="T283" s="27"/>
      <c r="U283" s="27"/>
      <c r="V283" s="27"/>
      <c r="W283" s="27"/>
      <c r="X283" s="27"/>
      <c r="Y283" s="27"/>
      <c r="Z283" s="27"/>
      <c r="AA283" s="27"/>
      <c r="AB283" s="27"/>
      <c r="AC283" s="27"/>
      <c r="AD283" s="9"/>
      <c r="AE283" s="9"/>
      <c r="AF283" s="27"/>
      <c r="AG283" s="27"/>
      <c r="AH283" s="27"/>
      <c r="AI283" s="27"/>
      <c r="AJ283" s="27"/>
      <c r="AK283" s="27"/>
      <c r="AL283" s="27"/>
      <c r="AM283" s="27"/>
      <c r="AN283" s="27"/>
      <c r="AO283" s="27"/>
      <c r="AT283" s="27"/>
      <c r="AU283" s="27"/>
      <c r="AV283" s="27"/>
      <c r="AW283" s="27"/>
    </row>
    <row r="284" spans="2:49">
      <c r="B284" s="3"/>
      <c r="C284" s="27"/>
      <c r="D284" s="27"/>
      <c r="E284" s="27"/>
      <c r="F284" s="27"/>
      <c r="G284" s="27"/>
      <c r="H284" s="27"/>
      <c r="I284" s="27"/>
      <c r="J284" s="27"/>
      <c r="K284" s="27"/>
      <c r="L284" s="27"/>
      <c r="M284" s="27"/>
      <c r="N284" s="27"/>
      <c r="O284" s="27"/>
      <c r="P284" s="9"/>
      <c r="Q284" s="27"/>
      <c r="R284" s="27"/>
      <c r="S284" s="9"/>
      <c r="T284" s="27"/>
      <c r="U284" s="27"/>
      <c r="V284" s="27"/>
      <c r="W284" s="27"/>
      <c r="X284" s="27"/>
      <c r="Y284" s="27"/>
      <c r="Z284" s="27"/>
      <c r="AA284" s="27"/>
      <c r="AB284" s="27"/>
      <c r="AC284" s="27"/>
      <c r="AD284" s="9"/>
      <c r="AE284" s="9"/>
      <c r="AF284" s="27"/>
      <c r="AG284" s="27"/>
      <c r="AH284" s="27"/>
      <c r="AI284" s="27"/>
      <c r="AJ284" s="27"/>
      <c r="AK284" s="27"/>
      <c r="AL284" s="27"/>
      <c r="AM284" s="27"/>
      <c r="AN284" s="27"/>
      <c r="AO284" s="27"/>
      <c r="AT284" s="27"/>
      <c r="AU284" s="27"/>
      <c r="AV284" s="27"/>
      <c r="AW284" s="27"/>
    </row>
    <row r="285" spans="2:49">
      <c r="B285" s="5"/>
      <c r="C285" s="27"/>
      <c r="D285" s="27"/>
      <c r="E285" s="27"/>
      <c r="F285" s="27"/>
      <c r="G285" s="27"/>
      <c r="H285" s="27"/>
      <c r="I285" s="27"/>
      <c r="J285" s="27"/>
      <c r="K285" s="27"/>
      <c r="L285" s="27"/>
      <c r="M285" s="27"/>
      <c r="N285" s="27"/>
      <c r="O285" s="27"/>
      <c r="P285" s="9"/>
      <c r="Q285" s="27"/>
      <c r="R285" s="27"/>
      <c r="S285" s="9"/>
      <c r="T285" s="27"/>
      <c r="U285" s="27"/>
      <c r="V285" s="27"/>
      <c r="W285" s="27"/>
      <c r="X285" s="27"/>
      <c r="Y285" s="27"/>
      <c r="Z285" s="27"/>
      <c r="AA285" s="27"/>
      <c r="AB285" s="27"/>
      <c r="AC285" s="27"/>
      <c r="AD285" s="9"/>
      <c r="AE285" s="9"/>
      <c r="AF285" s="27"/>
      <c r="AG285" s="27"/>
      <c r="AH285" s="27"/>
      <c r="AI285" s="27"/>
      <c r="AJ285" s="27"/>
      <c r="AK285" s="27"/>
      <c r="AL285" s="27"/>
      <c r="AM285" s="27"/>
      <c r="AN285" s="27"/>
      <c r="AO285" s="27"/>
      <c r="AT285" s="27"/>
      <c r="AU285" s="27"/>
      <c r="AV285" s="27"/>
      <c r="AW285" s="27"/>
    </row>
    <row r="286" spans="2:49">
      <c r="B286" s="5"/>
      <c r="C286" s="27"/>
      <c r="D286" s="27"/>
      <c r="E286" s="27"/>
      <c r="F286" s="27"/>
      <c r="G286" s="27"/>
      <c r="H286" s="27"/>
      <c r="I286" s="27"/>
      <c r="J286" s="27"/>
      <c r="K286" s="27"/>
      <c r="L286" s="27"/>
      <c r="M286" s="27"/>
      <c r="N286" s="27"/>
      <c r="O286" s="27"/>
      <c r="P286" s="9"/>
      <c r="Q286" s="27"/>
      <c r="R286" s="27"/>
      <c r="S286" s="9"/>
      <c r="T286" s="27"/>
      <c r="U286" s="27"/>
      <c r="V286" s="27"/>
      <c r="W286" s="27"/>
      <c r="X286" s="27"/>
      <c r="Y286" s="27"/>
      <c r="Z286" s="27"/>
      <c r="AA286" s="27"/>
      <c r="AB286" s="27"/>
      <c r="AC286" s="27"/>
      <c r="AD286" s="9"/>
      <c r="AE286" s="9"/>
      <c r="AF286" s="27"/>
      <c r="AG286" s="27"/>
      <c r="AH286" s="27"/>
      <c r="AI286" s="27"/>
      <c r="AJ286" s="27"/>
      <c r="AK286" s="27"/>
      <c r="AL286" s="27"/>
      <c r="AM286" s="27"/>
      <c r="AN286" s="27"/>
      <c r="AO286" s="27"/>
      <c r="AT286" s="27"/>
      <c r="AU286" s="27"/>
      <c r="AV286" s="27"/>
      <c r="AW286" s="27"/>
    </row>
    <row r="287" spans="2:49">
      <c r="B287" s="5"/>
      <c r="C287" s="27"/>
      <c r="D287" s="27"/>
      <c r="E287" s="27"/>
      <c r="F287" s="27"/>
      <c r="G287" s="27"/>
      <c r="H287" s="27"/>
      <c r="I287" s="27"/>
      <c r="J287" s="27"/>
      <c r="K287" s="27"/>
      <c r="L287" s="27"/>
      <c r="M287" s="27"/>
      <c r="N287" s="27"/>
      <c r="O287" s="27"/>
      <c r="P287" s="9"/>
      <c r="Q287" s="27"/>
      <c r="R287" s="27"/>
      <c r="S287" s="9"/>
      <c r="T287" s="27"/>
      <c r="U287" s="27"/>
      <c r="V287" s="27"/>
      <c r="W287" s="27"/>
      <c r="X287" s="27"/>
      <c r="Y287" s="27"/>
      <c r="Z287" s="27"/>
      <c r="AA287" s="27"/>
      <c r="AB287" s="27"/>
      <c r="AC287" s="27"/>
      <c r="AD287" s="9"/>
      <c r="AE287" s="9"/>
      <c r="AF287" s="27"/>
      <c r="AG287" s="27"/>
      <c r="AH287" s="27"/>
      <c r="AI287" s="27"/>
      <c r="AJ287" s="27"/>
      <c r="AK287" s="27"/>
      <c r="AL287" s="27"/>
      <c r="AM287" s="27"/>
      <c r="AN287" s="27"/>
      <c r="AO287" s="27"/>
      <c r="AT287" s="27"/>
      <c r="AU287" s="27"/>
      <c r="AV287" s="27"/>
      <c r="AW287" s="27"/>
    </row>
    <row r="288" spans="2:49">
      <c r="B288" s="5"/>
      <c r="C288" s="27"/>
      <c r="D288" s="27"/>
      <c r="E288" s="27"/>
      <c r="F288" s="27"/>
      <c r="G288" s="27"/>
      <c r="H288" s="27"/>
      <c r="I288" s="27"/>
      <c r="J288" s="27"/>
      <c r="K288" s="27"/>
      <c r="L288" s="27"/>
      <c r="M288" s="27"/>
      <c r="N288" s="27"/>
      <c r="O288" s="27"/>
      <c r="P288" s="9"/>
      <c r="Q288" s="27"/>
      <c r="R288" s="27"/>
      <c r="S288" s="9"/>
      <c r="T288" s="9"/>
      <c r="U288" s="9"/>
      <c r="V288" s="9"/>
      <c r="W288" s="9"/>
      <c r="X288" s="9"/>
      <c r="Y288" s="9"/>
      <c r="Z288" s="9"/>
      <c r="AA288" s="9"/>
      <c r="AB288" s="9"/>
      <c r="AC288" s="9"/>
      <c r="AD288" s="9"/>
      <c r="AE288" s="9"/>
      <c r="AF288" s="9"/>
      <c r="AG288" s="9"/>
      <c r="AH288" s="9"/>
      <c r="AI288" s="9"/>
      <c r="AJ288" s="9"/>
      <c r="AK288" s="9"/>
      <c r="AL288" s="9"/>
      <c r="AM288" s="9"/>
      <c r="AN288" s="9"/>
      <c r="AO288" s="9"/>
      <c r="AT288" s="9"/>
      <c r="AU288" s="9"/>
      <c r="AV288" s="9"/>
      <c r="AW288" s="9"/>
    </row>
    <row r="289" spans="1:49">
      <c r="B289" s="5"/>
      <c r="C289" s="27"/>
      <c r="D289" s="27"/>
      <c r="E289" s="27"/>
      <c r="F289" s="27"/>
      <c r="G289" s="27"/>
      <c r="H289" s="27"/>
      <c r="I289" s="27"/>
      <c r="J289" s="27"/>
      <c r="K289" s="27"/>
      <c r="L289" s="27"/>
      <c r="M289" s="27"/>
      <c r="N289" s="27"/>
      <c r="O289" s="27"/>
      <c r="P289" s="9"/>
      <c r="Q289" s="27"/>
      <c r="R289" s="27"/>
      <c r="S289" s="9"/>
      <c r="T289" s="9"/>
      <c r="U289" s="9"/>
      <c r="V289" s="9"/>
      <c r="W289" s="9"/>
      <c r="X289" s="9"/>
      <c r="Y289" s="9"/>
      <c r="Z289" s="9"/>
      <c r="AA289" s="9"/>
      <c r="AB289" s="9"/>
      <c r="AC289" s="9"/>
      <c r="AD289" s="9"/>
      <c r="AE289" s="9"/>
      <c r="AF289" s="9"/>
      <c r="AG289" s="9"/>
      <c r="AH289" s="9"/>
      <c r="AI289" s="9"/>
      <c r="AJ289" s="9"/>
      <c r="AK289" s="9"/>
      <c r="AL289" s="9"/>
      <c r="AM289" s="9"/>
      <c r="AN289" s="9"/>
      <c r="AO289" s="9"/>
      <c r="AT289" s="9"/>
      <c r="AU289" s="9"/>
      <c r="AV289" s="9"/>
      <c r="AW289" s="9"/>
    </row>
    <row r="290" spans="1:49">
      <c r="B290" s="286"/>
      <c r="C290" s="27"/>
      <c r="D290" s="27"/>
      <c r="E290" s="27"/>
      <c r="F290" s="27"/>
      <c r="G290" s="27"/>
      <c r="H290" s="27"/>
      <c r="I290" s="27"/>
      <c r="J290" s="27"/>
      <c r="K290" s="27"/>
      <c r="L290" s="27"/>
      <c r="M290" s="27"/>
      <c r="N290" s="27"/>
      <c r="O290" s="27"/>
      <c r="Q290" s="29"/>
      <c r="R290" s="29"/>
      <c r="T290" s="28"/>
      <c r="U290" s="28"/>
      <c r="V290" s="28"/>
      <c r="W290" s="28"/>
      <c r="X290" s="28"/>
      <c r="Y290" s="28"/>
      <c r="Z290" s="28"/>
      <c r="AA290" s="28"/>
      <c r="AB290" s="28"/>
      <c r="AC290" s="28"/>
      <c r="AF290" s="28"/>
      <c r="AG290" s="28"/>
      <c r="AH290" s="28"/>
      <c r="AI290" s="28"/>
      <c r="AJ290" s="28"/>
      <c r="AK290" s="28"/>
      <c r="AL290" s="28"/>
      <c r="AM290" s="28"/>
      <c r="AN290" s="28"/>
      <c r="AO290" s="28"/>
      <c r="AT290" s="28"/>
      <c r="AU290" s="28"/>
      <c r="AV290" s="28"/>
      <c r="AW290" s="28"/>
    </row>
    <row r="291" spans="1:49">
      <c r="C291" s="9"/>
      <c r="D291" s="9"/>
      <c r="E291" s="9"/>
      <c r="F291" s="9"/>
      <c r="G291" s="9"/>
      <c r="H291" s="9"/>
      <c r="I291" s="9"/>
      <c r="J291" s="9"/>
      <c r="K291" s="9"/>
      <c r="L291" s="9"/>
      <c r="M291" s="9"/>
      <c r="N291" s="9"/>
      <c r="O291" s="9"/>
      <c r="Q291" s="29"/>
      <c r="R291" s="29"/>
      <c r="T291" s="28"/>
      <c r="U291" s="28"/>
      <c r="V291" s="28"/>
      <c r="W291" s="28"/>
      <c r="X291" s="28"/>
      <c r="Y291" s="28"/>
      <c r="Z291" s="28"/>
      <c r="AA291" s="28"/>
      <c r="AB291" s="28"/>
      <c r="AC291" s="28"/>
      <c r="AF291" s="28"/>
      <c r="AG291" s="28"/>
      <c r="AH291" s="28"/>
      <c r="AI291" s="28"/>
      <c r="AJ291" s="28"/>
      <c r="AK291" s="28"/>
      <c r="AL291" s="28"/>
      <c r="AM291" s="28"/>
      <c r="AN291" s="28"/>
      <c r="AO291" s="28"/>
      <c r="AT291" s="28"/>
      <c r="AU291" s="28"/>
      <c r="AV291" s="28"/>
      <c r="AW291" s="28"/>
    </row>
    <row r="292" spans="1:49">
      <c r="B292" s="3"/>
      <c r="C292" s="9"/>
      <c r="D292" s="9"/>
      <c r="E292" s="9"/>
      <c r="F292" s="9"/>
      <c r="G292" s="9"/>
      <c r="H292" s="9"/>
      <c r="I292" s="9"/>
      <c r="J292" s="9"/>
      <c r="K292" s="9"/>
      <c r="L292" s="9"/>
      <c r="M292" s="9"/>
      <c r="N292" s="9"/>
      <c r="O292" s="9"/>
      <c r="Q292" s="29"/>
      <c r="R292" s="29"/>
      <c r="T292" s="28"/>
      <c r="U292" s="28"/>
      <c r="V292" s="28"/>
      <c r="W292" s="28"/>
      <c r="X292" s="28"/>
      <c r="Y292" s="28"/>
      <c r="Z292" s="28"/>
      <c r="AA292" s="28"/>
      <c r="AB292" s="28"/>
      <c r="AC292" s="28"/>
      <c r="AF292" s="28"/>
      <c r="AG292" s="28"/>
      <c r="AH292" s="28"/>
      <c r="AI292" s="28"/>
      <c r="AJ292" s="28"/>
      <c r="AK292" s="28"/>
      <c r="AL292" s="28"/>
      <c r="AM292" s="28"/>
      <c r="AN292" s="28"/>
      <c r="AO292" s="28"/>
      <c r="AT292" s="28"/>
      <c r="AU292" s="28"/>
      <c r="AV292" s="28"/>
      <c r="AW292" s="28"/>
    </row>
    <row r="293" spans="1:49">
      <c r="C293" s="28"/>
      <c r="D293" s="28"/>
      <c r="E293" s="28"/>
      <c r="F293" s="28"/>
      <c r="G293" s="28"/>
      <c r="H293" s="28"/>
      <c r="I293" s="28"/>
      <c r="J293" s="28"/>
      <c r="K293" s="28"/>
      <c r="L293" s="28"/>
      <c r="M293" s="28"/>
      <c r="N293" s="28"/>
      <c r="O293" s="28"/>
      <c r="Q293" s="29"/>
      <c r="R293" s="29"/>
      <c r="T293" s="28"/>
      <c r="U293" s="28"/>
      <c r="V293" s="28"/>
      <c r="W293" s="28"/>
      <c r="X293" s="28"/>
      <c r="Y293" s="28"/>
      <c r="Z293" s="28"/>
      <c r="AA293" s="28"/>
      <c r="AB293" s="28"/>
      <c r="AC293" s="28"/>
      <c r="AF293" s="28"/>
      <c r="AG293" s="28"/>
      <c r="AH293" s="28"/>
      <c r="AI293" s="28"/>
      <c r="AJ293" s="28"/>
      <c r="AK293" s="28"/>
      <c r="AL293" s="28"/>
      <c r="AM293" s="28"/>
      <c r="AN293" s="28"/>
      <c r="AO293" s="28"/>
      <c r="AT293" s="28"/>
      <c r="AU293" s="28"/>
      <c r="AV293" s="28"/>
      <c r="AW293" s="28"/>
    </row>
    <row r="294" spans="1:49">
      <c r="C294" s="28"/>
      <c r="D294" s="28"/>
      <c r="E294" s="28"/>
      <c r="F294" s="28"/>
      <c r="G294" s="28"/>
      <c r="H294" s="28"/>
      <c r="I294" s="28"/>
      <c r="J294" s="28"/>
      <c r="K294" s="28"/>
      <c r="L294" s="28"/>
      <c r="M294" s="28"/>
      <c r="N294" s="28"/>
      <c r="O294" s="28"/>
    </row>
    <row r="295" spans="1:49">
      <c r="C295" s="28"/>
      <c r="D295" s="28"/>
      <c r="E295" s="28"/>
      <c r="F295" s="28"/>
      <c r="G295" s="28"/>
      <c r="H295" s="28"/>
      <c r="I295" s="28"/>
      <c r="J295" s="28"/>
      <c r="K295" s="28"/>
      <c r="L295" s="28"/>
      <c r="M295" s="28"/>
      <c r="N295" s="28"/>
      <c r="O295" s="28"/>
    </row>
    <row r="296" spans="1:49">
      <c r="A296" s="3"/>
      <c r="C296" s="28"/>
      <c r="D296" s="28"/>
      <c r="E296" s="28"/>
      <c r="F296" s="28"/>
      <c r="G296" s="28"/>
      <c r="H296" s="28"/>
      <c r="I296" s="28"/>
      <c r="J296" s="28"/>
      <c r="K296" s="28"/>
      <c r="L296" s="28"/>
      <c r="M296" s="28"/>
      <c r="N296" s="28"/>
      <c r="O296" s="28"/>
    </row>
    <row r="297" spans="1:49">
      <c r="C297" s="30"/>
      <c r="P297" s="28"/>
      <c r="Q297" s="29"/>
      <c r="R297" s="29"/>
      <c r="S297" s="28"/>
      <c r="T297" s="28"/>
      <c r="U297" s="28"/>
      <c r="V297" s="28"/>
      <c r="W297" s="28"/>
      <c r="X297" s="28"/>
      <c r="Y297" s="28"/>
      <c r="Z297" s="28"/>
      <c r="AA297" s="28"/>
      <c r="AB297" s="28"/>
      <c r="AC297" s="28"/>
      <c r="AF297" s="28"/>
      <c r="AG297" s="28"/>
      <c r="AH297" s="28"/>
      <c r="AI297" s="28"/>
      <c r="AJ297" s="28"/>
      <c r="AK297" s="28"/>
      <c r="AL297" s="28"/>
      <c r="AM297" s="28"/>
      <c r="AN297" s="28"/>
      <c r="AO297" s="28"/>
      <c r="AT297" s="28"/>
      <c r="AU297" s="28"/>
      <c r="AV297" s="28"/>
      <c r="AW297" s="28"/>
    </row>
    <row r="298" spans="1:49">
      <c r="P298" s="28"/>
      <c r="Q298" s="29"/>
      <c r="R298" s="29"/>
      <c r="S298" s="28"/>
      <c r="T298" s="28"/>
      <c r="U298" s="28"/>
      <c r="V298" s="28"/>
      <c r="W298" s="28"/>
      <c r="X298" s="28"/>
      <c r="Y298" s="28"/>
      <c r="Z298" s="28"/>
      <c r="AA298" s="28"/>
      <c r="AB298" s="28"/>
      <c r="AC298" s="28"/>
      <c r="AF298" s="28"/>
      <c r="AG298" s="28"/>
      <c r="AH298" s="28"/>
      <c r="AI298" s="28"/>
      <c r="AJ298" s="28"/>
      <c r="AK298" s="28"/>
      <c r="AL298" s="28"/>
      <c r="AM298" s="28"/>
      <c r="AN298" s="28"/>
      <c r="AO298" s="28"/>
      <c r="AT298" s="28"/>
      <c r="AU298" s="28"/>
      <c r="AV298" s="28"/>
      <c r="AW298" s="28"/>
    </row>
    <row r="299" spans="1:49">
      <c r="P299" s="28"/>
      <c r="Q299" s="29"/>
      <c r="R299" s="29"/>
      <c r="S299" s="28"/>
      <c r="T299" s="28"/>
      <c r="U299" s="28"/>
      <c r="V299" s="28"/>
      <c r="W299" s="28"/>
      <c r="X299" s="28"/>
      <c r="Y299" s="28"/>
      <c r="Z299" s="28"/>
      <c r="AA299" s="28"/>
      <c r="AB299" s="28"/>
      <c r="AC299" s="28"/>
      <c r="AF299" s="28"/>
      <c r="AG299" s="28"/>
      <c r="AH299" s="28"/>
      <c r="AI299" s="28"/>
      <c r="AJ299" s="28"/>
      <c r="AK299" s="28"/>
      <c r="AL299" s="28"/>
      <c r="AM299" s="28"/>
      <c r="AN299" s="28"/>
      <c r="AO299" s="28"/>
      <c r="AT299" s="28"/>
      <c r="AU299" s="28"/>
      <c r="AV299" s="28"/>
      <c r="AW299" s="28"/>
    </row>
    <row r="300" spans="1:49">
      <c r="C300" s="28"/>
      <c r="D300" s="28"/>
      <c r="E300" s="28"/>
      <c r="F300" s="28"/>
      <c r="G300" s="28"/>
      <c r="H300" s="28"/>
      <c r="I300" s="28"/>
      <c r="J300" s="28"/>
      <c r="K300" s="28"/>
      <c r="L300" s="28"/>
      <c r="M300" s="28"/>
      <c r="N300" s="28"/>
      <c r="O300" s="28"/>
      <c r="P300" s="28"/>
      <c r="Q300" s="29"/>
      <c r="R300" s="29"/>
      <c r="S300" s="28"/>
      <c r="T300" s="28"/>
      <c r="U300" s="28"/>
      <c r="V300" s="28"/>
      <c r="W300" s="28"/>
      <c r="X300" s="28"/>
      <c r="Y300" s="28"/>
      <c r="Z300" s="28"/>
      <c r="AA300" s="28"/>
      <c r="AB300" s="28"/>
      <c r="AC300" s="28"/>
      <c r="AF300" s="28"/>
      <c r="AG300" s="28"/>
      <c r="AH300" s="28"/>
      <c r="AI300" s="28"/>
      <c r="AJ300" s="28"/>
      <c r="AK300" s="28"/>
      <c r="AL300" s="28"/>
      <c r="AM300" s="28"/>
      <c r="AN300" s="28"/>
      <c r="AO300" s="28"/>
      <c r="AT300" s="28"/>
      <c r="AU300" s="28"/>
      <c r="AV300" s="28"/>
      <c r="AW300" s="28"/>
    </row>
    <row r="301" spans="1:49">
      <c r="C301" s="28"/>
      <c r="D301" s="28"/>
      <c r="E301" s="28"/>
      <c r="F301" s="28"/>
      <c r="G301" s="28"/>
      <c r="H301" s="28"/>
      <c r="I301" s="28"/>
      <c r="J301" s="28"/>
      <c r="K301" s="28"/>
      <c r="L301" s="28"/>
      <c r="M301" s="28"/>
      <c r="N301" s="28"/>
      <c r="O301" s="28"/>
      <c r="P301" s="28"/>
      <c r="Q301" s="29"/>
      <c r="R301" s="29"/>
      <c r="S301" s="28"/>
      <c r="T301" s="28"/>
      <c r="U301" s="28"/>
      <c r="V301" s="28"/>
      <c r="W301" s="28"/>
      <c r="X301" s="28"/>
      <c r="Y301" s="28"/>
      <c r="Z301" s="28"/>
      <c r="AA301" s="28"/>
      <c r="AB301" s="28"/>
      <c r="AC301" s="28"/>
      <c r="AG301" s="28"/>
      <c r="AH301" s="28"/>
      <c r="AI301" s="28"/>
      <c r="AJ301" s="28"/>
      <c r="AK301" s="28"/>
      <c r="AL301" s="28"/>
      <c r="AM301" s="28"/>
      <c r="AN301" s="28"/>
      <c r="AO301" s="28"/>
      <c r="AT301" s="28"/>
      <c r="AU301" s="28"/>
      <c r="AV301" s="28"/>
      <c r="AW301" s="28"/>
    </row>
    <row r="302" spans="1:49">
      <c r="C302" s="28"/>
      <c r="D302" s="28"/>
      <c r="E302" s="28"/>
      <c r="F302" s="28"/>
      <c r="G302" s="28"/>
      <c r="H302" s="28"/>
      <c r="I302" s="28"/>
      <c r="J302" s="28"/>
      <c r="K302" s="28"/>
      <c r="L302" s="28"/>
      <c r="M302" s="28"/>
      <c r="N302" s="28"/>
      <c r="O302" s="28"/>
    </row>
    <row r="303" spans="1:49">
      <c r="C303" s="28"/>
      <c r="D303" s="28"/>
      <c r="E303" s="28"/>
      <c r="F303" s="28"/>
      <c r="G303" s="28"/>
      <c r="H303" s="28"/>
      <c r="I303" s="28"/>
      <c r="J303" s="28"/>
      <c r="K303" s="28"/>
      <c r="L303" s="28"/>
      <c r="M303" s="28"/>
      <c r="N303" s="28"/>
      <c r="O303" s="28"/>
    </row>
    <row r="304" spans="1:49">
      <c r="C304" s="28"/>
      <c r="D304" s="28"/>
      <c r="E304" s="28"/>
      <c r="F304" s="28"/>
      <c r="G304" s="28"/>
      <c r="H304" s="28"/>
      <c r="I304" s="28"/>
      <c r="J304" s="28"/>
      <c r="K304" s="28"/>
      <c r="L304" s="28"/>
      <c r="M304" s="28"/>
      <c r="N304" s="28"/>
      <c r="O304" s="28"/>
    </row>
  </sheetData>
  <mergeCells count="115">
    <mergeCell ref="C276:D276"/>
    <mergeCell ref="AD63:AO63"/>
    <mergeCell ref="AD110:AO110"/>
    <mergeCell ref="D105:O105"/>
    <mergeCell ref="D109:O109"/>
    <mergeCell ref="D119:O119"/>
    <mergeCell ref="D124:O124"/>
    <mergeCell ref="D128:O128"/>
    <mergeCell ref="D138:O138"/>
    <mergeCell ref="D143:O143"/>
    <mergeCell ref="AD101:AO101"/>
    <mergeCell ref="AD105:AO105"/>
    <mergeCell ref="AD109:AO109"/>
    <mergeCell ref="D147:O147"/>
    <mergeCell ref="D157:O157"/>
    <mergeCell ref="D162:O162"/>
    <mergeCell ref="D166:O166"/>
    <mergeCell ref="Q105:AB105"/>
    <mergeCell ref="Q109:AB109"/>
    <mergeCell ref="Q119:AB119"/>
    <mergeCell ref="Q124:AB124"/>
    <mergeCell ref="Q128:AB128"/>
    <mergeCell ref="Q138:AB138"/>
    <mergeCell ref="Q143:AB143"/>
    <mergeCell ref="AD31:AF31"/>
    <mergeCell ref="AD42:AF42"/>
    <mergeCell ref="AD53:AO53"/>
    <mergeCell ref="D67:O67"/>
    <mergeCell ref="D81:O81"/>
    <mergeCell ref="D86:O86"/>
    <mergeCell ref="D90:O90"/>
    <mergeCell ref="D100:O100"/>
    <mergeCell ref="AD100:AO100"/>
    <mergeCell ref="Q62:AB62"/>
    <mergeCell ref="Q67:AB67"/>
    <mergeCell ref="Q71:AB71"/>
    <mergeCell ref="Q81:AB81"/>
    <mergeCell ref="Q86:AB86"/>
    <mergeCell ref="Q90:AB90"/>
    <mergeCell ref="Q100:AB100"/>
    <mergeCell ref="AQ43:BB43"/>
    <mergeCell ref="AQ52:BB52"/>
    <mergeCell ref="AQ44:BB44"/>
    <mergeCell ref="AQ48:BB48"/>
    <mergeCell ref="AQ53:BB53"/>
    <mergeCell ref="D43:O43"/>
    <mergeCell ref="D52:O52"/>
    <mergeCell ref="Q43:AB43"/>
    <mergeCell ref="D48:O48"/>
    <mergeCell ref="Q48:AB48"/>
    <mergeCell ref="Q52:AB52"/>
    <mergeCell ref="AD43:AO43"/>
    <mergeCell ref="AD44:AO44"/>
    <mergeCell ref="AD48:AO48"/>
    <mergeCell ref="AD52:AO52"/>
    <mergeCell ref="Q147:AB147"/>
    <mergeCell ref="Q157:AB157"/>
    <mergeCell ref="Q162:AB162"/>
    <mergeCell ref="Q166:AB166"/>
    <mergeCell ref="D62:O62"/>
    <mergeCell ref="D71:O71"/>
    <mergeCell ref="AD62:AO62"/>
    <mergeCell ref="AD67:AO67"/>
    <mergeCell ref="AD71:AO71"/>
    <mergeCell ref="AD72:AO72"/>
    <mergeCell ref="AD81:AO81"/>
    <mergeCell ref="AD82:AO82"/>
    <mergeCell ref="AD86:AO86"/>
    <mergeCell ref="AD90:AO90"/>
    <mergeCell ref="AD91:AO91"/>
    <mergeCell ref="AD119:AO119"/>
    <mergeCell ref="AD120:AO120"/>
    <mergeCell ref="AD124:AO124"/>
    <mergeCell ref="AD128:AO128"/>
    <mergeCell ref="AD129:AO129"/>
    <mergeCell ref="AD138:AO138"/>
    <mergeCell ref="AD139:AO139"/>
    <mergeCell ref="AD143:AO143"/>
    <mergeCell ref="AD147:AO147"/>
    <mergeCell ref="AD148:AO148"/>
    <mergeCell ref="AD157:AO157"/>
    <mergeCell ref="AD158:AO158"/>
    <mergeCell ref="AD162:AO162"/>
    <mergeCell ref="AD166:AO166"/>
    <mergeCell ref="AD167:AO167"/>
    <mergeCell ref="AQ62:BB62"/>
    <mergeCell ref="AQ63:BB63"/>
    <mergeCell ref="AQ67:BB67"/>
    <mergeCell ref="AQ71:BB71"/>
    <mergeCell ref="AQ72:BB72"/>
    <mergeCell ref="AQ81:BB81"/>
    <mergeCell ref="AQ82:BB82"/>
    <mergeCell ref="AQ86:BB86"/>
    <mergeCell ref="AQ90:BB90"/>
    <mergeCell ref="AQ91:BB91"/>
    <mergeCell ref="AQ100:BB100"/>
    <mergeCell ref="AQ101:BB101"/>
    <mergeCell ref="AQ105:BB105"/>
    <mergeCell ref="AQ109:BB109"/>
    <mergeCell ref="AQ110:BB110"/>
    <mergeCell ref="AQ119:BB119"/>
    <mergeCell ref="AQ120:BB120"/>
    <mergeCell ref="AQ124:BB124"/>
    <mergeCell ref="AQ162:BB162"/>
    <mergeCell ref="AQ166:BB166"/>
    <mergeCell ref="AQ167:BB167"/>
    <mergeCell ref="AQ128:BB128"/>
    <mergeCell ref="AQ129:BB129"/>
    <mergeCell ref="AQ138:BB138"/>
    <mergeCell ref="AQ139:BB139"/>
    <mergeCell ref="AQ143:BB143"/>
    <mergeCell ref="AQ147:BB147"/>
    <mergeCell ref="AQ148:BB148"/>
    <mergeCell ref="AQ157:BB157"/>
    <mergeCell ref="AQ158:BB158"/>
  </mergeCells>
  <phoneticPr fontId="8" type="noConversion"/>
  <conditionalFormatting sqref="I38:O38">
    <cfRule type="expression" dxfId="17" priority="2" stopIfTrue="1">
      <formula>RiskIsOutput</formula>
    </cfRule>
  </conditionalFormatting>
  <pageMargins left="0.75" right="0.75" top="1" bottom="1" header="0.5" footer="0.5"/>
  <pageSetup orientation="portrait" r:id="rId1"/>
  <headerFooter alignWithMargins="0"/>
  <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15">
    <tabColor indexed="11"/>
  </sheetPr>
  <dimension ref="A1:AI18"/>
  <sheetViews>
    <sheetView workbookViewId="0">
      <selection activeCell="N6" sqref="N6"/>
    </sheetView>
  </sheetViews>
  <sheetFormatPr defaultColWidth="8.5703125" defaultRowHeight="12.75"/>
  <cols>
    <col min="1" max="1" width="26" style="42" customWidth="1"/>
    <col min="2" max="2" width="12.7109375" style="42" customWidth="1"/>
    <col min="3" max="3" width="8.42578125" style="42" customWidth="1"/>
    <col min="4" max="28" width="5.5703125" style="42" customWidth="1"/>
    <col min="29" max="29" width="6.28515625" style="42" bestFit="1" customWidth="1"/>
    <col min="30" max="32" width="5.5703125" style="42" customWidth="1"/>
    <col min="33" max="33" width="5.85546875" style="42" customWidth="1"/>
    <col min="34" max="34" width="6.42578125" style="42" customWidth="1"/>
    <col min="35" max="35" width="6.85546875" style="42" customWidth="1"/>
    <col min="36" max="16384" width="8.5703125" style="42"/>
  </cols>
  <sheetData>
    <row r="1" spans="1:35" ht="15">
      <c r="A1" s="71" t="s">
        <v>24</v>
      </c>
    </row>
    <row r="3" spans="1:35" s="41" customFormat="1" ht="11.25">
      <c r="A3" s="41" t="s">
        <v>188</v>
      </c>
      <c r="B3" s="41" t="s">
        <v>189</v>
      </c>
      <c r="C3" s="41">
        <v>1990</v>
      </c>
      <c r="D3" s="41">
        <v>1991</v>
      </c>
      <c r="E3" s="41">
        <v>1992</v>
      </c>
      <c r="F3" s="41">
        <v>1993</v>
      </c>
      <c r="G3" s="41">
        <v>1994</v>
      </c>
      <c r="H3" s="41">
        <v>1995</v>
      </c>
      <c r="I3" s="41">
        <v>1996</v>
      </c>
      <c r="J3" s="41">
        <v>1997</v>
      </c>
      <c r="K3" s="41">
        <v>1998</v>
      </c>
      <c r="L3" s="41">
        <v>1999</v>
      </c>
      <c r="M3" s="41">
        <v>2000</v>
      </c>
      <c r="N3" s="41">
        <v>2001</v>
      </c>
      <c r="O3" s="41">
        <v>2002</v>
      </c>
      <c r="P3" s="41">
        <v>2003</v>
      </c>
      <c r="Q3" s="41">
        <v>2004</v>
      </c>
      <c r="R3" s="41">
        <v>2005</v>
      </c>
      <c r="S3" s="41">
        <v>2006</v>
      </c>
      <c r="T3" s="41">
        <v>2007</v>
      </c>
      <c r="U3" s="41">
        <v>2008</v>
      </c>
      <c r="V3" s="41">
        <v>2009</v>
      </c>
      <c r="W3" s="41">
        <v>2010</v>
      </c>
      <c r="X3" s="41">
        <v>2011</v>
      </c>
      <c r="Y3" s="41">
        <v>2012</v>
      </c>
      <c r="Z3" s="41">
        <v>2013</v>
      </c>
      <c r="AA3" s="41">
        <v>2014</v>
      </c>
      <c r="AB3" s="41">
        <v>2015</v>
      </c>
      <c r="AC3" s="41">
        <v>2016</v>
      </c>
      <c r="AD3" s="41">
        <v>2017</v>
      </c>
      <c r="AE3" s="41">
        <v>2018</v>
      </c>
      <c r="AF3" s="41">
        <v>2019</v>
      </c>
      <c r="AG3" s="41">
        <v>2020</v>
      </c>
      <c r="AH3" s="41">
        <v>2021</v>
      </c>
      <c r="AI3" s="41">
        <v>2022</v>
      </c>
    </row>
    <row r="4" spans="1:35" s="40" customFormat="1" ht="11.25">
      <c r="A4" s="98" t="s">
        <v>190</v>
      </c>
      <c r="B4" s="98" t="s">
        <v>191</v>
      </c>
      <c r="C4" s="245">
        <v>215</v>
      </c>
      <c r="D4" s="245">
        <v>222</v>
      </c>
      <c r="E4" s="245">
        <v>212</v>
      </c>
      <c r="F4" s="245">
        <v>225</v>
      </c>
      <c r="G4" s="245">
        <v>232.5</v>
      </c>
      <c r="H4" s="245">
        <v>235</v>
      </c>
      <c r="I4" s="245">
        <v>158</v>
      </c>
      <c r="J4" s="245">
        <v>0</v>
      </c>
      <c r="K4" s="245">
        <v>0</v>
      </c>
      <c r="L4" s="245">
        <v>0</v>
      </c>
      <c r="M4" s="245">
        <v>0</v>
      </c>
      <c r="N4" s="245">
        <v>0</v>
      </c>
      <c r="O4" s="245">
        <v>0</v>
      </c>
      <c r="P4" s="245">
        <v>0</v>
      </c>
      <c r="Q4" s="245">
        <v>0</v>
      </c>
      <c r="R4" s="245">
        <v>0</v>
      </c>
      <c r="S4" s="245">
        <v>0</v>
      </c>
      <c r="T4" s="245">
        <v>0</v>
      </c>
      <c r="U4" s="245">
        <v>0</v>
      </c>
      <c r="V4" s="245">
        <v>0</v>
      </c>
      <c r="W4" s="245">
        <v>0</v>
      </c>
      <c r="X4" s="245">
        <v>0</v>
      </c>
      <c r="Y4" s="245">
        <v>0</v>
      </c>
      <c r="Z4" s="245">
        <v>0</v>
      </c>
      <c r="AA4" s="245">
        <v>0</v>
      </c>
      <c r="AB4" s="245">
        <v>0</v>
      </c>
      <c r="AC4" s="245">
        <v>0</v>
      </c>
      <c r="AD4" s="245">
        <v>0</v>
      </c>
      <c r="AE4" s="245">
        <v>0</v>
      </c>
      <c r="AF4" s="245">
        <v>0</v>
      </c>
      <c r="AG4" s="245">
        <v>0</v>
      </c>
      <c r="AH4" s="245">
        <v>0</v>
      </c>
      <c r="AI4" s="245">
        <v>0</v>
      </c>
    </row>
    <row r="5" spans="1:35" s="40" customFormat="1" ht="11.25">
      <c r="A5" s="98" t="s">
        <v>190</v>
      </c>
      <c r="B5" s="98" t="s">
        <v>192</v>
      </c>
      <c r="C5" s="246">
        <f>C4*Conversions_Constants!Short_Metric</f>
        <v>195.0437</v>
      </c>
      <c r="D5" s="246">
        <f>D4*Conversions_Constants!Short_Metric</f>
        <v>201.39395999999999</v>
      </c>
      <c r="E5" s="246">
        <f>E4*Conversions_Constants!Short_Metric</f>
        <v>192.32216</v>
      </c>
      <c r="F5" s="246">
        <f>F4*Conversions_Constants!Short_Metric</f>
        <v>204.1155</v>
      </c>
      <c r="G5" s="246">
        <f>G4*Conversions_Constants!Short_Metric</f>
        <v>210.91935000000001</v>
      </c>
      <c r="H5" s="246">
        <f>H4*Conversions_Constants!Short_Metric</f>
        <v>213.18729999999999</v>
      </c>
      <c r="I5" s="246">
        <f>I4*Conversions_Constants!Short_Metric</f>
        <v>143.33444</v>
      </c>
      <c r="J5" s="246">
        <f>J4*Conversions_Constants!Short_Metric</f>
        <v>0</v>
      </c>
      <c r="K5" s="246">
        <f>K4*Conversions_Constants!Short_Metric</f>
        <v>0</v>
      </c>
      <c r="L5" s="246">
        <f>L4*Conversions_Constants!Short_Metric</f>
        <v>0</v>
      </c>
      <c r="M5" s="246">
        <f>M4*Conversions_Constants!Short_Metric</f>
        <v>0</v>
      </c>
      <c r="N5" s="246">
        <f>N4*Conversions_Constants!Short_Metric</f>
        <v>0</v>
      </c>
      <c r="O5" s="246">
        <f>O4*Conversions_Constants!Short_Metric</f>
        <v>0</v>
      </c>
      <c r="P5" s="246">
        <f>P4*Conversions_Constants!Short_Metric</f>
        <v>0</v>
      </c>
      <c r="Q5" s="246">
        <f>Q4*Conversions_Constants!Short_Metric</f>
        <v>0</v>
      </c>
      <c r="R5" s="246">
        <f>R4*Conversions_Constants!Short_Metric</f>
        <v>0</v>
      </c>
      <c r="S5" s="246">
        <f>S4*Conversions_Constants!Short_Metric</f>
        <v>0</v>
      </c>
      <c r="T5" s="246">
        <f>T4*Conversions_Constants!Short_Metric</f>
        <v>0</v>
      </c>
      <c r="U5" s="246">
        <f>U4*Conversions_Constants!Short_Metric</f>
        <v>0</v>
      </c>
      <c r="V5" s="246">
        <f>V4*Conversions_Constants!Short_Metric</f>
        <v>0</v>
      </c>
      <c r="W5" s="246">
        <f>W4*Conversions_Constants!Short_Metric</f>
        <v>0</v>
      </c>
      <c r="X5" s="246">
        <f>X4*Conversions_Constants!Short_Metric</f>
        <v>0</v>
      </c>
      <c r="Y5" s="246">
        <f>Y4*Conversions_Constants!Short_Metric</f>
        <v>0</v>
      </c>
      <c r="Z5" s="246">
        <f>Z4*Conversions_Constants!Short_Metric</f>
        <v>0</v>
      </c>
      <c r="AA5" s="246">
        <f>AA4*Conversions_Constants!Short_Metric</f>
        <v>0</v>
      </c>
      <c r="AB5" s="246">
        <f>AB4*Conversions_Constants!Short_Metric</f>
        <v>0</v>
      </c>
      <c r="AC5" s="246">
        <f>AC4*Conversions_Constants!Short_Metric</f>
        <v>0</v>
      </c>
      <c r="AD5" s="246">
        <f>AD4*Conversions_Constants!Short_Metric</f>
        <v>0</v>
      </c>
      <c r="AE5" s="246">
        <f>AE4*Conversions_Constants!Short_Metric</f>
        <v>0</v>
      </c>
      <c r="AF5" s="246">
        <f>AF4*Conversions_Constants!Short_Metric</f>
        <v>0</v>
      </c>
      <c r="AG5" s="246">
        <f>AG4*Conversions_Constants!Short_Metric</f>
        <v>0</v>
      </c>
      <c r="AH5" s="246">
        <f>AH4*Conversions_Constants!Short_Metric</f>
        <v>0</v>
      </c>
      <c r="AI5" s="246">
        <f>AI4*Conversions_Constants!Short_Metric</f>
        <v>0</v>
      </c>
    </row>
    <row r="6" spans="1:35" s="40" customFormat="1" ht="11.25">
      <c r="A6" s="98" t="s">
        <v>193</v>
      </c>
      <c r="B6" s="98" t="s">
        <v>191</v>
      </c>
      <c r="C6" s="245">
        <v>541</v>
      </c>
      <c r="D6" s="245">
        <v>553</v>
      </c>
      <c r="E6" s="245">
        <v>570</v>
      </c>
      <c r="F6" s="245">
        <v>493</v>
      </c>
      <c r="G6" s="245">
        <v>440</v>
      </c>
      <c r="H6" s="245">
        <v>397</v>
      </c>
      <c r="I6" s="245">
        <v>346</v>
      </c>
      <c r="J6" s="245">
        <v>276</v>
      </c>
      <c r="K6" s="245">
        <v>283</v>
      </c>
      <c r="L6" s="245">
        <v>278</v>
      </c>
      <c r="M6" s="245">
        <v>319</v>
      </c>
      <c r="N6" s="247">
        <v>112</v>
      </c>
      <c r="O6" s="245">
        <v>0</v>
      </c>
      <c r="P6" s="245">
        <v>0</v>
      </c>
      <c r="Q6" s="245">
        <v>0</v>
      </c>
      <c r="R6" s="245">
        <v>0</v>
      </c>
      <c r="S6" s="245">
        <v>0</v>
      </c>
      <c r="T6" s="245">
        <v>0</v>
      </c>
      <c r="U6" s="245">
        <v>0</v>
      </c>
      <c r="V6" s="245">
        <v>0</v>
      </c>
      <c r="W6" s="245">
        <v>0</v>
      </c>
      <c r="X6" s="245">
        <v>0</v>
      </c>
      <c r="Y6" s="245">
        <v>0</v>
      </c>
      <c r="Z6" s="245">
        <v>0</v>
      </c>
      <c r="AA6" s="245">
        <v>0</v>
      </c>
      <c r="AB6" s="245">
        <v>0</v>
      </c>
      <c r="AC6" s="245">
        <v>0</v>
      </c>
      <c r="AD6" s="245">
        <v>0</v>
      </c>
      <c r="AE6" s="245">
        <v>0</v>
      </c>
      <c r="AF6" s="245">
        <v>0</v>
      </c>
      <c r="AG6" s="245">
        <v>0</v>
      </c>
      <c r="AH6" s="245">
        <v>0</v>
      </c>
      <c r="AI6" s="245">
        <v>0</v>
      </c>
    </row>
    <row r="7" spans="1:35" s="40" customFormat="1" ht="11.25">
      <c r="A7" s="98" t="s">
        <v>193</v>
      </c>
      <c r="B7" s="98" t="s">
        <v>192</v>
      </c>
      <c r="C7" s="246">
        <f>C6*Conversions_Constants!Short_Metric</f>
        <v>490.78438</v>
      </c>
      <c r="D7" s="246">
        <f>D6*Conversions_Constants!Short_Metric</f>
        <v>501.67054000000002</v>
      </c>
      <c r="E7" s="246">
        <f>E6*Conversions_Constants!Short_Metric</f>
        <v>517.09259999999995</v>
      </c>
      <c r="F7" s="246">
        <f>F6*Conversions_Constants!Short_Metric</f>
        <v>447.23973999999998</v>
      </c>
      <c r="G7" s="246">
        <f>G6*Conversions_Constants!Short_Metric</f>
        <v>399.1592</v>
      </c>
      <c r="H7" s="246">
        <f>H6*Conversions_Constants!Short_Metric</f>
        <v>360.15046000000001</v>
      </c>
      <c r="I7" s="246">
        <f>I6*Conversions_Constants!Short_Metric</f>
        <v>313.88427999999999</v>
      </c>
      <c r="J7" s="246">
        <f>J6*Conversions_Constants!Short_Metric</f>
        <v>250.38167999999999</v>
      </c>
      <c r="K7" s="246">
        <f>K6*Conversions_Constants!Short_Metric</f>
        <v>256.73194000000001</v>
      </c>
      <c r="L7" s="246">
        <f>L6*Conversions_Constants!Short_Metric</f>
        <v>252.19603999999998</v>
      </c>
      <c r="M7" s="246">
        <f>M6*Conversions_Constants!Short_Metric</f>
        <v>289.39042000000001</v>
      </c>
      <c r="N7" s="246">
        <f>N6*Conversions_Constants!Short_Metric</f>
        <v>101.60415999999999</v>
      </c>
      <c r="O7" s="246">
        <f>O6*Conversions_Constants!Short_Metric</f>
        <v>0</v>
      </c>
      <c r="P7" s="246">
        <f>P6*Conversions_Constants!Short_Metric</f>
        <v>0</v>
      </c>
      <c r="Q7" s="246">
        <f>Q6*Conversions_Constants!Short_Metric</f>
        <v>0</v>
      </c>
      <c r="R7" s="246">
        <f>R6*Conversions_Constants!Short_Metric</f>
        <v>0</v>
      </c>
      <c r="S7" s="246">
        <f>S6*Conversions_Constants!Short_Metric</f>
        <v>0</v>
      </c>
      <c r="T7" s="246">
        <f>T6*Conversions_Constants!Short_Metric</f>
        <v>0</v>
      </c>
      <c r="U7" s="246">
        <f>U6*Conversions_Constants!Short_Metric</f>
        <v>0</v>
      </c>
      <c r="V7" s="246">
        <f>V6*Conversions_Constants!Short_Metric</f>
        <v>0</v>
      </c>
      <c r="W7" s="246">
        <f>W6*Conversions_Constants!Short_Metric</f>
        <v>0</v>
      </c>
      <c r="X7" s="246">
        <f>X6*Conversions_Constants!Short_Metric</f>
        <v>0</v>
      </c>
      <c r="Y7" s="246">
        <f>Y6*Conversions_Constants!Short_Metric</f>
        <v>0</v>
      </c>
      <c r="Z7" s="246">
        <f>Z6*Conversions_Constants!Short_Metric</f>
        <v>0</v>
      </c>
      <c r="AA7" s="246">
        <f>AA6*Conversions_Constants!Short_Metric</f>
        <v>0</v>
      </c>
      <c r="AB7" s="246">
        <f>AB6*Conversions_Constants!Short_Metric</f>
        <v>0</v>
      </c>
      <c r="AC7" s="246">
        <f>AC6*Conversions_Constants!Short_Metric</f>
        <v>0</v>
      </c>
      <c r="AD7" s="246">
        <f>AD6*Conversions_Constants!Short_Metric</f>
        <v>0</v>
      </c>
      <c r="AE7" s="246">
        <f>AE6*Conversions_Constants!Short_Metric</f>
        <v>0</v>
      </c>
      <c r="AF7" s="246">
        <f>AF6*Conversions_Constants!Short_Metric</f>
        <v>0</v>
      </c>
      <c r="AG7" s="246">
        <f>AG6*Conversions_Constants!Short_Metric</f>
        <v>0</v>
      </c>
      <c r="AH7" s="246">
        <f>AH6*Conversions_Constants!Short_Metric</f>
        <v>0</v>
      </c>
      <c r="AI7" s="246">
        <f>AI6*Conversions_Constants!Short_Metric</f>
        <v>0</v>
      </c>
    </row>
    <row r="8" spans="1:35" s="40" customFormat="1" ht="11.25">
      <c r="A8" s="99" t="s">
        <v>194</v>
      </c>
    </row>
    <row r="10" spans="1:35" s="40" customFormat="1">
      <c r="A10" s="41" t="s">
        <v>195</v>
      </c>
      <c r="B10" s="41" t="s">
        <v>196</v>
      </c>
      <c r="E10" s="67"/>
      <c r="F10" s="67"/>
      <c r="G10" s="67"/>
      <c r="H10" s="67"/>
      <c r="I10" s="67"/>
      <c r="J10" s="67"/>
      <c r="K10" s="67"/>
      <c r="L10" s="67"/>
      <c r="M10" s="67"/>
      <c r="N10" s="67"/>
    </row>
    <row r="11" spans="1:35" s="40" customFormat="1" ht="11.25">
      <c r="A11" s="148" t="s">
        <v>197</v>
      </c>
      <c r="B11" s="248">
        <v>0.65</v>
      </c>
      <c r="E11" s="249"/>
      <c r="F11" s="249"/>
      <c r="G11" s="249"/>
      <c r="H11" s="249"/>
      <c r="I11" s="249"/>
      <c r="J11" s="249"/>
      <c r="K11" s="249"/>
      <c r="L11" s="249"/>
      <c r="M11" s="249"/>
      <c r="N11" s="249"/>
    </row>
    <row r="12" spans="1:35" s="40" customFormat="1" ht="22.5">
      <c r="A12" s="148" t="s">
        <v>198</v>
      </c>
      <c r="B12" s="522">
        <v>0.51</v>
      </c>
    </row>
    <row r="13" spans="1:35" s="40" customFormat="1" ht="22.5">
      <c r="A13" s="148" t="s">
        <v>199</v>
      </c>
      <c r="B13" s="523">
        <v>1.02</v>
      </c>
      <c r="E13" s="249"/>
      <c r="F13" s="249"/>
      <c r="G13" s="249"/>
      <c r="H13" s="249"/>
      <c r="I13" s="249"/>
      <c r="J13" s="249"/>
      <c r="K13" s="249"/>
      <c r="L13" s="249"/>
      <c r="M13" s="249"/>
      <c r="N13" s="249"/>
    </row>
    <row r="14" spans="1:35">
      <c r="A14" s="147" t="s">
        <v>200</v>
      </c>
    </row>
    <row r="16" spans="1:35">
      <c r="A16" s="250" t="s">
        <v>201</v>
      </c>
    </row>
    <row r="17" spans="1:1">
      <c r="A17" s="251" t="s">
        <v>41</v>
      </c>
    </row>
    <row r="18" spans="1:1">
      <c r="A18" s="252" t="s">
        <v>202</v>
      </c>
    </row>
  </sheetData>
  <phoneticPr fontId="8" type="noConversion"/>
  <conditionalFormatting sqref="B12:B13">
    <cfRule type="expression" dxfId="16" priority="13" stopIfTrue="1">
      <formula>RiskIsOutput</formula>
    </cfRule>
  </conditionalFormatting>
  <pageMargins left="0.75" right="0.75" top="1" bottom="1" header="0.5" footer="0.5"/>
  <pageSetup orientation="portrait" r:id="rId1"/>
  <headerFooter alignWithMargins="0"/>
  <drawing r:id="rId2"/>
  <legacyDrawing r:id="rId3"/>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4">
    <tabColor indexed="11"/>
  </sheetPr>
  <dimension ref="A1:AC211"/>
  <sheetViews>
    <sheetView topLeftCell="A86" workbookViewId="0">
      <selection activeCell="M97" sqref="M97"/>
    </sheetView>
  </sheetViews>
  <sheetFormatPr defaultColWidth="8.5703125" defaultRowHeight="12.75"/>
  <cols>
    <col min="1" max="1" width="29.5703125" style="42" customWidth="1"/>
    <col min="2" max="2" width="20.42578125" style="42" customWidth="1"/>
    <col min="3" max="3" width="20.28515625" style="42" customWidth="1"/>
    <col min="4" max="4" width="17.5703125" style="42" customWidth="1"/>
    <col min="5" max="5" width="16.42578125" style="42" customWidth="1"/>
    <col min="6" max="10" width="14.28515625" style="42" bestFit="1" customWidth="1"/>
    <col min="11" max="11" width="15" style="42" customWidth="1"/>
    <col min="12" max="12" width="15.28515625" style="42" customWidth="1"/>
    <col min="13" max="13" width="14.28515625" style="42" customWidth="1"/>
    <col min="14" max="29" width="11.42578125" style="42" customWidth="1"/>
    <col min="30" max="16384" width="8.5703125" style="42"/>
  </cols>
  <sheetData>
    <row r="1" spans="1:29" s="40" customFormat="1" ht="18.75">
      <c r="A1" s="607" t="s">
        <v>28</v>
      </c>
      <c r="B1" s="607"/>
      <c r="C1" s="607"/>
      <c r="D1" s="607"/>
      <c r="E1" s="607"/>
    </row>
    <row r="2" spans="1:29" s="40" customFormat="1">
      <c r="A2" s="84"/>
      <c r="B2" s="95"/>
      <c r="C2" s="95"/>
      <c r="D2" s="95"/>
      <c r="E2" s="95"/>
      <c r="F2" s="95"/>
      <c r="G2" s="95"/>
      <c r="H2" s="95"/>
      <c r="I2" s="42"/>
      <c r="J2" s="42"/>
      <c r="K2" s="42"/>
      <c r="L2" s="42"/>
      <c r="M2" s="42"/>
      <c r="N2" s="85"/>
      <c r="O2" s="84"/>
      <c r="P2" s="84"/>
      <c r="Q2" s="85"/>
      <c r="R2" s="84"/>
      <c r="S2" s="84"/>
      <c r="T2" s="85"/>
      <c r="U2" s="84"/>
      <c r="V2" s="84"/>
      <c r="W2" s="85"/>
      <c r="X2" s="84"/>
      <c r="Y2" s="84"/>
      <c r="Z2" s="85"/>
      <c r="AA2" s="84"/>
      <c r="AB2" s="84"/>
      <c r="AC2" s="85"/>
    </row>
    <row r="3" spans="1:29">
      <c r="A3" s="91"/>
      <c r="B3" s="92">
        <v>1990</v>
      </c>
      <c r="C3" s="92">
        <v>2005</v>
      </c>
      <c r="D3" s="92">
        <v>2007</v>
      </c>
      <c r="E3" s="92">
        <v>2010</v>
      </c>
      <c r="F3" s="92">
        <v>2015</v>
      </c>
      <c r="G3" s="92">
        <v>2016</v>
      </c>
      <c r="H3" s="92">
        <v>2017</v>
      </c>
      <c r="I3" s="92">
        <v>2018</v>
      </c>
      <c r="J3" s="92">
        <v>2019</v>
      </c>
      <c r="K3" s="92">
        <v>2020</v>
      </c>
      <c r="L3" s="92">
        <v>2021</v>
      </c>
      <c r="M3" s="92">
        <v>2022</v>
      </c>
    </row>
    <row r="4" spans="1:29">
      <c r="A4" s="93" t="s">
        <v>203</v>
      </c>
      <c r="B4" s="80">
        <f t="shared" ref="B4:L4" si="0">VLOOKUP(B$3,$A$32:$B$65,COLUMNS($A$32:$B$32),FALSE)</f>
        <v>8310537</v>
      </c>
      <c r="C4" s="80">
        <f t="shared" si="0"/>
        <v>10538505.869999999</v>
      </c>
      <c r="D4" s="80">
        <f t="shared" si="0"/>
        <v>10585037.091999998</v>
      </c>
      <c r="E4" s="80">
        <f t="shared" si="0"/>
        <v>10013103.76</v>
      </c>
      <c r="F4" s="80">
        <f t="shared" si="0"/>
        <v>9388576.5319999997</v>
      </c>
      <c r="G4" s="80">
        <f t="shared" si="0"/>
        <v>9284423.6359999999</v>
      </c>
      <c r="H4" s="80">
        <f t="shared" si="0"/>
        <v>9135530.9249999989</v>
      </c>
      <c r="I4" s="80">
        <f t="shared" si="0"/>
        <v>9139885.9269999992</v>
      </c>
      <c r="J4" s="80">
        <f t="shared" si="0"/>
        <v>9200693.8709999993</v>
      </c>
      <c r="K4" s="80">
        <f t="shared" si="0"/>
        <v>8535500.8359999992</v>
      </c>
      <c r="L4" s="80">
        <f t="shared" si="0"/>
        <v>8696258.8550000004</v>
      </c>
      <c r="M4" s="80">
        <f>VLOOKUP(M$3,$A$32:$B$65,COLUMNS($A$32:$B$32),FALSE)</f>
        <v>8814222</v>
      </c>
    </row>
    <row r="5" spans="1:29">
      <c r="A5" s="93" t="s">
        <v>204</v>
      </c>
      <c r="B5" s="80">
        <f t="shared" ref="B5:L5" si="1">VLOOKUP(B$3,$A$77:$I$110,COLUMNS($A$77:$I$77),FALSE)</f>
        <v>2712554665</v>
      </c>
      <c r="C5" s="80">
        <f t="shared" si="1"/>
        <v>3660968513</v>
      </c>
      <c r="D5" s="80">
        <f t="shared" si="1"/>
        <v>3764560712</v>
      </c>
      <c r="E5" s="80">
        <f t="shared" si="1"/>
        <v>3754841368</v>
      </c>
      <c r="F5" s="80">
        <f t="shared" si="1"/>
        <v>3758992390</v>
      </c>
      <c r="G5" s="80">
        <f t="shared" si="1"/>
        <v>3762461630</v>
      </c>
      <c r="H5" s="80">
        <f t="shared" si="1"/>
        <v>3723355974</v>
      </c>
      <c r="I5" s="80">
        <f t="shared" si="1"/>
        <v>3859185261</v>
      </c>
      <c r="J5" s="80">
        <f t="shared" si="1"/>
        <v>3811150463</v>
      </c>
      <c r="K5" s="80">
        <f t="shared" si="1"/>
        <v>3717674481</v>
      </c>
      <c r="L5" s="80">
        <f t="shared" si="1"/>
        <v>3805874253</v>
      </c>
      <c r="M5" s="80">
        <f>VLOOKUP(M$3,$A$77:$I$110,COLUMNS($A$77:$I$77),FALSE)</f>
        <v>3927169069</v>
      </c>
    </row>
    <row r="6" spans="1:29">
      <c r="A6" s="93" t="s">
        <v>144</v>
      </c>
      <c r="B6" s="278">
        <f t="shared" ref="B6:L6" si="2">VLOOKUP(B$3,$A$115:$B$148,COLUMNS($A$32:$B$32),FALSE)</f>
        <v>24.7</v>
      </c>
      <c r="C6" s="278">
        <f t="shared" si="2"/>
        <v>11.9</v>
      </c>
      <c r="D6" s="278">
        <f t="shared" si="2"/>
        <v>10.199999999999999</v>
      </c>
      <c r="E6" s="278">
        <f t="shared" si="2"/>
        <v>7.8</v>
      </c>
      <c r="F6" s="278">
        <f t="shared" si="2"/>
        <v>5.3</v>
      </c>
      <c r="G6" s="278">
        <f t="shared" si="2"/>
        <v>5.4</v>
      </c>
      <c r="H6" s="278">
        <f t="shared" si="2"/>
        <v>5.3</v>
      </c>
      <c r="I6" s="278">
        <f t="shared" si="2"/>
        <v>5</v>
      </c>
      <c r="J6" s="278">
        <f t="shared" si="2"/>
        <v>6.1</v>
      </c>
      <c r="K6" s="278">
        <f t="shared" si="2"/>
        <v>5.9</v>
      </c>
      <c r="L6" s="278">
        <f t="shared" si="2"/>
        <v>6</v>
      </c>
      <c r="M6" s="278">
        <f>VLOOKUP(M$3,$A$115:$B$148,COLUMNS($A$32:$B$32),FALSE)</f>
        <v>5.0999999999999996</v>
      </c>
    </row>
    <row r="7" spans="1:29">
      <c r="A7" s="94"/>
      <c r="B7" s="95"/>
      <c r="C7" s="95"/>
      <c r="D7" s="95"/>
      <c r="E7" s="95"/>
      <c r="F7" s="95"/>
      <c r="G7" s="95"/>
      <c r="H7" s="95"/>
    </row>
    <row r="8" spans="1:29">
      <c r="A8" s="43" t="s">
        <v>205</v>
      </c>
    </row>
    <row r="9" spans="1:29">
      <c r="A9" s="93" t="s">
        <v>49</v>
      </c>
      <c r="B9" s="401">
        <f>SUM(B10:B16)</f>
        <v>7969693</v>
      </c>
      <c r="C9" s="401">
        <f>SUM(C10:C16)</f>
        <v>10538507</v>
      </c>
      <c r="D9" s="401">
        <f t="shared" ref="D9:J9" si="3">SUM(D10:D16)</f>
        <v>10585038</v>
      </c>
      <c r="E9" s="401">
        <f t="shared" si="3"/>
        <v>10013105</v>
      </c>
      <c r="F9" s="401">
        <f t="shared" si="3"/>
        <v>9388577</v>
      </c>
      <c r="G9" s="401">
        <f t="shared" si="3"/>
        <v>9284423</v>
      </c>
      <c r="H9" s="401">
        <f t="shared" si="3"/>
        <v>9135529</v>
      </c>
      <c r="I9" s="401">
        <f t="shared" si="3"/>
        <v>9139885.925999999</v>
      </c>
      <c r="J9" s="401">
        <f t="shared" si="3"/>
        <v>9200693.8709999993</v>
      </c>
      <c r="K9" s="401">
        <f>SUM(K10:K16)</f>
        <v>8535500.8359999992</v>
      </c>
      <c r="L9" s="401">
        <f>SUM(L10:L16)</f>
        <v>8696258.8550000004</v>
      </c>
      <c r="M9" s="401">
        <f>SUM(M10:M16)</f>
        <v>8814221.9110000003</v>
      </c>
      <c r="N9" s="400"/>
    </row>
    <row r="10" spans="1:29">
      <c r="A10" s="96" t="s">
        <v>87</v>
      </c>
      <c r="B10" s="82">
        <v>663512</v>
      </c>
      <c r="C10" s="82">
        <v>1116487</v>
      </c>
      <c r="D10" s="104">
        <v>1162684</v>
      </c>
      <c r="E10" s="104">
        <v>1109783</v>
      </c>
      <c r="F10" s="104">
        <v>1064785</v>
      </c>
      <c r="G10" s="82">
        <v>1067398</v>
      </c>
      <c r="H10" s="82">
        <v>1046950</v>
      </c>
      <c r="I10" s="82">
        <v>1064082.1780000001</v>
      </c>
      <c r="J10" s="82">
        <f>'[3]2019'!$F$9</f>
        <v>1049541.723</v>
      </c>
      <c r="K10" s="82">
        <f>'[4]2020'!$F$9</f>
        <v>978428.09600000002</v>
      </c>
      <c r="L10" s="82">
        <f>'[5]2021'!$F$9</f>
        <v>1043782.863</v>
      </c>
      <c r="M10" s="82">
        <f>'[6]2022'!$F$9</f>
        <v>1053833.202</v>
      </c>
    </row>
    <row r="11" spans="1:29">
      <c r="A11" s="96" t="s">
        <v>88</v>
      </c>
      <c r="B11" s="82">
        <v>321259</v>
      </c>
      <c r="C11" s="82">
        <v>448611</v>
      </c>
      <c r="D11" s="104">
        <v>466896</v>
      </c>
      <c r="E11" s="104">
        <v>434534</v>
      </c>
      <c r="F11" s="104">
        <v>432078</v>
      </c>
      <c r="G11" s="82">
        <v>439088</v>
      </c>
      <c r="H11" s="82">
        <v>445098</v>
      </c>
      <c r="I11" s="82">
        <v>451114.05300000001</v>
      </c>
      <c r="J11" s="82">
        <f>'[3]2019'!$F$10</f>
        <v>460709.84100000001</v>
      </c>
      <c r="K11" s="82">
        <f>'[4]2020'!$F$10</f>
        <v>415290.69299999997</v>
      </c>
      <c r="L11" s="82">
        <f>'[5]2021'!$F$10</f>
        <v>435155.64399999997</v>
      </c>
      <c r="M11" s="82">
        <f>'[6]2022'!$F$10</f>
        <v>458054.06300000002</v>
      </c>
    </row>
    <row r="12" spans="1:29">
      <c r="A12" s="96" t="s">
        <v>206</v>
      </c>
      <c r="B12" s="82">
        <v>12028</v>
      </c>
      <c r="C12" s="82">
        <v>27942</v>
      </c>
      <c r="D12" s="104">
        <v>30736</v>
      </c>
      <c r="E12" s="104">
        <v>24967</v>
      </c>
      <c r="F12" s="104">
        <v>25817</v>
      </c>
      <c r="G12" s="82">
        <v>29997</v>
      </c>
      <c r="H12" s="82">
        <v>29947</v>
      </c>
      <c r="I12" s="82">
        <v>29263.146000000001</v>
      </c>
      <c r="J12" s="82">
        <f>'[3]2019'!$F$11</f>
        <v>32975.322</v>
      </c>
      <c r="K12" s="82">
        <f>'[4]2020'!$F$11</f>
        <v>31367.362000000001</v>
      </c>
      <c r="L12" s="82">
        <f>'[5]2021'!$F$11</f>
        <v>34698.858</v>
      </c>
      <c r="M12" s="82">
        <f>'[6]2022'!$F$11</f>
        <v>34744.652999999998</v>
      </c>
    </row>
    <row r="13" spans="1:29">
      <c r="A13" s="96" t="s">
        <v>207</v>
      </c>
      <c r="B13" s="82">
        <v>692351</v>
      </c>
      <c r="C13" s="82">
        <v>1188253</v>
      </c>
      <c r="D13" s="104">
        <v>1213611</v>
      </c>
      <c r="E13" s="104">
        <v>1135141</v>
      </c>
      <c r="F13" s="104">
        <v>1083129</v>
      </c>
      <c r="G13" s="82">
        <v>1059576</v>
      </c>
      <c r="H13" s="82">
        <v>1036638</v>
      </c>
      <c r="I13" s="82">
        <v>1040742.799</v>
      </c>
      <c r="J13" s="82">
        <f>'[3]2019'!$F$12</f>
        <v>1064751.0759999999</v>
      </c>
      <c r="K13" s="82">
        <f>'[4]2020'!$F$12</f>
        <v>898268.272</v>
      </c>
      <c r="L13" s="82">
        <f>'[5]2021'!$F$12</f>
        <v>983972.03899999999</v>
      </c>
      <c r="M13" s="82">
        <f>'[6]2022'!$F$12</f>
        <v>1025929.804</v>
      </c>
    </row>
    <row r="14" spans="1:29">
      <c r="A14" s="96" t="s">
        <v>208</v>
      </c>
      <c r="B14" s="82">
        <v>26323</v>
      </c>
      <c r="C14" s="82">
        <v>35918</v>
      </c>
      <c r="D14" s="104">
        <v>35756</v>
      </c>
      <c r="E14" s="104">
        <v>31451</v>
      </c>
      <c r="F14" s="104">
        <v>28685</v>
      </c>
      <c r="G14" s="82">
        <v>28169</v>
      </c>
      <c r="H14" s="82">
        <v>28199</v>
      </c>
      <c r="I14" s="82">
        <v>29013.624</v>
      </c>
      <c r="J14" s="82">
        <f>'[3]2019'!$F$13</f>
        <v>29611.671999999999</v>
      </c>
      <c r="K14" s="82">
        <f>'[4]2020'!$F$13</f>
        <v>29053.075000000001</v>
      </c>
      <c r="L14" s="82">
        <f>'[5]2021'!$F$13</f>
        <v>28995.261999999999</v>
      </c>
      <c r="M14" s="82">
        <f>'[6]2022'!$F$13</f>
        <v>28649.97</v>
      </c>
    </row>
    <row r="15" spans="1:29">
      <c r="A15" s="96" t="s">
        <v>92</v>
      </c>
      <c r="B15" s="81" t="s">
        <v>209</v>
      </c>
      <c r="C15" s="81" t="s">
        <v>209</v>
      </c>
      <c r="D15" s="81" t="s">
        <v>209</v>
      </c>
      <c r="E15" s="81" t="s">
        <v>209</v>
      </c>
      <c r="F15" s="81" t="s">
        <v>209</v>
      </c>
      <c r="G15" s="81" t="s">
        <v>209</v>
      </c>
      <c r="H15" s="81" t="s">
        <v>209</v>
      </c>
      <c r="I15" s="81" t="s">
        <v>209</v>
      </c>
      <c r="J15" s="81" t="s">
        <v>209</v>
      </c>
      <c r="K15" s="81" t="s">
        <v>209</v>
      </c>
      <c r="L15" s="81" t="s">
        <v>209</v>
      </c>
      <c r="M15" s="81" t="s">
        <v>209</v>
      </c>
    </row>
    <row r="16" spans="1:29">
      <c r="A16" s="96" t="s">
        <v>210</v>
      </c>
      <c r="B16" s="82">
        <v>6254220</v>
      </c>
      <c r="C16" s="82">
        <v>7721296</v>
      </c>
      <c r="D16" s="104">
        <v>7675355</v>
      </c>
      <c r="E16" s="104">
        <v>7277229</v>
      </c>
      <c r="F16" s="104">
        <v>6754083</v>
      </c>
      <c r="G16" s="82">
        <v>6660195</v>
      </c>
      <c r="H16" s="82">
        <v>6548697</v>
      </c>
      <c r="I16" s="82">
        <v>6525670.1260000002</v>
      </c>
      <c r="J16" s="82">
        <f>'[3]2019'!$F$8</f>
        <v>6563104.2369999997</v>
      </c>
      <c r="K16" s="82">
        <f>'[4]2020'!$F$8</f>
        <v>6183093.3379999995</v>
      </c>
      <c r="L16" s="82">
        <f>'[5]2021'!$F$8</f>
        <v>6169654.1890000002</v>
      </c>
      <c r="M16" s="82">
        <f>'[6]2022'!$F$8</f>
        <v>6213010.2189999996</v>
      </c>
    </row>
    <row r="17" spans="1:13" s="97" customFormat="1">
      <c r="A17" s="585" t="s">
        <v>542</v>
      </c>
      <c r="B17" s="95"/>
      <c r="C17" s="95"/>
      <c r="D17" s="95"/>
      <c r="E17" s="95"/>
      <c r="F17" s="95"/>
      <c r="G17" s="95"/>
      <c r="H17" s="95"/>
    </row>
    <row r="18" spans="1:13" s="97" customFormat="1">
      <c r="A18" s="562"/>
      <c r="B18" s="415"/>
      <c r="C18" s="415"/>
      <c r="D18" s="415"/>
      <c r="E18" s="415"/>
      <c r="F18" s="415"/>
      <c r="G18" s="415"/>
      <c r="H18" s="415"/>
    </row>
    <row r="19" spans="1:13" s="97" customFormat="1">
      <c r="A19" s="43" t="s">
        <v>211</v>
      </c>
      <c r="B19" s="42"/>
      <c r="C19" s="42"/>
      <c r="D19" s="42"/>
      <c r="E19" s="42"/>
      <c r="F19" s="42"/>
      <c r="G19" s="42"/>
      <c r="H19" s="42"/>
    </row>
    <row r="20" spans="1:13" s="97" customFormat="1">
      <c r="A20" s="42" t="s">
        <v>212</v>
      </c>
      <c r="B20" s="42"/>
      <c r="C20" s="42"/>
      <c r="D20" s="42"/>
      <c r="E20" s="42"/>
      <c r="F20" s="42"/>
      <c r="G20" s="42"/>
      <c r="H20" s="42"/>
    </row>
    <row r="21" spans="1:13" s="97" customFormat="1">
      <c r="A21" s="42"/>
      <c r="B21" s="92">
        <v>1990</v>
      </c>
      <c r="C21" s="92">
        <v>2005</v>
      </c>
      <c r="D21" s="92">
        <v>2007</v>
      </c>
      <c r="E21" s="92">
        <v>2010</v>
      </c>
      <c r="F21" s="92">
        <v>2015</v>
      </c>
      <c r="G21" s="92">
        <v>2016</v>
      </c>
      <c r="H21" s="92">
        <v>2017</v>
      </c>
      <c r="I21" s="92">
        <v>2018</v>
      </c>
      <c r="J21" s="92">
        <v>2019</v>
      </c>
      <c r="K21" s="92">
        <v>2020</v>
      </c>
      <c r="L21" s="92">
        <v>2021</v>
      </c>
      <c r="M21" s="92">
        <v>2022</v>
      </c>
    </row>
    <row r="22" spans="1:13" s="97" customFormat="1">
      <c r="A22" s="93" t="s">
        <v>49</v>
      </c>
      <c r="B22" s="570">
        <f>VLOOKUP(B$21,$A$32:$B$65,2,0)</f>
        <v>8310537</v>
      </c>
      <c r="C22" s="570">
        <f t="shared" ref="C22:M22" si="4">VLOOKUP(C$21,$A$32:$B$65,2,0)</f>
        <v>10538505.869999999</v>
      </c>
      <c r="D22" s="570">
        <f t="shared" si="4"/>
        <v>10585037.091999998</v>
      </c>
      <c r="E22" s="570">
        <f t="shared" si="4"/>
        <v>10013103.76</v>
      </c>
      <c r="F22" s="570">
        <f t="shared" si="4"/>
        <v>9388576.5319999997</v>
      </c>
      <c r="G22" s="570">
        <f t="shared" si="4"/>
        <v>9284423.6359999999</v>
      </c>
      <c r="H22" s="570">
        <f t="shared" si="4"/>
        <v>9135530.9249999989</v>
      </c>
      <c r="I22" s="570">
        <f t="shared" si="4"/>
        <v>9139885.9269999992</v>
      </c>
      <c r="J22" s="570">
        <f t="shared" si="4"/>
        <v>9200693.8709999993</v>
      </c>
      <c r="K22" s="570">
        <f t="shared" si="4"/>
        <v>8535500.8359999992</v>
      </c>
      <c r="L22" s="570">
        <f t="shared" si="4"/>
        <v>8696258.8550000004</v>
      </c>
      <c r="M22" s="570">
        <f t="shared" si="4"/>
        <v>8814222</v>
      </c>
    </row>
    <row r="23" spans="1:13" s="97" customFormat="1">
      <c r="A23" s="96" t="s">
        <v>87</v>
      </c>
      <c r="B23" s="398">
        <f>B$22*(B10/B$9)</f>
        <v>691888.76233300334</v>
      </c>
      <c r="C23" s="398">
        <f>C$22*(C10/C$9)</f>
        <v>1116486.8802837715</v>
      </c>
      <c r="D23" s="398">
        <f t="shared" ref="D23:G23" si="5">D$22*(D10/D$9)</f>
        <v>1162683.9002632704</v>
      </c>
      <c r="E23" s="398">
        <f t="shared" si="5"/>
        <v>1109782.8625670141</v>
      </c>
      <c r="F23" s="398">
        <f t="shared" si="5"/>
        <v>1064784.9469228</v>
      </c>
      <c r="G23" s="398">
        <f t="shared" si="5"/>
        <v>1067398.0731187202</v>
      </c>
      <c r="H23" s="398">
        <f t="shared" ref="H23:I23" si="6">H$22*(H10/H$9)</f>
        <v>1046950.2206088721</v>
      </c>
      <c r="I23" s="398">
        <f t="shared" si="6"/>
        <v>1064082.1781164219</v>
      </c>
      <c r="J23" s="398">
        <f t="shared" ref="J23:K23" si="7">J$22*(J10/J$9)</f>
        <v>1049541.723</v>
      </c>
      <c r="K23" s="398">
        <f t="shared" si="7"/>
        <v>978428.09600000002</v>
      </c>
      <c r="L23" s="398">
        <f t="shared" ref="L23" si="8">L$22*(L10/L$9)</f>
        <v>1043782.863</v>
      </c>
      <c r="M23" s="398">
        <f>M$22*(M10/M$9)</f>
        <v>1053833.2126408888</v>
      </c>
    </row>
    <row r="24" spans="1:13" s="97" customFormat="1">
      <c r="A24" s="96" t="s">
        <v>88</v>
      </c>
      <c r="B24" s="398">
        <f t="shared" ref="B24:G24" si="9">B$22*(B11/B$9)</f>
        <v>334998.45051534608</v>
      </c>
      <c r="C24" s="398">
        <f t="shared" ref="C24" si="10">C$22*(C11/C$9)</f>
        <v>448610.95189731993</v>
      </c>
      <c r="D24" s="398">
        <f t="shared" si="9"/>
        <v>466895.95994897996</v>
      </c>
      <c r="E24" s="398">
        <f t="shared" si="9"/>
        <v>434533.94618830422</v>
      </c>
      <c r="F24" s="398">
        <f t="shared" si="9"/>
        <v>432077.97846185806</v>
      </c>
      <c r="G24" s="398">
        <f t="shared" si="9"/>
        <v>439088.03007833316</v>
      </c>
      <c r="H24" s="398">
        <f t="shared" ref="H24:I24" si="11">H$22*(H11/H$9)</f>
        <v>445098.09378916642</v>
      </c>
      <c r="I24" s="398">
        <f t="shared" si="11"/>
        <v>451114.05304935668</v>
      </c>
      <c r="J24" s="398">
        <f t="shared" ref="J24:K24" si="12">J$22*(J11/J$9)</f>
        <v>460709.84100000001</v>
      </c>
      <c r="K24" s="398">
        <f t="shared" si="12"/>
        <v>415290.69299999997</v>
      </c>
      <c r="L24" s="398">
        <f t="shared" ref="L24:M24" si="13">L$22*(L11/L$9)</f>
        <v>435155.64399999997</v>
      </c>
      <c r="M24" s="398">
        <f t="shared" si="13"/>
        <v>458054.06762511749</v>
      </c>
    </row>
    <row r="25" spans="1:13" s="97" customFormat="1">
      <c r="A25" s="96" t="s">
        <v>89</v>
      </c>
      <c r="B25" s="398">
        <f t="shared" ref="B25:G25" si="14">B$22*(B12/B$9)</f>
        <v>12542.40772335898</v>
      </c>
      <c r="C25" s="398">
        <f t="shared" ref="C25" si="15">C$22*(C12/C$9)</f>
        <v>27941.997003896278</v>
      </c>
      <c r="D25" s="398">
        <f t="shared" si="14"/>
        <v>30735.99736342108</v>
      </c>
      <c r="E25" s="398">
        <f t="shared" si="14"/>
        <v>24966.996908143879</v>
      </c>
      <c r="F25" s="398">
        <f t="shared" si="14"/>
        <v>25816.998713079094</v>
      </c>
      <c r="G25" s="398">
        <f t="shared" si="14"/>
        <v>29997.002054849505</v>
      </c>
      <c r="H25" s="398">
        <f t="shared" ref="H25:I25" si="16">H$22*(H12/H$9)</f>
        <v>29947.006310305071</v>
      </c>
      <c r="I25" s="398">
        <f t="shared" si="16"/>
        <v>29263.146003201698</v>
      </c>
      <c r="J25" s="398">
        <f t="shared" ref="J25:K25" si="17">J$22*(J12/J$9)</f>
        <v>32975.322</v>
      </c>
      <c r="K25" s="398">
        <f t="shared" si="17"/>
        <v>31367.362000000001</v>
      </c>
      <c r="L25" s="398">
        <f t="shared" ref="L25:M25" si="18">L$22*(L12/L$9)</f>
        <v>34698.858</v>
      </c>
      <c r="M25" s="398">
        <f t="shared" si="18"/>
        <v>34744.653350827808</v>
      </c>
    </row>
    <row r="26" spans="1:13" s="97" customFormat="1">
      <c r="A26" s="96" t="s">
        <v>90</v>
      </c>
      <c r="B26" s="398">
        <f t="shared" ref="B26:G26" si="19">B$22*(B13/B$9)</f>
        <v>721961.13482501777</v>
      </c>
      <c r="C26" s="398">
        <f t="shared" ref="C26" si="20">C$22*(C13/C$9)</f>
        <v>1188252.8725886038</v>
      </c>
      <c r="D26" s="398">
        <f t="shared" si="19"/>
        <v>1213610.8958946781</v>
      </c>
      <c r="E26" s="398">
        <f t="shared" si="19"/>
        <v>1135140.8594267373</v>
      </c>
      <c r="F26" s="398">
        <f t="shared" si="19"/>
        <v>1083128.9460083917</v>
      </c>
      <c r="G26" s="398">
        <f t="shared" si="19"/>
        <v>1059576.0725828989</v>
      </c>
      <c r="H26" s="398">
        <f t="shared" ref="H26:I26" si="21">H$22*(H13/H$9)</f>
        <v>1036638.2184359711</v>
      </c>
      <c r="I26" s="398">
        <f t="shared" si="21"/>
        <v>1040742.7991138683</v>
      </c>
      <c r="J26" s="398">
        <f t="shared" ref="J26:K26" si="22">J$22*(J13/J$9)</f>
        <v>1064751.0759999999</v>
      </c>
      <c r="K26" s="398">
        <f t="shared" si="22"/>
        <v>898268.272</v>
      </c>
      <c r="L26" s="398">
        <f t="shared" ref="L26:M26" si="23">L$22*(L13/L$9)</f>
        <v>983972.03899999999</v>
      </c>
      <c r="M26" s="398">
        <f t="shared" si="23"/>
        <v>1025929.8143591393</v>
      </c>
    </row>
    <row r="27" spans="1:13" s="97" customFormat="1">
      <c r="A27" s="96" t="s">
        <v>91</v>
      </c>
      <c r="B27" s="398">
        <f t="shared" ref="B27:H27" si="24">B$22*(B14/B$9)</f>
        <v>27448.769413200735</v>
      </c>
      <c r="C27" s="398">
        <f t="shared" ref="C27" si="25">C$22*(C14/C$9)</f>
        <v>35917.99614866318</v>
      </c>
      <c r="D27" s="398">
        <f t="shared" si="24"/>
        <v>35755.99693279816</v>
      </c>
      <c r="E27" s="398">
        <f t="shared" si="24"/>
        <v>31450.996105180162</v>
      </c>
      <c r="F27" s="398">
        <f t="shared" si="24"/>
        <v>28684.998570115578</v>
      </c>
      <c r="G27" s="398">
        <f t="shared" si="24"/>
        <v>28169.00192962815</v>
      </c>
      <c r="H27" s="398">
        <f t="shared" si="24"/>
        <v>28199.005941973912</v>
      </c>
      <c r="I27" s="398">
        <f t="shared" ref="I27" si="26">I$22*(I14/I$9)</f>
        <v>29013.624003174395</v>
      </c>
      <c r="J27" s="398">
        <f t="shared" ref="J27:K27" si="27">J$22*(J14/J$9)</f>
        <v>29611.671999999999</v>
      </c>
      <c r="K27" s="398">
        <f t="shared" si="27"/>
        <v>29053.075000000001</v>
      </c>
      <c r="L27" s="398">
        <f t="shared" ref="L27:M27" si="28">L$22*(L14/L$9)</f>
        <v>28995.261999999995</v>
      </c>
      <c r="M27" s="398">
        <f t="shared" si="28"/>
        <v>28649.970289287852</v>
      </c>
    </row>
    <row r="28" spans="1:13" s="97" customFormat="1">
      <c r="A28" s="96" t="s">
        <v>92</v>
      </c>
      <c r="B28" s="399" t="s">
        <v>209</v>
      </c>
      <c r="C28" s="399" t="s">
        <v>209</v>
      </c>
      <c r="D28" s="399" t="s">
        <v>209</v>
      </c>
      <c r="E28" s="399" t="s">
        <v>209</v>
      </c>
      <c r="F28" s="399" t="s">
        <v>209</v>
      </c>
      <c r="G28" s="399" t="s">
        <v>209</v>
      </c>
      <c r="H28" s="399" t="s">
        <v>209</v>
      </c>
      <c r="I28" s="399" t="s">
        <v>209</v>
      </c>
      <c r="J28" s="399" t="s">
        <v>209</v>
      </c>
      <c r="K28" s="399" t="s">
        <v>209</v>
      </c>
      <c r="L28" s="399" t="s">
        <v>209</v>
      </c>
      <c r="M28" s="399" t="s">
        <v>209</v>
      </c>
    </row>
    <row r="29" spans="1:13" s="97" customFormat="1">
      <c r="A29" s="96" t="s">
        <v>93</v>
      </c>
      <c r="B29" s="398">
        <f t="shared" ref="B29:H29" si="29">B$22*(B16/B$9)</f>
        <v>6521697.4751900733</v>
      </c>
      <c r="C29" s="398">
        <f t="shared" ref="C29" si="30">C$22*(C16/C$9)</f>
        <v>7721295.1720777443</v>
      </c>
      <c r="D29" s="398">
        <f t="shared" si="29"/>
        <v>7675354.3415968511</v>
      </c>
      <c r="E29" s="398">
        <f t="shared" si="29"/>
        <v>7277228.098804621</v>
      </c>
      <c r="F29" s="398">
        <f t="shared" si="29"/>
        <v>6754082.6633237554</v>
      </c>
      <c r="G29" s="398">
        <f t="shared" si="29"/>
        <v>6660195.4562355699</v>
      </c>
      <c r="H29" s="398">
        <f t="shared" si="29"/>
        <v>6548698.3799137101</v>
      </c>
      <c r="I29" s="398">
        <f t="shared" ref="I29" si="31">I$22*(I16/I$9)</f>
        <v>6525670.1267139772</v>
      </c>
      <c r="J29" s="398">
        <f t="shared" ref="J29:K29" si="32">J$22*(J16/J$9)</f>
        <v>6563104.2369999997</v>
      </c>
      <c r="K29" s="398">
        <f t="shared" si="32"/>
        <v>6183093.3379999995</v>
      </c>
      <c r="L29" s="398">
        <f t="shared" ref="L29:M29" si="33">L$22*(L16/L$9)</f>
        <v>6169654.1890000002</v>
      </c>
      <c r="M29" s="398">
        <f t="shared" si="33"/>
        <v>6213010.2817347376</v>
      </c>
    </row>
    <row r="30" spans="1:13">
      <c r="B30" s="400">
        <f>SUM(B23:B29)-B22</f>
        <v>0</v>
      </c>
      <c r="C30" s="400">
        <f t="shared" ref="C30:G30" si="34">SUM(D23:D29)-D22</f>
        <v>0</v>
      </c>
      <c r="D30" s="400">
        <f t="shared" si="34"/>
        <v>0</v>
      </c>
      <c r="E30" s="400">
        <f t="shared" si="34"/>
        <v>0</v>
      </c>
      <c r="F30" s="400">
        <f t="shared" si="34"/>
        <v>0</v>
      </c>
      <c r="G30" s="400">
        <f t="shared" si="34"/>
        <v>0</v>
      </c>
      <c r="H30" s="400">
        <f t="shared" ref="H30:J30" si="35">SUM(I23:I29)-I22</f>
        <v>0</v>
      </c>
      <c r="I30" s="400">
        <f t="shared" si="35"/>
        <v>0</v>
      </c>
      <c r="J30" s="400">
        <f t="shared" si="35"/>
        <v>0</v>
      </c>
      <c r="K30" s="400">
        <f t="shared" ref="K30" si="36">SUM(L23:L29)-L22</f>
        <v>0</v>
      </c>
      <c r="L30" s="400">
        <f t="shared" ref="L30:M30" si="37">SUM(M23:M29)-M22</f>
        <v>0</v>
      </c>
      <c r="M30" s="400">
        <f t="shared" si="37"/>
        <v>0</v>
      </c>
    </row>
    <row r="31" spans="1:13" ht="15.75">
      <c r="A31" s="86" t="s">
        <v>213</v>
      </c>
      <c r="B31" s="87"/>
    </row>
    <row r="32" spans="1:13" ht="25.5">
      <c r="A32" s="88" t="s">
        <v>214</v>
      </c>
      <c r="B32" s="89" t="s">
        <v>215</v>
      </c>
    </row>
    <row r="33" spans="1:2">
      <c r="A33" s="90">
        <v>1990</v>
      </c>
      <c r="B33" s="507">
        <v>8310537</v>
      </c>
    </row>
    <row r="34" spans="1:2">
      <c r="A34" s="90">
        <v>1991</v>
      </c>
      <c r="B34" s="507">
        <v>8460186</v>
      </c>
    </row>
    <row r="35" spans="1:2">
      <c r="A35" s="90">
        <v>1992</v>
      </c>
      <c r="B35" s="507">
        <v>8666889</v>
      </c>
    </row>
    <row r="36" spans="1:2">
      <c r="A36" s="90">
        <v>1993</v>
      </c>
      <c r="B36" s="507">
        <v>8657903</v>
      </c>
    </row>
    <row r="37" spans="1:2">
      <c r="A37" s="90">
        <v>1994</v>
      </c>
      <c r="B37" s="507">
        <v>8948458</v>
      </c>
    </row>
    <row r="38" spans="1:2">
      <c r="A38" s="90">
        <v>1995</v>
      </c>
      <c r="B38" s="507">
        <v>9187430</v>
      </c>
    </row>
    <row r="39" spans="1:2">
      <c r="A39" s="90">
        <v>1996</v>
      </c>
      <c r="B39" s="507">
        <v>9378962</v>
      </c>
    </row>
    <row r="40" spans="1:2">
      <c r="A40" s="90">
        <v>1997</v>
      </c>
      <c r="B40" s="507">
        <v>9345281</v>
      </c>
    </row>
    <row r="41" spans="1:2">
      <c r="A41" s="90">
        <v>1998</v>
      </c>
      <c r="B41" s="507">
        <v>9261070</v>
      </c>
    </row>
    <row r="42" spans="1:2">
      <c r="A42" s="90">
        <v>1999</v>
      </c>
      <c r="B42" s="507">
        <v>9379808</v>
      </c>
    </row>
    <row r="43" spans="1:2">
      <c r="A43" s="90">
        <v>2000</v>
      </c>
      <c r="B43" s="507">
        <v>9690598</v>
      </c>
    </row>
    <row r="44" spans="1:2">
      <c r="A44" s="90">
        <v>2001</v>
      </c>
      <c r="B44" s="507">
        <v>9776882</v>
      </c>
    </row>
    <row r="45" spans="1:2">
      <c r="A45" s="90">
        <v>2002</v>
      </c>
      <c r="B45" s="508">
        <v>9958768</v>
      </c>
    </row>
    <row r="46" spans="1:2">
      <c r="A46" s="90">
        <v>2003</v>
      </c>
      <c r="B46" s="508">
        <v>10206405</v>
      </c>
    </row>
    <row r="47" spans="1:2">
      <c r="A47" s="90">
        <v>2004</v>
      </c>
      <c r="B47" s="508">
        <v>10508642</v>
      </c>
    </row>
    <row r="48" spans="1:2">
      <c r="A48" s="90">
        <v>2005</v>
      </c>
      <c r="B48" s="508">
        <v>10538505.869999999</v>
      </c>
    </row>
    <row r="49" spans="1:3">
      <c r="A49" s="90">
        <v>2006</v>
      </c>
      <c r="B49" s="508">
        <v>10567912.533</v>
      </c>
      <c r="C49"/>
    </row>
    <row r="50" spans="1:3">
      <c r="A50" s="90">
        <v>2007</v>
      </c>
      <c r="B50" s="508">
        <v>10585037.091999998</v>
      </c>
      <c r="C50"/>
    </row>
    <row r="51" spans="1:3">
      <c r="A51" s="90">
        <v>2008</v>
      </c>
      <c r="B51" s="508">
        <v>10390010.304</v>
      </c>
      <c r="C51"/>
    </row>
    <row r="52" spans="1:3">
      <c r="A52" s="90">
        <v>2009</v>
      </c>
      <c r="B52" s="508">
        <v>10125935.096000001</v>
      </c>
      <c r="C52"/>
    </row>
    <row r="53" spans="1:3">
      <c r="A53" s="90">
        <v>2010</v>
      </c>
      <c r="B53" s="508">
        <v>10013103.76</v>
      </c>
      <c r="C53"/>
    </row>
    <row r="54" spans="1:3">
      <c r="A54" s="90">
        <v>2011</v>
      </c>
      <c r="B54" s="508">
        <f>'[7]2022'!$F6</f>
        <v>9961653.2019999996</v>
      </c>
      <c r="C54"/>
    </row>
    <row r="55" spans="1:3">
      <c r="A55" s="90">
        <v>2012</v>
      </c>
      <c r="B55" s="508">
        <f>'[7]2022'!$F7</f>
        <v>9639157.4859999977</v>
      </c>
      <c r="C55"/>
    </row>
    <row r="56" spans="1:3">
      <c r="A56" s="90">
        <v>2013</v>
      </c>
      <c r="B56" s="508">
        <f>'[7]2022'!$F8</f>
        <v>9500990.307</v>
      </c>
      <c r="C56"/>
    </row>
    <row r="57" spans="1:3">
      <c r="A57" s="90">
        <v>2014</v>
      </c>
      <c r="B57" s="508">
        <f>'[7]2022'!$F9</f>
        <v>9406165.5189999994</v>
      </c>
      <c r="C57"/>
    </row>
    <row r="58" spans="1:3">
      <c r="A58" s="90">
        <v>2015</v>
      </c>
      <c r="B58" s="508">
        <f>'[7]2022'!$F10</f>
        <v>9388576.5319999997</v>
      </c>
      <c r="C58"/>
    </row>
    <row r="59" spans="1:3">
      <c r="A59" s="90">
        <v>2016</v>
      </c>
      <c r="B59" s="508">
        <f>'[7]2022'!$F11</f>
        <v>9284423.6359999999</v>
      </c>
      <c r="C59"/>
    </row>
    <row r="60" spans="1:3">
      <c r="A60" s="90">
        <v>2017</v>
      </c>
      <c r="B60" s="508">
        <f>'[7]2022'!$F12</f>
        <v>9135530.9249999989</v>
      </c>
      <c r="C60"/>
    </row>
    <row r="61" spans="1:3">
      <c r="A61" s="90">
        <v>2018</v>
      </c>
      <c r="B61" s="508">
        <f>'[7]2022'!$F13</f>
        <v>9139885.9269999992</v>
      </c>
      <c r="C61"/>
    </row>
    <row r="62" spans="1:3">
      <c r="A62" s="90">
        <v>2019</v>
      </c>
      <c r="B62" s="508">
        <f>'[7]2022'!$F14</f>
        <v>9200693.8709999993</v>
      </c>
      <c r="C62"/>
    </row>
    <row r="63" spans="1:3">
      <c r="A63" s="90">
        <v>2020</v>
      </c>
      <c r="B63" s="508">
        <f>'[7]2022'!$F15</f>
        <v>8535500.8359999992</v>
      </c>
      <c r="C63"/>
    </row>
    <row r="64" spans="1:3">
      <c r="A64" s="90">
        <v>2021</v>
      </c>
      <c r="B64" s="508">
        <f>'[7]2022'!$F16</f>
        <v>8696258.8550000004</v>
      </c>
      <c r="C64"/>
    </row>
    <row r="65" spans="1:9">
      <c r="A65" s="90">
        <v>2022</v>
      </c>
      <c r="B65" s="508">
        <f>'[7]2022'!$F17</f>
        <v>8814222</v>
      </c>
      <c r="C65"/>
    </row>
    <row r="66" spans="1:9">
      <c r="A66" s="504" t="s">
        <v>216</v>
      </c>
      <c r="B66" s="505"/>
    </row>
    <row r="67" spans="1:9">
      <c r="A67" s="143" t="s">
        <v>217</v>
      </c>
      <c r="B67" s="506"/>
    </row>
    <row r="68" spans="1:9">
      <c r="A68" s="143" t="s">
        <v>218</v>
      </c>
    </row>
    <row r="69" spans="1:9">
      <c r="A69" s="143" t="s">
        <v>219</v>
      </c>
    </row>
    <row r="70" spans="1:9">
      <c r="A70" s="143" t="s">
        <v>220</v>
      </c>
    </row>
    <row r="71" spans="1:9">
      <c r="A71" s="143" t="s">
        <v>221</v>
      </c>
    </row>
    <row r="72" spans="1:9">
      <c r="A72" s="143" t="s">
        <v>222</v>
      </c>
    </row>
    <row r="73" spans="1:9">
      <c r="A73" s="143" t="s">
        <v>223</v>
      </c>
    </row>
    <row r="74" spans="1:9">
      <c r="A74" s="39" t="s">
        <v>224</v>
      </c>
    </row>
    <row r="76" spans="1:9">
      <c r="A76" s="75" t="s">
        <v>225</v>
      </c>
      <c r="B76" s="76"/>
      <c r="C76" s="76"/>
    </row>
    <row r="77" spans="1:9" ht="25.5">
      <c r="A77" s="77" t="s">
        <v>226</v>
      </c>
      <c r="B77" s="77" t="s">
        <v>227</v>
      </c>
      <c r="C77" s="77" t="s">
        <v>228</v>
      </c>
      <c r="D77" s="78" t="s">
        <v>229</v>
      </c>
      <c r="E77" s="78" t="s">
        <v>230</v>
      </c>
      <c r="F77" s="78" t="s">
        <v>231</v>
      </c>
      <c r="G77" s="78" t="s">
        <v>232</v>
      </c>
      <c r="H77" s="78" t="s">
        <v>233</v>
      </c>
      <c r="I77" s="78" t="s">
        <v>49</v>
      </c>
    </row>
    <row r="78" spans="1:9">
      <c r="A78" s="79">
        <v>1990</v>
      </c>
      <c r="B78" s="79" t="s">
        <v>234</v>
      </c>
      <c r="C78" s="79" t="s">
        <v>235</v>
      </c>
      <c r="D78" s="144">
        <v>924018699</v>
      </c>
      <c r="E78" s="144">
        <v>751026562</v>
      </c>
      <c r="F78" s="144">
        <v>945521695</v>
      </c>
      <c r="G78" s="144">
        <v>91987709</v>
      </c>
      <c r="H78" s="437" t="s">
        <v>80</v>
      </c>
      <c r="I78" s="144">
        <v>2712554665</v>
      </c>
    </row>
    <row r="79" spans="1:9">
      <c r="A79" s="79">
        <v>1991</v>
      </c>
      <c r="B79" s="79" t="s">
        <v>234</v>
      </c>
      <c r="C79" s="79" t="s">
        <v>235</v>
      </c>
      <c r="D79" s="144">
        <v>955417350</v>
      </c>
      <c r="E79" s="144">
        <v>765663613</v>
      </c>
      <c r="F79" s="144">
        <v>946583391</v>
      </c>
      <c r="G79" s="144">
        <v>94338686</v>
      </c>
      <c r="H79" s="437" t="s">
        <v>80</v>
      </c>
      <c r="I79" s="144">
        <v>2762003040</v>
      </c>
    </row>
    <row r="80" spans="1:9">
      <c r="A80" s="79">
        <v>1992</v>
      </c>
      <c r="B80" s="79" t="s">
        <v>234</v>
      </c>
      <c r="C80" s="79" t="s">
        <v>235</v>
      </c>
      <c r="D80" s="144">
        <v>935938788</v>
      </c>
      <c r="E80" s="144">
        <v>761270543</v>
      </c>
      <c r="F80" s="144">
        <v>972713990</v>
      </c>
      <c r="G80" s="144">
        <v>93442150</v>
      </c>
      <c r="H80" s="437" t="s">
        <v>80</v>
      </c>
      <c r="I80" s="144">
        <v>2763365449</v>
      </c>
    </row>
    <row r="81" spans="1:9">
      <c r="A81" s="79">
        <v>1993</v>
      </c>
      <c r="B81" s="79" t="s">
        <v>234</v>
      </c>
      <c r="C81" s="79" t="s">
        <v>235</v>
      </c>
      <c r="D81" s="144">
        <v>994780818</v>
      </c>
      <c r="E81" s="144">
        <v>794573370</v>
      </c>
      <c r="F81" s="144">
        <v>977164250</v>
      </c>
      <c r="G81" s="144">
        <v>94943902</v>
      </c>
      <c r="H81" s="437" t="s">
        <v>80</v>
      </c>
      <c r="I81" s="144">
        <v>2861462340</v>
      </c>
    </row>
    <row r="82" spans="1:9">
      <c r="A82" s="79">
        <v>1994</v>
      </c>
      <c r="B82" s="79" t="s">
        <v>234</v>
      </c>
      <c r="C82" s="79" t="s">
        <v>235</v>
      </c>
      <c r="D82" s="144">
        <v>1008481682</v>
      </c>
      <c r="E82" s="144">
        <v>820269462</v>
      </c>
      <c r="F82" s="144">
        <v>1007981245</v>
      </c>
      <c r="G82" s="144">
        <v>97830475</v>
      </c>
      <c r="H82" s="437" t="s">
        <v>80</v>
      </c>
      <c r="I82" s="144">
        <v>2934562864</v>
      </c>
    </row>
    <row r="83" spans="1:9">
      <c r="A83" s="79">
        <v>1995</v>
      </c>
      <c r="B83" s="79" t="s">
        <v>234</v>
      </c>
      <c r="C83" s="79" t="s">
        <v>235</v>
      </c>
      <c r="D83" s="144">
        <v>1042501471</v>
      </c>
      <c r="E83" s="144">
        <v>862684775</v>
      </c>
      <c r="F83" s="144">
        <v>1012693350</v>
      </c>
      <c r="G83" s="144">
        <v>95406993</v>
      </c>
      <c r="H83" s="437" t="s">
        <v>80</v>
      </c>
      <c r="I83" s="144">
        <v>3013286589</v>
      </c>
    </row>
    <row r="84" spans="1:9">
      <c r="A84" s="79">
        <v>1996</v>
      </c>
      <c r="B84" s="79" t="s">
        <v>234</v>
      </c>
      <c r="C84" s="79" t="s">
        <v>235</v>
      </c>
      <c r="D84" s="144">
        <v>1082511751</v>
      </c>
      <c r="E84" s="144">
        <v>887445174</v>
      </c>
      <c r="F84" s="144">
        <v>1033631379</v>
      </c>
      <c r="G84" s="144">
        <v>97538719</v>
      </c>
      <c r="H84" s="437" t="s">
        <v>80</v>
      </c>
      <c r="I84" s="144">
        <v>3101127023</v>
      </c>
    </row>
    <row r="85" spans="1:9">
      <c r="A85" s="79">
        <v>1997</v>
      </c>
      <c r="B85" s="79" t="s">
        <v>234</v>
      </c>
      <c r="C85" s="79" t="s">
        <v>235</v>
      </c>
      <c r="D85" s="144">
        <v>1075880098</v>
      </c>
      <c r="E85" s="144">
        <v>928632774</v>
      </c>
      <c r="F85" s="144">
        <v>1038196892</v>
      </c>
      <c r="G85" s="144">
        <v>102900664</v>
      </c>
      <c r="H85" s="437" t="s">
        <v>80</v>
      </c>
      <c r="I85" s="144">
        <v>3145610428</v>
      </c>
    </row>
    <row r="86" spans="1:9">
      <c r="A86" s="79">
        <v>1998</v>
      </c>
      <c r="B86" s="79" t="s">
        <v>234</v>
      </c>
      <c r="C86" s="79" t="s">
        <v>235</v>
      </c>
      <c r="D86" s="144">
        <v>1130109120</v>
      </c>
      <c r="E86" s="144">
        <v>979400928</v>
      </c>
      <c r="F86" s="144">
        <v>1051203115</v>
      </c>
      <c r="G86" s="144">
        <v>103517589</v>
      </c>
      <c r="H86" s="437" t="s">
        <v>80</v>
      </c>
      <c r="I86" s="144">
        <v>3264230752</v>
      </c>
    </row>
    <row r="87" spans="1:9">
      <c r="A87" s="79">
        <v>1999</v>
      </c>
      <c r="B87" s="79" t="s">
        <v>234</v>
      </c>
      <c r="C87" s="79" t="s">
        <v>235</v>
      </c>
      <c r="D87" s="144">
        <v>1144923069</v>
      </c>
      <c r="E87" s="144">
        <v>1001995720</v>
      </c>
      <c r="F87" s="144">
        <v>1058216608</v>
      </c>
      <c r="G87" s="144">
        <v>106951684</v>
      </c>
      <c r="H87" s="437" t="s">
        <v>80</v>
      </c>
      <c r="I87" s="144">
        <v>3312087081</v>
      </c>
    </row>
    <row r="88" spans="1:9">
      <c r="A88" s="79">
        <v>2000</v>
      </c>
      <c r="B88" s="79" t="s">
        <v>234</v>
      </c>
      <c r="C88" s="79" t="s">
        <v>235</v>
      </c>
      <c r="D88" s="144">
        <v>1192446491</v>
      </c>
      <c r="E88" s="144">
        <v>1055232090</v>
      </c>
      <c r="F88" s="144">
        <v>1064239393</v>
      </c>
      <c r="G88" s="144">
        <v>109496292</v>
      </c>
      <c r="H88" s="437" t="s">
        <v>80</v>
      </c>
      <c r="I88" s="144">
        <v>3421414266</v>
      </c>
    </row>
    <row r="89" spans="1:9">
      <c r="A89" s="79">
        <v>2001</v>
      </c>
      <c r="B89" s="79" t="s">
        <v>234</v>
      </c>
      <c r="C89" s="79" t="s">
        <v>235</v>
      </c>
      <c r="D89" s="144">
        <v>1201606593</v>
      </c>
      <c r="E89" s="144">
        <v>1083068516</v>
      </c>
      <c r="F89" s="144">
        <v>996609310</v>
      </c>
      <c r="G89" s="144">
        <v>113173685</v>
      </c>
      <c r="H89" s="437" t="s">
        <v>80</v>
      </c>
      <c r="I89" s="144">
        <v>3394458104</v>
      </c>
    </row>
    <row r="90" spans="1:9">
      <c r="A90" s="79">
        <v>2002</v>
      </c>
      <c r="B90" s="79" t="s">
        <v>234</v>
      </c>
      <c r="C90" s="79" t="s">
        <v>235</v>
      </c>
      <c r="D90" s="144">
        <v>1265179869</v>
      </c>
      <c r="E90" s="144">
        <v>1104496607</v>
      </c>
      <c r="F90" s="144">
        <v>990237631</v>
      </c>
      <c r="G90" s="144">
        <v>105551904</v>
      </c>
      <c r="H90" s="437" t="s">
        <v>80</v>
      </c>
      <c r="I90" s="144">
        <v>3465466011</v>
      </c>
    </row>
    <row r="91" spans="1:9">
      <c r="A91" s="79">
        <v>2003</v>
      </c>
      <c r="B91" s="79" t="s">
        <v>234</v>
      </c>
      <c r="C91" s="79" t="s">
        <v>235</v>
      </c>
      <c r="D91" s="144">
        <v>1275823910</v>
      </c>
      <c r="E91" s="144">
        <v>1198727601</v>
      </c>
      <c r="F91" s="144">
        <v>1012373247</v>
      </c>
      <c r="G91" s="437" t="s">
        <v>80</v>
      </c>
      <c r="H91" s="144">
        <v>6809728</v>
      </c>
      <c r="I91" s="144">
        <v>3493734486</v>
      </c>
    </row>
    <row r="92" spans="1:9">
      <c r="A92" s="79">
        <v>2004</v>
      </c>
      <c r="B92" s="79" t="s">
        <v>234</v>
      </c>
      <c r="C92" s="79" t="s">
        <v>235</v>
      </c>
      <c r="D92" s="144">
        <v>1291981578</v>
      </c>
      <c r="E92" s="144">
        <v>1230424731</v>
      </c>
      <c r="F92" s="144">
        <v>1017849532</v>
      </c>
      <c r="G92" s="437" t="s">
        <v>80</v>
      </c>
      <c r="H92" s="144">
        <v>7223642</v>
      </c>
      <c r="I92" s="144">
        <v>3547479483</v>
      </c>
    </row>
    <row r="93" spans="1:9">
      <c r="A93" s="79">
        <v>2005</v>
      </c>
      <c r="B93" s="79" t="s">
        <v>234</v>
      </c>
      <c r="C93" s="79" t="s">
        <v>235</v>
      </c>
      <c r="D93" s="144">
        <v>1359227107</v>
      </c>
      <c r="E93" s="144">
        <v>1275079020</v>
      </c>
      <c r="F93" s="144">
        <v>1019156065</v>
      </c>
      <c r="G93" s="437" t="s">
        <v>80</v>
      </c>
      <c r="H93" s="144">
        <v>7506321</v>
      </c>
      <c r="I93" s="144">
        <v>3660968513</v>
      </c>
    </row>
    <row r="94" spans="1:9">
      <c r="A94" s="79">
        <v>2006</v>
      </c>
      <c r="B94" s="79" t="s">
        <v>234</v>
      </c>
      <c r="C94" s="79" t="s">
        <v>235</v>
      </c>
      <c r="D94" s="144">
        <v>1351520036</v>
      </c>
      <c r="E94" s="144">
        <v>1299743695</v>
      </c>
      <c r="F94" s="144">
        <v>1011297566</v>
      </c>
      <c r="G94" s="437" t="s">
        <v>80</v>
      </c>
      <c r="H94" s="144">
        <v>7357543</v>
      </c>
      <c r="I94" s="144">
        <v>3669918840</v>
      </c>
    </row>
    <row r="95" spans="1:9">
      <c r="A95" s="79">
        <v>2007</v>
      </c>
      <c r="B95" s="79" t="s">
        <v>234</v>
      </c>
      <c r="C95" s="79" t="s">
        <v>235</v>
      </c>
      <c r="D95" s="144">
        <v>1392240996</v>
      </c>
      <c r="E95" s="144">
        <v>1336315196</v>
      </c>
      <c r="F95" s="144">
        <v>1027831925</v>
      </c>
      <c r="G95" s="437" t="s">
        <v>80</v>
      </c>
      <c r="H95" s="144">
        <v>8172595</v>
      </c>
      <c r="I95" s="144">
        <v>3764560712</v>
      </c>
    </row>
    <row r="96" spans="1:9">
      <c r="A96" s="79">
        <v>2008</v>
      </c>
      <c r="B96" s="79" t="s">
        <v>234</v>
      </c>
      <c r="C96" s="79" t="s">
        <v>235</v>
      </c>
      <c r="D96" s="144">
        <v>1380661745</v>
      </c>
      <c r="E96" s="144">
        <v>1336133485</v>
      </c>
      <c r="F96" s="144">
        <v>1009516178</v>
      </c>
      <c r="G96" s="437" t="s">
        <v>80</v>
      </c>
      <c r="H96" s="144">
        <v>7653211</v>
      </c>
      <c r="I96" s="144">
        <v>3733964619</v>
      </c>
    </row>
    <row r="97" spans="1:9">
      <c r="A97" s="79">
        <v>2009</v>
      </c>
      <c r="B97" s="79" t="s">
        <v>234</v>
      </c>
      <c r="C97" s="79" t="s">
        <v>235</v>
      </c>
      <c r="D97" s="144">
        <v>1364758153</v>
      </c>
      <c r="E97" s="144">
        <v>1306852524</v>
      </c>
      <c r="F97" s="144">
        <v>917416468</v>
      </c>
      <c r="G97" s="437" t="s">
        <v>80</v>
      </c>
      <c r="H97" s="144">
        <v>7767989</v>
      </c>
      <c r="I97" s="144">
        <v>3596795134</v>
      </c>
    </row>
    <row r="98" spans="1:9">
      <c r="A98" s="79">
        <v>2010</v>
      </c>
      <c r="B98" s="79" t="s">
        <v>234</v>
      </c>
      <c r="C98" s="79" t="s">
        <v>235</v>
      </c>
      <c r="D98" s="144">
        <f>VLOOKUP($A98&amp;$B98,'[8]Total Electric Industry'!$A$5:$W$680,'[8]Total Electric Industry'!$E$1,0)</f>
        <v>1445708403</v>
      </c>
      <c r="E98" s="144">
        <f>VLOOKUP($A98&amp;$B98,'[8]Total Electric Industry'!$A$5:$W$680,'[8]Total Electric Industry'!$I$1,0)</f>
        <v>1330199364</v>
      </c>
      <c r="F98" s="144">
        <f>VLOOKUP($A98&amp;$B98,'[8]Total Electric Industry'!$A$5:$W$680,'[8]Total Electric Industry'!$M$1,0)</f>
        <v>971221189</v>
      </c>
      <c r="G98" s="437" t="s">
        <v>80</v>
      </c>
      <c r="H98" s="144">
        <f>VLOOKUP($A98&amp;$B98,'[8]Total Electric Industry'!$A$5:$W$680,'[8]Total Electric Industry'!$Q$1,0)</f>
        <v>7712412</v>
      </c>
      <c r="I98" s="144">
        <f>VLOOKUP($A98&amp;$B98,'[8]Total Electric Industry'!$A$5:$W$680,'[8]Total Electric Industry'!$U$1,0)</f>
        <v>3754841368</v>
      </c>
    </row>
    <row r="99" spans="1:9">
      <c r="A99" s="79">
        <v>2011</v>
      </c>
      <c r="B99" s="79" t="s">
        <v>234</v>
      </c>
      <c r="C99" s="79" t="s">
        <v>235</v>
      </c>
      <c r="D99" s="144">
        <f>VLOOKUP($A99&amp;$B99,'[8]Total Electric Industry'!$A$5:$W$680,'[8]Total Electric Industry'!$E$1,0)</f>
        <v>1422801093</v>
      </c>
      <c r="E99" s="144">
        <f>VLOOKUP($A99&amp;$B99,'[8]Total Electric Industry'!$A$5:$W$680,'[8]Total Electric Industry'!$I$1,0)</f>
        <v>1328057439</v>
      </c>
      <c r="F99" s="144">
        <f>VLOOKUP($A99&amp;$B99,'[8]Total Electric Industry'!$A$5:$W$680,'[8]Total Electric Industry'!$M$1,0)</f>
        <v>991315564</v>
      </c>
      <c r="G99" s="437" t="s">
        <v>80</v>
      </c>
      <c r="H99" s="144">
        <f>VLOOKUP($A99&amp;$B99,'[8]Total Electric Industry'!$A$5:$W$680,'[8]Total Electric Industry'!$Q$1,0)</f>
        <v>7672084</v>
      </c>
      <c r="I99" s="144">
        <f>VLOOKUP($A99&amp;$B99,'[8]Total Electric Industry'!$A$5:$W$680,'[8]Total Electric Industry'!$U$1,0)</f>
        <v>3749846180</v>
      </c>
    </row>
    <row r="100" spans="1:9">
      <c r="A100" s="79">
        <v>2012</v>
      </c>
      <c r="B100" s="79" t="s">
        <v>234</v>
      </c>
      <c r="C100" s="79" t="s">
        <v>235</v>
      </c>
      <c r="D100" s="144">
        <f>VLOOKUP($A100&amp;$B100,'[8]Total Electric Industry'!$A$5:$W$680,'[8]Total Electric Industry'!$E$1,0)</f>
        <v>1374514708</v>
      </c>
      <c r="E100" s="144">
        <f>VLOOKUP($A100&amp;$B100,'[8]Total Electric Industry'!$A$5:$W$680,'[8]Total Electric Industry'!$I$1,0)</f>
        <v>1327101196</v>
      </c>
      <c r="F100" s="144">
        <f>VLOOKUP($A100&amp;$B100,'[8]Total Electric Industry'!$A$5:$W$680,'[8]Total Electric Industry'!$M$1,0)</f>
        <v>985713854</v>
      </c>
      <c r="G100" s="437" t="s">
        <v>80</v>
      </c>
      <c r="H100" s="144">
        <f>VLOOKUP($A100&amp;$B100,'[8]Total Electric Industry'!$A$5:$W$680,'[8]Total Electric Industry'!$Q$1,0)</f>
        <v>7320028</v>
      </c>
      <c r="I100" s="144">
        <f>VLOOKUP($A100&amp;$B100,'[8]Total Electric Industry'!$A$5:$W$680,'[8]Total Electric Industry'!$U$1,0)</f>
        <v>3694649786</v>
      </c>
    </row>
    <row r="101" spans="1:9">
      <c r="A101" s="79">
        <v>2013</v>
      </c>
      <c r="B101" s="79" t="s">
        <v>234</v>
      </c>
      <c r="C101" s="79" t="s">
        <v>235</v>
      </c>
      <c r="D101" s="144">
        <f>VLOOKUP($A101&amp;$B101,'[8]Total Electric Industry'!$A$5:$W$680,'[8]Total Electric Industry'!$E$1,0)</f>
        <v>1394812129</v>
      </c>
      <c r="E101" s="144">
        <f>VLOOKUP($A101&amp;$B101,'[8]Total Electric Industry'!$A$5:$W$680,'[8]Total Electric Industry'!$I$1,0)</f>
        <v>1337078777</v>
      </c>
      <c r="F101" s="144">
        <f>VLOOKUP($A101&amp;$B101,'[8]Total Electric Industry'!$A$5:$W$680,'[8]Total Electric Industry'!$M$1,0)</f>
        <v>985351874</v>
      </c>
      <c r="G101" s="437" t="s">
        <v>80</v>
      </c>
      <c r="H101" s="144">
        <f>VLOOKUP($A101&amp;$B101,'[8]Total Electric Industry'!$A$5:$W$680,'[8]Total Electric Industry'!$Q$1,0)</f>
        <v>7625041</v>
      </c>
      <c r="I101" s="144">
        <f>VLOOKUP($A101&amp;$B101,'[8]Total Electric Industry'!$A$5:$W$680,'[8]Total Electric Industry'!$U$1,0)</f>
        <v>3724867821</v>
      </c>
    </row>
    <row r="102" spans="1:9">
      <c r="A102" s="79">
        <v>2014</v>
      </c>
      <c r="B102" s="79" t="s">
        <v>234</v>
      </c>
      <c r="C102" s="79" t="s">
        <v>235</v>
      </c>
      <c r="D102" s="144">
        <f>VLOOKUP($A102&amp;$B102,'[8]Total Electric Industry'!$A$5:$W$680,'[8]Total Electric Industry'!$E$1,0)</f>
        <v>1407208311</v>
      </c>
      <c r="E102" s="144">
        <f>VLOOKUP($A102&amp;$B102,'[8]Total Electric Industry'!$A$5:$W$680,'[8]Total Electric Industry'!$I$1,0)</f>
        <v>1352158263</v>
      </c>
      <c r="F102" s="144">
        <f>VLOOKUP($A102&amp;$B102,'[8]Total Electric Industry'!$A$5:$W$680,'[8]Total Electric Industry'!$M$1,0)</f>
        <v>997576138</v>
      </c>
      <c r="G102" s="437" t="s">
        <v>80</v>
      </c>
      <c r="H102" s="144">
        <f>VLOOKUP($A102&amp;$B102,'[8]Total Electric Industry'!$A$5:$W$680,'[8]Total Electric Industry'!$Q$1,0)</f>
        <v>7757555</v>
      </c>
      <c r="I102" s="144">
        <f>VLOOKUP($A102&amp;$B102,'[8]Total Electric Industry'!$A$5:$W$680,'[8]Total Electric Industry'!$U$1,0)</f>
        <v>3764700267</v>
      </c>
    </row>
    <row r="103" spans="1:9">
      <c r="A103" s="79">
        <v>2015</v>
      </c>
      <c r="B103" s="79" t="s">
        <v>234</v>
      </c>
      <c r="C103" s="79" t="s">
        <v>235</v>
      </c>
      <c r="D103" s="144">
        <f>VLOOKUP($A103&amp;$B103,'[8]Total Electric Industry'!$A$5:$W$680,'[8]Total Electric Industry'!$E$1,0)</f>
        <v>1404096499</v>
      </c>
      <c r="E103" s="144">
        <f>VLOOKUP($A103&amp;$B103,'[8]Total Electric Industry'!$A$5:$W$680,'[8]Total Electric Industry'!$I$1,0)</f>
        <v>1360751527</v>
      </c>
      <c r="F103" s="144">
        <f>VLOOKUP($A103&amp;$B103,'[8]Total Electric Industry'!$A$5:$W$680,'[8]Total Electric Industry'!$M$1,0)</f>
        <v>986507732</v>
      </c>
      <c r="G103" s="437" t="s">
        <v>80</v>
      </c>
      <c r="H103" s="144">
        <f>VLOOKUP($A103&amp;$B103,'[8]Total Electric Industry'!$A$5:$W$680,'[8]Total Electric Industry'!$Q$1,0)</f>
        <v>7636632</v>
      </c>
      <c r="I103" s="144">
        <f>VLOOKUP($A103&amp;$B103,'[8]Total Electric Industry'!$A$5:$W$680,'[8]Total Electric Industry'!$U$1,0)</f>
        <v>3758992390</v>
      </c>
    </row>
    <row r="104" spans="1:9">
      <c r="A104" s="79">
        <v>2016</v>
      </c>
      <c r="B104" s="79" t="s">
        <v>234</v>
      </c>
      <c r="C104" s="79" t="s">
        <v>235</v>
      </c>
      <c r="D104" s="144">
        <f>VLOOKUP($A104&amp;$B104,'[8]Total Electric Industry'!$A$5:$W$680,'[8]Total Electric Industry'!$E$1,0)</f>
        <v>1411058153</v>
      </c>
      <c r="E104" s="144">
        <f>VLOOKUP($A104&amp;$B104,'[8]Total Electric Industry'!$A$5:$W$680,'[8]Total Electric Industry'!$I$1,0)</f>
        <v>1367191386</v>
      </c>
      <c r="F104" s="144">
        <f>VLOOKUP($A104&amp;$B104,'[8]Total Electric Industry'!$A$5:$W$680,'[8]Total Electric Industry'!$M$1,0)</f>
        <v>976715181</v>
      </c>
      <c r="G104" s="437" t="s">
        <v>80</v>
      </c>
      <c r="H104" s="144">
        <f>VLOOKUP($A104&amp;$B104,'[8]Total Electric Industry'!$A$5:$W$680,'[8]Total Electric Industry'!$Q$1,0)</f>
        <v>7496910</v>
      </c>
      <c r="I104" s="144">
        <f>VLOOKUP($A104&amp;$B104,'[8]Total Electric Industry'!$A$5:$W$680,'[8]Total Electric Industry'!$U$1,0)</f>
        <v>3762461630</v>
      </c>
    </row>
    <row r="105" spans="1:9">
      <c r="A105" s="79">
        <v>2017</v>
      </c>
      <c r="B105" s="79" t="s">
        <v>234</v>
      </c>
      <c r="C105" s="79" t="s">
        <v>235</v>
      </c>
      <c r="D105" s="144">
        <f>VLOOKUP($A105&amp;$B105,'[8]Total Electric Industry'!$A$5:$W$680,'[8]Total Electric Industry'!$E$1,0)</f>
        <v>1378647742</v>
      </c>
      <c r="E105" s="144">
        <f>VLOOKUP($A105&amp;$B105,'[8]Total Electric Industry'!$A$5:$W$680,'[8]Total Electric Industry'!$I$1,0)</f>
        <v>1352887694</v>
      </c>
      <c r="F105" s="144">
        <f>VLOOKUP($A105&amp;$B105,'[8]Total Electric Industry'!$A$5:$W$680,'[8]Total Electric Industry'!$M$1,0)</f>
        <v>984297945</v>
      </c>
      <c r="G105" s="437" t="s">
        <v>80</v>
      </c>
      <c r="H105" s="144">
        <f>VLOOKUP($A105&amp;$B105,'[8]Total Electric Industry'!$A$5:$W$680,'[8]Total Electric Industry'!$Q$1,0)</f>
        <v>7522593</v>
      </c>
      <c r="I105" s="144">
        <f>VLOOKUP($A105&amp;$B105,'[8]Total Electric Industry'!$A$5:$W$680,'[8]Total Electric Industry'!$U$1,0)</f>
        <v>3723355974</v>
      </c>
    </row>
    <row r="106" spans="1:9">
      <c r="A106" s="79">
        <v>2018</v>
      </c>
      <c r="B106" s="79" t="s">
        <v>234</v>
      </c>
      <c r="C106" s="79" t="s">
        <v>235</v>
      </c>
      <c r="D106" s="144">
        <f>VLOOKUP($A106&amp;$B106,'[8]Total Electric Industry'!$A$5:$W$680,'[8]Total Electric Industry'!$E$1,0)</f>
        <v>1469093059</v>
      </c>
      <c r="E106" s="144">
        <f>VLOOKUP($A106&amp;$B106,'[8]Total Electric Industry'!$A$5:$W$680,'[8]Total Electric Industry'!$I$1,0)</f>
        <v>1381754845</v>
      </c>
      <c r="F106" s="144">
        <f>VLOOKUP($A106&amp;$B106,'[8]Total Electric Industry'!$A$5:$W$680,'[8]Total Electric Industry'!$M$1,0)</f>
        <v>1000672553</v>
      </c>
      <c r="G106" s="437" t="s">
        <v>80</v>
      </c>
      <c r="H106" s="144">
        <f>VLOOKUP($A106&amp;$B106,'[8]Total Electric Industry'!$A$5:$W$680,'[8]Total Electric Industry'!$Q$1,0)</f>
        <v>7664804</v>
      </c>
      <c r="I106" s="144">
        <f>VLOOKUP($A106&amp;$B106,'[8]Total Electric Industry'!$A$5:$W$680,'[8]Total Electric Industry'!$U$1,0)</f>
        <v>3859185261</v>
      </c>
    </row>
    <row r="107" spans="1:9">
      <c r="A107" s="79">
        <v>2019</v>
      </c>
      <c r="B107" s="79" t="s">
        <v>234</v>
      </c>
      <c r="C107" s="79" t="s">
        <v>235</v>
      </c>
      <c r="D107" s="144">
        <f>VLOOKUP($A107&amp;$B107,'[8]Total Electric Industry'!$A$5:$W$680,'[8]Total Electric Industry'!$E$1,0)</f>
        <v>1440288909</v>
      </c>
      <c r="E107" s="144">
        <f>VLOOKUP($A107&amp;$B107,'[8]Total Electric Industry'!$A$5:$W$680,'[8]Total Electric Industry'!$I$1,0)</f>
        <v>1360876555</v>
      </c>
      <c r="F107" s="144">
        <f>VLOOKUP($A107&amp;$B107,'[8]Total Electric Industry'!$A$5:$W$680,'[8]Total Electric Industry'!$M$1,0)</f>
        <v>1002352849</v>
      </c>
      <c r="G107" s="437" t="s">
        <v>80</v>
      </c>
      <c r="H107" s="144">
        <f>VLOOKUP($A107&amp;$B107,'[8]Total Electric Industry'!$A$5:$W$680,'[8]Total Electric Industry'!$Q$1,0)</f>
        <v>7632150</v>
      </c>
      <c r="I107" s="144">
        <f>VLOOKUP($A107&amp;$B107,'[8]Total Electric Industry'!$A$5:$W$680,'[8]Total Electric Industry'!$U$1,0)</f>
        <v>3811150463</v>
      </c>
    </row>
    <row r="108" spans="1:9">
      <c r="A108" s="503">
        <v>2020</v>
      </c>
      <c r="B108" s="79" t="s">
        <v>234</v>
      </c>
      <c r="C108" s="79" t="s">
        <v>235</v>
      </c>
      <c r="D108" s="144">
        <f>VLOOKUP($A108&amp;$B108,'[8]Total Electric Industry'!$A$5:$W$680,'[8]Total Electric Industry'!$E$1,0)</f>
        <v>1464605046</v>
      </c>
      <c r="E108" s="144">
        <f>VLOOKUP($A108&amp;$B108,'[8]Total Electric Industry'!$A$5:$W$680,'[8]Total Electric Industry'!$I$1,0)</f>
        <v>1287439583</v>
      </c>
      <c r="F108" s="144">
        <f>VLOOKUP($A108&amp;$B108,'[8]Total Electric Industry'!$A$5:$W$680,'[8]Total Electric Industry'!$M$1,0)</f>
        <v>959082028</v>
      </c>
      <c r="G108" s="437" t="s">
        <v>80</v>
      </c>
      <c r="H108" s="144">
        <f>VLOOKUP($A108&amp;$B108,'[8]Total Electric Industry'!$A$5:$W$680,'[8]Total Electric Industry'!$Q$1,0)</f>
        <v>6547824</v>
      </c>
      <c r="I108" s="144">
        <f>VLOOKUP($A108&amp;$B108,'[8]Total Electric Industry'!$A$5:$W$680,'[8]Total Electric Industry'!$U$1,0)</f>
        <v>3717674481</v>
      </c>
    </row>
    <row r="109" spans="1:9">
      <c r="A109" s="79">
        <v>2021</v>
      </c>
      <c r="B109" s="79" t="s">
        <v>234</v>
      </c>
      <c r="C109" s="79" t="s">
        <v>235</v>
      </c>
      <c r="D109" s="144">
        <f>VLOOKUP($A109&amp;$B109,'[8]Total Electric Industry'!$A$5:$W$680,'[8]Total Electric Industry'!$E$1,0)</f>
        <v>1470486882</v>
      </c>
      <c r="E109" s="144">
        <f>VLOOKUP($A109&amp;$B109,'[8]Total Electric Industry'!$A$5:$W$680,'[8]Total Electric Industry'!$I$1,0)</f>
        <v>1328439498</v>
      </c>
      <c r="F109" s="144">
        <f>VLOOKUP($A109&amp;$B109,'[8]Total Electric Industry'!$A$5:$W$680,'[8]Total Electric Industry'!$M$1,0)</f>
        <v>1000613490</v>
      </c>
      <c r="G109" s="437" t="s">
        <v>80</v>
      </c>
      <c r="H109" s="144">
        <f>VLOOKUP($A109&amp;$B109,'[8]Total Electric Industry'!$A$5:$W$680,'[8]Total Electric Industry'!$Q$1,0)</f>
        <v>6334383</v>
      </c>
      <c r="I109" s="144">
        <f>VLOOKUP($A109&amp;$B109,'[8]Total Electric Industry'!$A$5:$W$680,'[8]Total Electric Industry'!$U$1,0)</f>
        <v>3805874253</v>
      </c>
    </row>
    <row r="110" spans="1:9">
      <c r="A110" s="79">
        <v>2022</v>
      </c>
      <c r="B110" s="79" t="s">
        <v>234</v>
      </c>
      <c r="C110" s="79" t="s">
        <v>235</v>
      </c>
      <c r="D110" s="144">
        <f>VLOOKUP($A110&amp;$B110,'[8]Total Electric Industry'!$A$5:$W$680,'[8]Total Electric Industry'!$E$1,0)</f>
        <v>1509233162</v>
      </c>
      <c r="E110" s="144">
        <f>VLOOKUP($A110&amp;$B110,'[8]Total Electric Industry'!$A$5:$W$680,'[8]Total Electric Industry'!$I$1,0)</f>
        <v>1390872813</v>
      </c>
      <c r="F110" s="144">
        <f>VLOOKUP($A110&amp;$B110,'[8]Total Electric Industry'!$A$5:$W$680,'[8]Total Electric Industry'!$M$1,0)</f>
        <v>1020463986</v>
      </c>
      <c r="G110" s="437" t="s">
        <v>80</v>
      </c>
      <c r="H110" s="144">
        <f>VLOOKUP($A110&amp;$B110,'[8]Total Electric Industry'!$A$5:$W$680,'[8]Total Electric Industry'!$Q$1,0)</f>
        <v>6599108</v>
      </c>
      <c r="I110" s="144">
        <f>VLOOKUP($A110&amp;$B110,'[8]Total Electric Industry'!$A$5:$W$680,'[8]Total Electric Industry'!$U$1,0)</f>
        <v>3927169069</v>
      </c>
    </row>
    <row r="111" spans="1:9" ht="126.95" customHeight="1">
      <c r="A111" s="606" t="s">
        <v>236</v>
      </c>
      <c r="B111" s="606"/>
      <c r="C111" s="606"/>
      <c r="D111" s="606"/>
      <c r="E111" s="606"/>
      <c r="F111" s="606"/>
      <c r="G111" s="606"/>
      <c r="H111" s="606"/>
      <c r="I111" s="606"/>
    </row>
    <row r="114" spans="1:17">
      <c r="A114" s="100" t="s">
        <v>237</v>
      </c>
      <c r="B114" s="100"/>
      <c r="C114" s="100"/>
      <c r="D114" s="100"/>
      <c r="E114" s="101"/>
      <c r="F114" s="101"/>
      <c r="G114" s="101"/>
      <c r="H114" s="101"/>
      <c r="I114" s="101"/>
      <c r="J114" s="101"/>
      <c r="K114" s="101"/>
      <c r="L114" s="101"/>
      <c r="M114" s="101"/>
      <c r="N114" s="101"/>
      <c r="O114" s="101"/>
      <c r="P114" s="101"/>
      <c r="Q114" s="101"/>
    </row>
    <row r="115" spans="1:17">
      <c r="A115" s="88" t="s">
        <v>214</v>
      </c>
      <c r="B115" s="93" t="s">
        <v>238</v>
      </c>
    </row>
    <row r="116" spans="1:17">
      <c r="A116" s="90">
        <v>1990</v>
      </c>
      <c r="B116" s="509">
        <f>INDEX('[9]ETD_SF6 and CF4 from ETD_ US In'!$B$5:$AH$5,MATCH(A116,'[9]ETD_SF6 and CF4 from ETD_ US In'!$B$2:$AH$2,0))</f>
        <v>24.7</v>
      </c>
      <c r="C116" s="566"/>
    </row>
    <row r="117" spans="1:17">
      <c r="A117" s="90">
        <v>1991</v>
      </c>
      <c r="B117" s="509">
        <f>INDEX('[9]ETD_SF6 and CF4 from ETD_ US In'!$B$5:$AH$5,MATCH(A117,'[9]ETD_SF6 and CF4 from ETD_ US In'!$B$2:$AH$2,0))</f>
        <v>23.6</v>
      </c>
      <c r="C117" s="566"/>
    </row>
    <row r="118" spans="1:17">
      <c r="A118" s="90">
        <v>1992</v>
      </c>
      <c r="B118" s="509">
        <f>INDEX('[9]ETD_SF6 and CF4 from ETD_ US In'!$B$5:$AH$5,MATCH(A118,'[9]ETD_SF6 and CF4 from ETD_ US In'!$B$2:$AH$2,0))</f>
        <v>23.6</v>
      </c>
      <c r="C118" s="566"/>
    </row>
    <row r="119" spans="1:17">
      <c r="A119" s="90">
        <v>1993</v>
      </c>
      <c r="B119" s="509">
        <f>INDEX('[9]ETD_SF6 and CF4 from ETD_ US In'!$B$5:$AH$5,MATCH(A119,'[9]ETD_SF6 and CF4 from ETD_ US In'!$B$2:$AH$2,0))</f>
        <v>22.8</v>
      </c>
      <c r="C119" s="566"/>
    </row>
    <row r="120" spans="1:17">
      <c r="A120" s="90">
        <v>1994</v>
      </c>
      <c r="B120" s="509">
        <f>INDEX('[9]ETD_SF6 and CF4 from ETD_ US In'!$B$5:$AH$5,MATCH(A120,'[9]ETD_SF6 and CF4 from ETD_ US In'!$B$2:$AH$2,0))</f>
        <v>21.5</v>
      </c>
      <c r="C120" s="566"/>
    </row>
    <row r="121" spans="1:17">
      <c r="A121" s="90">
        <v>1995</v>
      </c>
      <c r="B121" s="509">
        <f>INDEX('[9]ETD_SF6 and CF4 from ETD_ US In'!$B$5:$AH$5,MATCH(A121,'[9]ETD_SF6 and CF4 from ETD_ US In'!$B$2:$AH$2,0))</f>
        <v>19.8</v>
      </c>
      <c r="C121" s="566"/>
    </row>
    <row r="122" spans="1:17">
      <c r="A122" s="90">
        <v>1996</v>
      </c>
      <c r="B122" s="509">
        <f>INDEX('[9]ETD_SF6 and CF4 from ETD_ US In'!$B$5:$AH$5,MATCH(A122,'[9]ETD_SF6 and CF4 from ETD_ US In'!$B$2:$AH$2,0))</f>
        <v>18.100000000000001</v>
      </c>
      <c r="C122" s="566"/>
    </row>
    <row r="123" spans="1:17">
      <c r="A123" s="90">
        <v>1997</v>
      </c>
      <c r="B123" s="509">
        <f>INDEX('[9]ETD_SF6 and CF4 from ETD_ US In'!$B$5:$AH$5,MATCH(A123,'[9]ETD_SF6 and CF4 from ETD_ US In'!$B$2:$AH$2,0))</f>
        <v>16.600000000000001</v>
      </c>
      <c r="C123" s="566"/>
    </row>
    <row r="124" spans="1:17">
      <c r="A124" s="90">
        <v>1998</v>
      </c>
      <c r="B124" s="509">
        <f>INDEX('[9]ETD_SF6 and CF4 from ETD_ US In'!$B$5:$AH$5,MATCH(A124,'[9]ETD_SF6 and CF4 from ETD_ US In'!$B$2:$AH$2,0))</f>
        <v>14.1</v>
      </c>
      <c r="C124" s="566"/>
    </row>
    <row r="125" spans="1:17">
      <c r="A125" s="90">
        <v>1999</v>
      </c>
      <c r="B125" s="509">
        <f>INDEX('[9]ETD_SF6 and CF4 from ETD_ US In'!$B$5:$AH$5,MATCH(A125,'[9]ETD_SF6 and CF4 from ETD_ US In'!$B$2:$AH$2,0))</f>
        <v>14.5</v>
      </c>
      <c r="C125" s="566"/>
    </row>
    <row r="126" spans="1:17">
      <c r="A126" s="90">
        <v>2000</v>
      </c>
      <c r="B126" s="509">
        <f>INDEX('[9]ETD_SF6 and CF4 from ETD_ US In'!$B$5:$AH$5,MATCH(A126,'[9]ETD_SF6 and CF4 from ETD_ US In'!$B$2:$AH$2,0))</f>
        <v>14</v>
      </c>
      <c r="C126" s="566"/>
    </row>
    <row r="127" spans="1:17">
      <c r="A127" s="90">
        <v>2001</v>
      </c>
      <c r="B127" s="509">
        <f>INDEX('[9]ETD_SF6 and CF4 from ETD_ US In'!$B$5:$AH$5,MATCH(A127,'[9]ETD_SF6 and CF4 from ETD_ US In'!$B$2:$AH$2,0))</f>
        <v>13.7</v>
      </c>
      <c r="C127" s="566"/>
    </row>
    <row r="128" spans="1:17">
      <c r="A128" s="90">
        <v>2002</v>
      </c>
      <c r="B128" s="509">
        <f>INDEX('[9]ETD_SF6 and CF4 from ETD_ US In'!$B$5:$AH$5,MATCH(A128,'[9]ETD_SF6 and CF4 from ETD_ US In'!$B$2:$AH$2,0))</f>
        <v>13</v>
      </c>
      <c r="C128" s="566"/>
    </row>
    <row r="129" spans="1:3">
      <c r="A129" s="90">
        <v>2003</v>
      </c>
      <c r="B129" s="509">
        <f>INDEX('[9]ETD_SF6 and CF4 from ETD_ US In'!$B$5:$AH$5,MATCH(A129,'[9]ETD_SF6 and CF4 from ETD_ US In'!$B$2:$AH$2,0))</f>
        <v>12.5</v>
      </c>
      <c r="C129" s="566"/>
    </row>
    <row r="130" spans="1:3">
      <c r="A130" s="90">
        <v>2004</v>
      </c>
      <c r="B130" s="509">
        <f>INDEX('[9]ETD_SF6 and CF4 from ETD_ US In'!$B$5:$AH$5,MATCH(A130,'[9]ETD_SF6 and CF4 from ETD_ US In'!$B$2:$AH$2,0))</f>
        <v>12.2</v>
      </c>
      <c r="C130" s="566"/>
    </row>
    <row r="131" spans="1:3">
      <c r="A131" s="90">
        <v>2005</v>
      </c>
      <c r="B131" s="509">
        <f>INDEX('[9]ETD_SF6 and CF4 from ETD_ US In'!$B$5:$AH$5,MATCH(A131,'[9]ETD_SF6 and CF4 from ETD_ US In'!$B$2:$AH$2,0))</f>
        <v>11.9</v>
      </c>
      <c r="C131" s="566"/>
    </row>
    <row r="132" spans="1:3">
      <c r="A132" s="90">
        <v>2006</v>
      </c>
      <c r="B132" s="509">
        <f>INDEX('[9]ETD_SF6 and CF4 from ETD_ US In'!$B$5:$AH$5,MATCH(A132,'[9]ETD_SF6 and CF4 from ETD_ US In'!$B$2:$AH$2,0))</f>
        <v>11</v>
      </c>
      <c r="C132" s="566"/>
    </row>
    <row r="133" spans="1:3">
      <c r="A133" s="90">
        <v>2007</v>
      </c>
      <c r="B133" s="509">
        <f>INDEX('[9]ETD_SF6 and CF4 from ETD_ US In'!$B$5:$AH$5,MATCH(A133,'[9]ETD_SF6 and CF4 from ETD_ US In'!$B$2:$AH$2,0))</f>
        <v>10.199999999999999</v>
      </c>
      <c r="C133" s="566"/>
    </row>
    <row r="134" spans="1:3">
      <c r="A134" s="90">
        <v>2008</v>
      </c>
      <c r="B134" s="509">
        <f>INDEX('[9]ETD_SF6 and CF4 from ETD_ US In'!$B$5:$AH$5,MATCH(A134,'[9]ETD_SF6 and CF4 from ETD_ US In'!$B$2:$AH$2,0))</f>
        <v>10.199999999999999</v>
      </c>
      <c r="C134" s="566"/>
    </row>
    <row r="135" spans="1:3">
      <c r="A135" s="90">
        <v>2009</v>
      </c>
      <c r="B135" s="509">
        <f>INDEX('[9]ETD_SF6 and CF4 from ETD_ US In'!$B$5:$AH$5,MATCH(A135,'[9]ETD_SF6 and CF4 from ETD_ US In'!$B$2:$AH$2,0))</f>
        <v>9</v>
      </c>
      <c r="C135" s="566"/>
    </row>
    <row r="136" spans="1:3">
      <c r="A136" s="90">
        <v>2010</v>
      </c>
      <c r="B136" s="509">
        <f>INDEX('[9]ETD_SF6 and CF4 from ETD_ US In'!$B$5:$AH$5,MATCH(A136,'[9]ETD_SF6 and CF4 from ETD_ US In'!$B$2:$AH$2,0))</f>
        <v>7.8</v>
      </c>
      <c r="C136" s="566"/>
    </row>
    <row r="137" spans="1:3">
      <c r="A137" s="90">
        <v>2011</v>
      </c>
      <c r="B137" s="509">
        <f>INDEX('[9]ETD_SF6 and CF4 from ETD_ US In'!$B$5:$AH$5,MATCH(A137,'[9]ETD_SF6 and CF4 from ETD_ US In'!$B$2:$AH$2,0))</f>
        <v>7.1</v>
      </c>
      <c r="C137" s="566"/>
    </row>
    <row r="138" spans="1:3">
      <c r="A138" s="90">
        <v>2012</v>
      </c>
      <c r="B138" s="509">
        <f>INDEX('[9]ETD_SF6 and CF4 from ETD_ US In'!$B$5:$AH$5,MATCH(A138,'[9]ETD_SF6 and CF4 from ETD_ US In'!$B$2:$AH$2,0))</f>
        <v>6.1</v>
      </c>
      <c r="C138" s="566"/>
    </row>
    <row r="139" spans="1:3">
      <c r="A139" s="90">
        <v>2013</v>
      </c>
      <c r="B139" s="509">
        <f>INDEX('[9]ETD_SF6 and CF4 from ETD_ US In'!$B$5:$AH$5,MATCH(A139,'[9]ETD_SF6 and CF4 from ETD_ US In'!$B$2:$AH$2,0))</f>
        <v>5.9</v>
      </c>
      <c r="C139" s="566"/>
    </row>
    <row r="140" spans="1:3">
      <c r="A140" s="90">
        <v>2014</v>
      </c>
      <c r="B140" s="509">
        <f>INDEX('[9]ETD_SF6 and CF4 from ETD_ US In'!$B$5:$AH$5,MATCH(A140,'[9]ETD_SF6 and CF4 from ETD_ US In'!$B$2:$AH$2,0))</f>
        <v>6</v>
      </c>
      <c r="C140" s="566"/>
    </row>
    <row r="141" spans="1:3">
      <c r="A141" s="90">
        <v>2015</v>
      </c>
      <c r="B141" s="509">
        <f>INDEX('[9]ETD_SF6 and CF4 from ETD_ US In'!$B$5:$AH$5,MATCH(A141,'[9]ETD_SF6 and CF4 from ETD_ US In'!$B$2:$AH$2,0))</f>
        <v>5.3</v>
      </c>
      <c r="C141" s="566"/>
    </row>
    <row r="142" spans="1:3">
      <c r="A142" s="90">
        <v>2016</v>
      </c>
      <c r="B142" s="509">
        <f>INDEX('[9]ETD_SF6 and CF4 from ETD_ US In'!$B$5:$AH$5,MATCH(A142,'[9]ETD_SF6 and CF4 from ETD_ US In'!$B$2:$AH$2,0))</f>
        <v>5.4</v>
      </c>
      <c r="C142" s="566"/>
    </row>
    <row r="143" spans="1:3">
      <c r="A143" s="90">
        <v>2017</v>
      </c>
      <c r="B143" s="509">
        <f>INDEX('[9]ETD_SF6 and CF4 from ETD_ US In'!$B$5:$AH$5,MATCH(A143,'[9]ETD_SF6 and CF4 from ETD_ US In'!$B$2:$AH$2,0))</f>
        <v>5.3</v>
      </c>
      <c r="C143" s="566"/>
    </row>
    <row r="144" spans="1:3">
      <c r="A144" s="90">
        <v>2018</v>
      </c>
      <c r="B144" s="509">
        <f>INDEX('[9]ETD_SF6 and CF4 from ETD_ US In'!$B$5:$AH$5,MATCH(A144,'[9]ETD_SF6 and CF4 from ETD_ US In'!$B$2:$AH$2,0))</f>
        <v>5</v>
      </c>
      <c r="C144" s="566"/>
    </row>
    <row r="145" spans="1:10">
      <c r="A145" s="90">
        <v>2019</v>
      </c>
      <c r="B145" s="509">
        <f>INDEX('[9]ETD_SF6 and CF4 from ETD_ US In'!$B$5:$AH$5,MATCH(A145,'[9]ETD_SF6 and CF4 from ETD_ US In'!$B$2:$AH$2,0))</f>
        <v>6.1</v>
      </c>
      <c r="C145" s="566"/>
    </row>
    <row r="146" spans="1:10">
      <c r="A146" s="90">
        <v>2020</v>
      </c>
      <c r="B146" s="509">
        <f>INDEX('[9]ETD_SF6 and CF4 from ETD_ US In'!$B$5:$AH$5,MATCH(A146,'[9]ETD_SF6 and CF4 from ETD_ US In'!$B$2:$AH$2,0))</f>
        <v>5.9</v>
      </c>
      <c r="C146" s="566"/>
    </row>
    <row r="147" spans="1:10">
      <c r="A147" s="90">
        <v>2021</v>
      </c>
      <c r="B147" s="509">
        <f>INDEX('[9]ETD_SF6 and CF4 from ETD_ US In'!$B$5:$AH$5,MATCH(A147,'[9]ETD_SF6 and CF4 from ETD_ US In'!$B$2:$AH$2,0))</f>
        <v>6</v>
      </c>
      <c r="C147" s="566"/>
    </row>
    <row r="148" spans="1:10">
      <c r="A148" s="90">
        <v>2022</v>
      </c>
      <c r="B148" s="509">
        <f>INDEX('[9]ETD_SF6 and CF4 from ETD_ US In'!$B$5:$AH$5,MATCH(A148,'[9]ETD_SF6 and CF4 from ETD_ US In'!$B$2:$AH$2,0))</f>
        <v>5.0999999999999996</v>
      </c>
      <c r="C148" s="566"/>
    </row>
    <row r="149" spans="1:10" ht="61.5" customHeight="1">
      <c r="A149" s="608" t="s">
        <v>543</v>
      </c>
      <c r="B149" s="609"/>
      <c r="C149" s="609"/>
    </row>
    <row r="151" spans="1:10" ht="14.25">
      <c r="A151" s="43" t="s">
        <v>239</v>
      </c>
      <c r="D151" s="530" t="s">
        <v>240</v>
      </c>
      <c r="E151" s="530" t="s">
        <v>241</v>
      </c>
    </row>
    <row r="152" spans="1:10" ht="27.75">
      <c r="A152" s="88" t="s">
        <v>214</v>
      </c>
      <c r="B152" s="93" t="s">
        <v>242</v>
      </c>
      <c r="C152" s="93" t="s">
        <v>243</v>
      </c>
      <c r="D152" s="159" t="s">
        <v>244</v>
      </c>
      <c r="E152" s="159" t="s">
        <v>245</v>
      </c>
    </row>
    <row r="153" spans="1:10">
      <c r="A153" s="90">
        <v>1990</v>
      </c>
      <c r="B153" s="528">
        <f>INDEX([10]Sheet1!$C:$C,MATCH($A153,[10]Sheet1!$A:$A,0))</f>
        <v>1.3512584997373933E-4</v>
      </c>
      <c r="C153" s="528">
        <f>INDEX([10]Sheet1!$B:$B,MATCH($A153,[10]Sheet1!$A:$A,0))</f>
        <v>1.0491439971851075</v>
      </c>
      <c r="D153" s="548">
        <f>IFERROR(B153*INDEX(Conversions_Constants!$U$3:$U$4,MATCH(D$151,Conversions_Constants!$T$3:$T$4,0))/1000,0)</f>
        <v>8.9588438532589175E-4</v>
      </c>
      <c r="E153" s="529">
        <f t="shared" ref="E153:E185" si="38">B116-D153</f>
        <v>24.699104115614674</v>
      </c>
      <c r="F153" s="571">
        <f t="shared" ref="F153:F185" si="39">SUM(D153:E153)-B116</f>
        <v>0</v>
      </c>
      <c r="G153" s="566"/>
      <c r="I153" s="566"/>
      <c r="J153" s="566"/>
    </row>
    <row r="154" spans="1:10">
      <c r="A154" s="90">
        <v>1991</v>
      </c>
      <c r="B154" s="528">
        <f>INDEX([10]Sheet1!$C:$C,MATCH($A154,[10]Sheet1!$A:$A,0))</f>
        <v>1.3229550972407989E-4</v>
      </c>
      <c r="C154" s="528">
        <f>INDEX([10]Sheet1!$B:$B,MATCH($A154,[10]Sheet1!$A:$A,0))</f>
        <v>1.0054607538520304</v>
      </c>
      <c r="D154" s="548">
        <f>IFERROR(B154*INDEX(Conversions_Constants!$U$3:$U$4,MATCH(D$151,Conversions_Constants!$T$3:$T$4,0))/1000,0)</f>
        <v>8.7711922947064972E-4</v>
      </c>
      <c r="E154" s="529">
        <f t="shared" si="38"/>
        <v>23.59912288077053</v>
      </c>
      <c r="F154" s="571">
        <f t="shared" si="39"/>
        <v>0</v>
      </c>
      <c r="G154" s="566"/>
      <c r="I154" s="566"/>
      <c r="J154" s="566"/>
    </row>
    <row r="155" spans="1:10">
      <c r="A155" s="90">
        <v>1992</v>
      </c>
      <c r="B155" s="528">
        <f>INDEX([10]Sheet1!$C:$C,MATCH($A155,[10]Sheet1!$A:$A,0))</f>
        <v>1.9194635981025412E-4</v>
      </c>
      <c r="C155" s="528">
        <f>INDEX([10]Sheet1!$B:$B,MATCH($A155,[10]Sheet1!$A:$A,0))</f>
        <v>1.0023167124816883</v>
      </c>
      <c r="D155" s="548">
        <f>IFERROR(B155*INDEX(Conversions_Constants!$U$3:$U$4,MATCH(D$151,Conversions_Constants!$T$3:$T$4,0))/1000,0)</f>
        <v>1.2726043655419848E-3</v>
      </c>
      <c r="E155" s="529">
        <f t="shared" si="38"/>
        <v>23.598727395634459</v>
      </c>
      <c r="F155" s="571">
        <f t="shared" si="39"/>
        <v>0</v>
      </c>
      <c r="G155" s="566"/>
      <c r="I155" s="566"/>
      <c r="J155" s="566"/>
    </row>
    <row r="156" spans="1:10">
      <c r="A156" s="90">
        <v>1993</v>
      </c>
      <c r="B156" s="528">
        <f>INDEX([10]Sheet1!$C:$C,MATCH($A156,[10]Sheet1!$A:$A,0))</f>
        <v>1.8827507712516935E-4</v>
      </c>
      <c r="C156" s="528">
        <f>INDEX([10]Sheet1!$B:$B,MATCH($A156,[10]Sheet1!$A:$A,0))</f>
        <v>0.971667474539059</v>
      </c>
      <c r="D156" s="548">
        <f>IFERROR(B156*INDEX(Conversions_Constants!$U$3:$U$4,MATCH(D$151,Conversions_Constants!$T$3:$T$4,0))/1000,0)</f>
        <v>1.2482637613398728E-3</v>
      </c>
      <c r="E156" s="529">
        <f t="shared" si="38"/>
        <v>22.79875173623866</v>
      </c>
      <c r="F156" s="571">
        <f t="shared" si="39"/>
        <v>0</v>
      </c>
      <c r="G156" s="566"/>
      <c r="I156" s="566"/>
      <c r="J156" s="566"/>
    </row>
    <row r="157" spans="1:10">
      <c r="A157" s="90">
        <v>1994</v>
      </c>
      <c r="B157" s="528">
        <f>INDEX([10]Sheet1!$C:$C,MATCH($A157,[10]Sheet1!$A:$A,0))</f>
        <v>1.913812908998495E-4</v>
      </c>
      <c r="C157" s="528">
        <f>INDEX([10]Sheet1!$B:$B,MATCH($A157,[10]Sheet1!$A:$A,0))</f>
        <v>0.91524451738768176</v>
      </c>
      <c r="D157" s="548">
        <f>IFERROR(B157*INDEX(Conversions_Constants!$U$3:$U$4,MATCH(D$151,Conversions_Constants!$T$3:$T$4,0))/1000,0)</f>
        <v>1.2688579586660022E-3</v>
      </c>
      <c r="E157" s="529">
        <f t="shared" si="38"/>
        <v>21.498731142041333</v>
      </c>
      <c r="F157" s="571">
        <f t="shared" si="39"/>
        <v>0</v>
      </c>
      <c r="G157" s="566"/>
      <c r="I157" s="566"/>
      <c r="J157" s="566"/>
    </row>
    <row r="158" spans="1:10">
      <c r="A158" s="90">
        <v>1995</v>
      </c>
      <c r="B158" s="528">
        <f>INDEX([10]Sheet1!$C:$C,MATCH($A158,[10]Sheet1!$A:$A,0))</f>
        <v>2.2216977543169114E-4</v>
      </c>
      <c r="C158" s="528">
        <f>INDEX([10]Sheet1!$B:$B,MATCH($A158,[10]Sheet1!$A:$A,0))</f>
        <v>0.84377898148495312</v>
      </c>
      <c r="D158" s="548">
        <f>IFERROR(B158*INDEX(Conversions_Constants!$U$3:$U$4,MATCH(D$151,Conversions_Constants!$T$3:$T$4,0))/1000,0)</f>
        <v>1.4729856111121123E-3</v>
      </c>
      <c r="E158" s="529">
        <f t="shared" si="38"/>
        <v>19.798527014388888</v>
      </c>
      <c r="F158" s="571">
        <f t="shared" si="39"/>
        <v>0</v>
      </c>
      <c r="G158" s="566"/>
      <c r="I158" s="566"/>
      <c r="J158" s="566"/>
    </row>
    <row r="159" spans="1:10">
      <c r="A159" s="90">
        <v>1996</v>
      </c>
      <c r="B159" s="528">
        <f>INDEX([10]Sheet1!$C:$C,MATCH($A159,[10]Sheet1!$A:$A,0))</f>
        <v>1.824012468600396E-4</v>
      </c>
      <c r="C159" s="528">
        <f>INDEX([10]Sheet1!$B:$B,MATCH($A159,[10]Sheet1!$A:$A,0))</f>
        <v>0.77159841290759301</v>
      </c>
      <c r="D159" s="548">
        <f>IFERROR(B159*INDEX(Conversions_Constants!$U$3:$U$4,MATCH(D$151,Conversions_Constants!$T$3:$T$4,0))/1000,0)</f>
        <v>1.2093202666820626E-3</v>
      </c>
      <c r="E159" s="529">
        <f t="shared" si="38"/>
        <v>18.09879067973332</v>
      </c>
      <c r="F159" s="571">
        <f t="shared" si="39"/>
        <v>0</v>
      </c>
      <c r="G159" s="566"/>
      <c r="I159" s="566"/>
      <c r="J159" s="566"/>
    </row>
    <row r="160" spans="1:10">
      <c r="A160" s="90">
        <v>1997</v>
      </c>
      <c r="B160" s="528">
        <f>INDEX([10]Sheet1!$C:$C,MATCH($A160,[10]Sheet1!$A:$A,0))</f>
        <v>1.3454856935800176E-4</v>
      </c>
      <c r="C160" s="528">
        <f>INDEX([10]Sheet1!$B:$B,MATCH($A160,[10]Sheet1!$A:$A,0))</f>
        <v>0.70733265087125496</v>
      </c>
      <c r="D160" s="548">
        <f>IFERROR(B160*INDEX(Conversions_Constants!$U$3:$U$4,MATCH(D$151,Conversions_Constants!$T$3:$T$4,0))/1000,0)</f>
        <v>8.9205701484355176E-4</v>
      </c>
      <c r="E160" s="529">
        <f t="shared" si="38"/>
        <v>16.599107942985157</v>
      </c>
      <c r="F160" s="571">
        <f t="shared" si="39"/>
        <v>0</v>
      </c>
      <c r="G160" s="566"/>
      <c r="I160" s="566"/>
      <c r="J160" s="566"/>
    </row>
    <row r="161" spans="1:10">
      <c r="A161" s="90">
        <v>1998</v>
      </c>
      <c r="B161" s="528">
        <f>INDEX([10]Sheet1!$C:$C,MATCH($A161,[10]Sheet1!$A:$A,0))</f>
        <v>1.4943408308130385E-4</v>
      </c>
      <c r="C161" s="528">
        <f>INDEX([10]Sheet1!$B:$B,MATCH($A161,[10]Sheet1!$A:$A,0))</f>
        <v>0.60160579545836113</v>
      </c>
      <c r="D161" s="548">
        <f>IFERROR(B161*INDEX(Conversions_Constants!$U$3:$U$4,MATCH(D$151,Conversions_Constants!$T$3:$T$4,0))/1000,0)</f>
        <v>9.9074797082904448E-4</v>
      </c>
      <c r="E161" s="529">
        <f t="shared" si="38"/>
        <v>14.099009252029171</v>
      </c>
      <c r="F161" s="571">
        <f t="shared" si="39"/>
        <v>0</v>
      </c>
      <c r="G161" s="566"/>
      <c r="I161" s="566"/>
      <c r="J161" s="566"/>
    </row>
    <row r="162" spans="1:10">
      <c r="A162" s="90">
        <v>1999</v>
      </c>
      <c r="B162" s="528">
        <f>INDEX([10]Sheet1!$C:$C,MATCH($A162,[10]Sheet1!$A:$A,0))</f>
        <v>2.5305817391625663E-4</v>
      </c>
      <c r="C162" s="528">
        <f>INDEX([10]Sheet1!$B:$B,MATCH($A162,[10]Sheet1!$A:$A,0))</f>
        <v>0.6155458426054744</v>
      </c>
      <c r="D162" s="548">
        <f>IFERROR(B162*INDEX(Conversions_Constants!$U$3:$U$4,MATCH(D$151,Conversions_Constants!$T$3:$T$4,0))/1000,0)</f>
        <v>1.6777756930647814E-3</v>
      </c>
      <c r="E162" s="529">
        <f t="shared" si="38"/>
        <v>14.498322224306936</v>
      </c>
      <c r="F162" s="571">
        <f t="shared" si="39"/>
        <v>0</v>
      </c>
      <c r="G162" s="566"/>
      <c r="I162" s="566"/>
      <c r="J162" s="566"/>
    </row>
    <row r="163" spans="1:10">
      <c r="A163" s="90">
        <v>2000</v>
      </c>
      <c r="B163" s="528">
        <f>INDEX([10]Sheet1!$C:$C,MATCH($A163,[10]Sheet1!$A:$A,0))</f>
        <v>2.8105073300437695E-4</v>
      </c>
      <c r="C163" s="528">
        <f>INDEX([10]Sheet1!$B:$B,MATCH($A163,[10]Sheet1!$A:$A,0))</f>
        <v>0.59521821230233962</v>
      </c>
      <c r="D163" s="548">
        <f>IFERROR(B163*INDEX(Conversions_Constants!$U$3:$U$4,MATCH(D$151,Conversions_Constants!$T$3:$T$4,0))/1000,0)</f>
        <v>1.8633663598190192E-3</v>
      </c>
      <c r="E163" s="529">
        <f t="shared" si="38"/>
        <v>13.998136633640181</v>
      </c>
      <c r="F163" s="571">
        <f t="shared" si="39"/>
        <v>0</v>
      </c>
      <c r="G163" s="566"/>
      <c r="I163" s="566"/>
      <c r="J163" s="566"/>
    </row>
    <row r="164" spans="1:10">
      <c r="A164" s="90">
        <v>2001</v>
      </c>
      <c r="B164" s="528">
        <f>INDEX([10]Sheet1!$C:$C,MATCH($A164,[10]Sheet1!$A:$A,0))</f>
        <v>2.4342336767372563E-4</v>
      </c>
      <c r="C164" s="528">
        <f>INDEX([10]Sheet1!$B:$B,MATCH($A164,[10]Sheet1!$A:$A,0))</f>
        <v>0.58341273008569783</v>
      </c>
      <c r="D164" s="548">
        <f>IFERROR(B164*INDEX(Conversions_Constants!$U$3:$U$4,MATCH(D$151,Conversions_Constants!$T$3:$T$4,0))/1000,0)</f>
        <v>1.6138969276768009E-3</v>
      </c>
      <c r="E164" s="529">
        <f t="shared" si="38"/>
        <v>13.698386103072323</v>
      </c>
      <c r="F164" s="571">
        <f t="shared" si="39"/>
        <v>0</v>
      </c>
      <c r="G164" s="566"/>
      <c r="I164" s="566"/>
      <c r="J164" s="566"/>
    </row>
    <row r="165" spans="1:10">
      <c r="A165" s="90">
        <v>2002</v>
      </c>
      <c r="B165" s="528">
        <f>INDEX([10]Sheet1!$C:$C,MATCH($A165,[10]Sheet1!$A:$A,0))</f>
        <v>3.2862337510019131E-4</v>
      </c>
      <c r="C165" s="528">
        <f>INDEX([10]Sheet1!$B:$B,MATCH($A165,[10]Sheet1!$A:$A,0))</f>
        <v>0.5518333110966438</v>
      </c>
      <c r="D165" s="548">
        <f>IFERROR(B165*INDEX(Conversions_Constants!$U$3:$U$4,MATCH(D$151,Conversions_Constants!$T$3:$T$4,0))/1000,0)</f>
        <v>2.1787729769142685E-3</v>
      </c>
      <c r="E165" s="529">
        <f t="shared" si="38"/>
        <v>12.997821227023085</v>
      </c>
      <c r="F165" s="571">
        <f t="shared" si="39"/>
        <v>0</v>
      </c>
      <c r="G165" s="566"/>
      <c r="I165" s="566"/>
      <c r="J165" s="566"/>
    </row>
    <row r="166" spans="1:10">
      <c r="A166" s="90">
        <v>2003</v>
      </c>
      <c r="B166" s="528">
        <f>INDEX([10]Sheet1!$C:$C,MATCH($A166,[10]Sheet1!$A:$A,0))</f>
        <v>2.513504956776161E-4</v>
      </c>
      <c r="C166" s="528">
        <f>INDEX([10]Sheet1!$B:$B,MATCH($A166,[10]Sheet1!$A:$A,0))</f>
        <v>0.53164950065689542</v>
      </c>
      <c r="D166" s="548">
        <f>IFERROR(B166*INDEX(Conversions_Constants!$U$3:$U$4,MATCH(D$151,Conversions_Constants!$T$3:$T$4,0))/1000,0)</f>
        <v>1.6664537863425948E-3</v>
      </c>
      <c r="E166" s="529">
        <f t="shared" si="38"/>
        <v>12.498333546213658</v>
      </c>
      <c r="F166" s="571">
        <f t="shared" si="39"/>
        <v>0</v>
      </c>
      <c r="G166" s="566"/>
      <c r="I166" s="566"/>
      <c r="J166" s="566"/>
    </row>
    <row r="167" spans="1:10">
      <c r="A167" s="90">
        <v>2004</v>
      </c>
      <c r="B167" s="528">
        <f>INDEX([10]Sheet1!$C:$C,MATCH($A167,[10]Sheet1!$A:$A,0))</f>
        <v>2.4457965805249339E-4</v>
      </c>
      <c r="C167" s="528">
        <f>INDEX([10]Sheet1!$B:$B,MATCH($A167,[10]Sheet1!$A:$A,0))</f>
        <v>0.51736361880839232</v>
      </c>
      <c r="D167" s="548">
        <f>IFERROR(B167*INDEX(Conversions_Constants!$U$3:$U$4,MATCH(D$151,Conversions_Constants!$T$3:$T$4,0))/1000,0)</f>
        <v>1.6215631328880312E-3</v>
      </c>
      <c r="E167" s="529">
        <f t="shared" si="38"/>
        <v>12.198378436867111</v>
      </c>
      <c r="F167" s="571">
        <f t="shared" si="39"/>
        <v>0</v>
      </c>
      <c r="G167" s="566"/>
      <c r="I167" s="566"/>
      <c r="J167" s="566"/>
    </row>
    <row r="168" spans="1:10">
      <c r="A168" s="90">
        <v>2005</v>
      </c>
      <c r="B168" s="528">
        <f>INDEX([10]Sheet1!$C:$C,MATCH($A168,[10]Sheet1!$A:$A,0))</f>
        <v>2.8886702658017648E-4</v>
      </c>
      <c r="C168" s="528">
        <f>INDEX([10]Sheet1!$B:$B,MATCH($A168,[10]Sheet1!$A:$A,0))</f>
        <v>0.50419395004216461</v>
      </c>
      <c r="D168" s="548">
        <f>IFERROR(B168*INDEX(Conversions_Constants!$U$3:$U$4,MATCH(D$151,Conversions_Constants!$T$3:$T$4,0))/1000,0)</f>
        <v>1.91518838622657E-3</v>
      </c>
      <c r="E168" s="529">
        <f t="shared" si="38"/>
        <v>11.898084811613774</v>
      </c>
      <c r="F168" s="571">
        <f t="shared" si="39"/>
        <v>0</v>
      </c>
      <c r="G168" s="566"/>
      <c r="I168" s="566"/>
      <c r="J168" s="566"/>
    </row>
    <row r="169" spans="1:10">
      <c r="A169" s="90">
        <v>2006</v>
      </c>
      <c r="B169" s="528">
        <f>INDEX([10]Sheet1!$C:$C,MATCH($A169,[10]Sheet1!$A:$A,0))</f>
        <v>2.8544884583361836E-4</v>
      </c>
      <c r="C169" s="528">
        <f>INDEX([10]Sheet1!$B:$B,MATCH($A169,[10]Sheet1!$A:$A,0))</f>
        <v>0.46706182235492005</v>
      </c>
      <c r="D169" s="548">
        <f>IFERROR(B169*INDEX(Conversions_Constants!$U$3:$U$4,MATCH(D$151,Conversions_Constants!$T$3:$T$4,0))/1000,0)</f>
        <v>1.8925258478768897E-3</v>
      </c>
      <c r="E169" s="529">
        <f t="shared" si="38"/>
        <v>10.998107474152123</v>
      </c>
      <c r="F169" s="571">
        <f t="shared" si="39"/>
        <v>0</v>
      </c>
      <c r="G169" s="566"/>
      <c r="I169" s="566"/>
      <c r="J169" s="566"/>
    </row>
    <row r="170" spans="1:10">
      <c r="A170" s="90">
        <v>2007</v>
      </c>
      <c r="B170" s="528">
        <f>INDEX([10]Sheet1!$C:$C,MATCH($A170,[10]Sheet1!$A:$A,0))</f>
        <v>2.2254338430071258E-4</v>
      </c>
      <c r="C170" s="528">
        <f>INDEX([10]Sheet1!$B:$B,MATCH($A170,[10]Sheet1!$A:$A,0))</f>
        <v>0.43472108029097989</v>
      </c>
      <c r="D170" s="548">
        <f>IFERROR(B170*INDEX(Conversions_Constants!$U$3:$U$4,MATCH(D$151,Conversions_Constants!$T$3:$T$4,0))/1000,0)</f>
        <v>1.4754626379137243E-3</v>
      </c>
      <c r="E170" s="529">
        <f t="shared" si="38"/>
        <v>10.198524537362086</v>
      </c>
      <c r="F170" s="571">
        <f t="shared" si="39"/>
        <v>0</v>
      </c>
      <c r="G170" s="566"/>
      <c r="I170" s="566"/>
      <c r="J170" s="566"/>
    </row>
    <row r="171" spans="1:10">
      <c r="A171" s="90">
        <v>2008</v>
      </c>
      <c r="B171" s="528">
        <f>INDEX([10]Sheet1!$C:$C,MATCH($A171,[10]Sheet1!$A:$A,0))</f>
        <v>3.6201262379361739E-4</v>
      </c>
      <c r="C171" s="528">
        <f>INDEX([10]Sheet1!$B:$B,MATCH($A171,[10]Sheet1!$A:$A,0))</f>
        <v>0.43282495269260696</v>
      </c>
      <c r="D171" s="548">
        <f>IFERROR(B171*INDEX(Conversions_Constants!$U$3:$U$4,MATCH(D$151,Conversions_Constants!$T$3:$T$4,0))/1000,0)</f>
        <v>2.4001436957516832E-3</v>
      </c>
      <c r="E171" s="529">
        <f t="shared" si="38"/>
        <v>10.197599856304247</v>
      </c>
      <c r="F171" s="571">
        <f t="shared" si="39"/>
        <v>0</v>
      </c>
      <c r="G171" s="566"/>
      <c r="I171" s="566"/>
      <c r="J171" s="566"/>
    </row>
    <row r="172" spans="1:10">
      <c r="A172" s="90">
        <v>2009</v>
      </c>
      <c r="B172" s="528">
        <f>INDEX([10]Sheet1!$C:$C,MATCH($A172,[10]Sheet1!$A:$A,0))</f>
        <v>1.8272135672263483E-4</v>
      </c>
      <c r="C172" s="528">
        <f>INDEX([10]Sheet1!$B:$B,MATCH($A172,[10]Sheet1!$A:$A,0))</f>
        <v>0.38309030855703452</v>
      </c>
      <c r="D172" s="548">
        <f>IFERROR(B172*INDEX(Conversions_Constants!$U$3:$U$4,MATCH(D$151,Conversions_Constants!$T$3:$T$4,0))/1000,0)</f>
        <v>1.2114425950710691E-3</v>
      </c>
      <c r="E172" s="529">
        <f t="shared" si="38"/>
        <v>8.9987885574049287</v>
      </c>
      <c r="F172" s="571">
        <f t="shared" si="39"/>
        <v>0</v>
      </c>
      <c r="G172" s="566"/>
      <c r="I172" s="566"/>
      <c r="J172" s="566"/>
    </row>
    <row r="173" spans="1:10">
      <c r="A173" s="90">
        <v>2010</v>
      </c>
      <c r="B173" s="528">
        <f>INDEX([10]Sheet1!$C:$C,MATCH($A173,[10]Sheet1!$A:$A,0))</f>
        <v>2.3561196297292589E-4</v>
      </c>
      <c r="C173" s="528">
        <f>INDEX([10]Sheet1!$B:$B,MATCH($A173,[10]Sheet1!$A:$A,0))</f>
        <v>0.33079898675001562</v>
      </c>
      <c r="D173" s="548">
        <f>IFERROR(B173*INDEX(Conversions_Constants!$U$3:$U$4,MATCH(D$151,Conversions_Constants!$T$3:$T$4,0))/1000,0)</f>
        <v>1.5621073145104987E-3</v>
      </c>
      <c r="E173" s="529">
        <f t="shared" si="38"/>
        <v>7.7984378926854889</v>
      </c>
      <c r="F173" s="571">
        <f t="shared" si="39"/>
        <v>0</v>
      </c>
      <c r="G173" s="566"/>
      <c r="I173" s="566"/>
      <c r="J173" s="566"/>
    </row>
    <row r="174" spans="1:10">
      <c r="A174" s="90">
        <v>2011</v>
      </c>
      <c r="B174" s="528">
        <f>INDEX([10]Sheet1!$C:$C,MATCH($A174,[10]Sheet1!$A:$A,0))</f>
        <v>7.1199999999999996E-5</v>
      </c>
      <c r="C174" s="528">
        <f>INDEX([10]Sheet1!$B:$B,MATCH($A174,[10]Sheet1!$A:$A,0))</f>
        <v>0.30128750906563873</v>
      </c>
      <c r="D174" s="548">
        <f>IFERROR(B174*INDEX(Conversions_Constants!$U$3:$U$4,MATCH(D$151,Conversions_Constants!$T$3:$T$4,0))/1000,0)</f>
        <v>4.7205599999999999E-4</v>
      </c>
      <c r="E174" s="529">
        <f t="shared" si="38"/>
        <v>7.0995279439999992</v>
      </c>
      <c r="F174" s="571">
        <f t="shared" si="39"/>
        <v>0</v>
      </c>
      <c r="G174" s="566"/>
      <c r="I174" s="566"/>
      <c r="J174" s="566"/>
    </row>
    <row r="175" spans="1:10">
      <c r="A175" s="90">
        <v>2012</v>
      </c>
      <c r="B175" s="528">
        <f>INDEX([10]Sheet1!$C:$C,MATCH($A175,[10]Sheet1!$A:$A,0))</f>
        <v>2.4719999999999999E-4</v>
      </c>
      <c r="C175" s="528">
        <f>INDEX([10]Sheet1!$B:$B,MATCH($A175,[10]Sheet1!$A:$A,0))</f>
        <v>0.25884927558613696</v>
      </c>
      <c r="D175" s="548">
        <f>IFERROR(B175*INDEX(Conversions_Constants!$U$3:$U$4,MATCH(D$151,Conversions_Constants!$T$3:$T$4,0))/1000,0)</f>
        <v>1.6389359999999999E-3</v>
      </c>
      <c r="E175" s="529">
        <f t="shared" si="38"/>
        <v>6.0983610639999997</v>
      </c>
      <c r="F175" s="571">
        <f t="shared" si="39"/>
        <v>0</v>
      </c>
      <c r="G175" s="566"/>
      <c r="I175" s="566"/>
      <c r="J175" s="566"/>
    </row>
    <row r="176" spans="1:10">
      <c r="A176" s="90">
        <v>2013</v>
      </c>
      <c r="B176" s="528">
        <f>INDEX([10]Sheet1!$C:$C,MATCH($A176,[10]Sheet1!$A:$A,0))</f>
        <v>3.4000000000000001E-6</v>
      </c>
      <c r="C176" s="528">
        <f>INDEX([10]Sheet1!$B:$B,MATCH($A176,[10]Sheet1!$A:$A,0))</f>
        <v>0.25006959216664315</v>
      </c>
      <c r="D176" s="548">
        <f>IFERROR(B176*INDEX(Conversions_Constants!$U$3:$U$4,MATCH(D$151,Conversions_Constants!$T$3:$T$4,0))/1000,0)</f>
        <v>2.2541999999999999E-5</v>
      </c>
      <c r="E176" s="529">
        <f t="shared" si="38"/>
        <v>5.8999774580000004</v>
      </c>
      <c r="F176" s="571">
        <f t="shared" si="39"/>
        <v>0</v>
      </c>
      <c r="G176" s="566"/>
      <c r="I176" s="566"/>
      <c r="J176" s="566"/>
    </row>
    <row r="177" spans="1:10">
      <c r="A177" s="90">
        <v>2014</v>
      </c>
      <c r="B177" s="528">
        <f>INDEX([10]Sheet1!$C:$C,MATCH($A177,[10]Sheet1!$A:$A,0))</f>
        <v>1.183E-4</v>
      </c>
      <c r="C177" s="528">
        <f>INDEX([10]Sheet1!$B:$B,MATCH($A177,[10]Sheet1!$A:$A,0))</f>
        <v>0.25555850401706198</v>
      </c>
      <c r="D177" s="548">
        <f>IFERROR(B177*INDEX(Conversions_Constants!$U$3:$U$4,MATCH(D$151,Conversions_Constants!$T$3:$T$4,0))/1000,0)</f>
        <v>7.8432900000000006E-4</v>
      </c>
      <c r="E177" s="529">
        <f t="shared" si="38"/>
        <v>5.999215671</v>
      </c>
      <c r="F177" s="571">
        <f t="shared" si="39"/>
        <v>0</v>
      </c>
      <c r="G177" s="566"/>
      <c r="I177" s="566"/>
      <c r="J177" s="566"/>
    </row>
    <row r="178" spans="1:10">
      <c r="A178" s="90">
        <v>2015</v>
      </c>
      <c r="B178" s="528">
        <f>INDEX([10]Sheet1!$C:$C,MATCH($A178,[10]Sheet1!$A:$A,0))</f>
        <v>0</v>
      </c>
      <c r="C178" s="528">
        <f>INDEX([10]Sheet1!$B:$B,MATCH($A178,[10]Sheet1!$A:$A,0))</f>
        <v>0.22480962596719126</v>
      </c>
      <c r="D178" s="548">
        <f>IFERROR(B178*INDEX(Conversions_Constants!$U$3:$U$4,MATCH(D$151,Conversions_Constants!$T$3:$T$4,0))/1000,0)</f>
        <v>0</v>
      </c>
      <c r="E178" s="529">
        <f t="shared" si="38"/>
        <v>5.3</v>
      </c>
      <c r="F178" s="571">
        <f t="shared" si="39"/>
        <v>0</v>
      </c>
      <c r="G178" s="566"/>
      <c r="I178" s="566"/>
      <c r="J178" s="566"/>
    </row>
    <row r="179" spans="1:10">
      <c r="A179" s="90">
        <v>2016</v>
      </c>
      <c r="B179" s="528">
        <f>INDEX([10]Sheet1!$C:$C,MATCH($A179,[10]Sheet1!$A:$A,0))</f>
        <v>4.2900000000000006E-5</v>
      </c>
      <c r="C179" s="528">
        <f>INDEX([10]Sheet1!$B:$B,MATCH($A179,[10]Sheet1!$A:$A,0))</f>
        <v>0.23129587923176156</v>
      </c>
      <c r="D179" s="548">
        <f>IFERROR(B179*INDEX(Conversions_Constants!$U$3:$U$4,MATCH(D$151,Conversions_Constants!$T$3:$T$4,0))/1000,0)</f>
        <v>2.8442700000000002E-4</v>
      </c>
      <c r="E179" s="529">
        <f t="shared" si="38"/>
        <v>5.3997155729999999</v>
      </c>
      <c r="F179" s="571">
        <f t="shared" si="39"/>
        <v>0</v>
      </c>
      <c r="G179" s="566"/>
      <c r="I179" s="566"/>
      <c r="J179" s="566"/>
    </row>
    <row r="180" spans="1:10">
      <c r="A180" s="90">
        <v>2017</v>
      </c>
      <c r="B180" s="528">
        <f>INDEX([10]Sheet1!$C:$C,MATCH($A180,[10]Sheet1!$A:$A,0))</f>
        <v>1.1800000000000001E-5</v>
      </c>
      <c r="C180" s="528">
        <f>INDEX([10]Sheet1!$B:$B,MATCH($A180,[10]Sheet1!$A:$A,0))</f>
        <v>0.22699064394799623</v>
      </c>
      <c r="D180" s="548">
        <f>IFERROR(B180*INDEX(Conversions_Constants!$U$3:$U$4,MATCH(D$151,Conversions_Constants!$T$3:$T$4,0))/1000,0)</f>
        <v>7.8233999999999997E-5</v>
      </c>
      <c r="E180" s="529">
        <f t="shared" si="38"/>
        <v>5.2999217659999998</v>
      </c>
      <c r="F180" s="571">
        <f t="shared" si="39"/>
        <v>0</v>
      </c>
      <c r="G180" s="566"/>
      <c r="I180" s="566"/>
      <c r="J180" s="566"/>
    </row>
    <row r="181" spans="1:10">
      <c r="A181" s="90">
        <v>2018</v>
      </c>
      <c r="B181" s="528">
        <f>INDEX([10]Sheet1!$C:$C,MATCH($A181,[10]Sheet1!$A:$A,0))</f>
        <v>0</v>
      </c>
      <c r="C181" s="528">
        <f>INDEX([10]Sheet1!$B:$B,MATCH($A181,[10]Sheet1!$A:$A,0))</f>
        <v>0.21283857114286811</v>
      </c>
      <c r="D181" s="548">
        <f>IFERROR(B181*INDEX(Conversions_Constants!$U$3:$U$4,MATCH(D$151,Conversions_Constants!$T$3:$T$4,0))/1000,0)</f>
        <v>0</v>
      </c>
      <c r="E181" s="529">
        <f t="shared" si="38"/>
        <v>5</v>
      </c>
      <c r="F181" s="571">
        <f t="shared" si="39"/>
        <v>0</v>
      </c>
      <c r="G181" s="566"/>
      <c r="I181" s="566"/>
      <c r="J181" s="566"/>
    </row>
    <row r="182" spans="1:10">
      <c r="A182" s="90">
        <v>2019</v>
      </c>
      <c r="B182" s="528">
        <f>INDEX([10]Sheet1!$C:$C,MATCH($A182,[10]Sheet1!$A:$A,0))</f>
        <v>6.4200000000000002E-5</v>
      </c>
      <c r="C182" s="528">
        <f>INDEX([10]Sheet1!$B:$B,MATCH($A182,[10]Sheet1!$A:$A,0))</f>
        <v>0.258255268221314</v>
      </c>
      <c r="D182" s="548">
        <f>IFERROR(B182*INDEX(Conversions_Constants!$U$3:$U$4,MATCH(D$151,Conversions_Constants!$T$3:$T$4,0))/1000,0)</f>
        <v>4.2564600000000001E-4</v>
      </c>
      <c r="E182" s="529">
        <f t="shared" si="38"/>
        <v>6.0995743539999996</v>
      </c>
      <c r="F182" s="571">
        <f t="shared" si="39"/>
        <v>0</v>
      </c>
      <c r="G182" s="566"/>
      <c r="I182" s="566"/>
      <c r="J182" s="566"/>
    </row>
    <row r="183" spans="1:10">
      <c r="A183" s="90">
        <v>2020</v>
      </c>
      <c r="B183" s="528">
        <f>INDEX([10]Sheet1!$C:$C,MATCH($A183,[10]Sheet1!$A:$A,0))</f>
        <v>1.77E-5</v>
      </c>
      <c r="C183" s="528">
        <f>INDEX([10]Sheet1!$B:$B,MATCH($A183,[10]Sheet1!$A:$A,0))</f>
        <v>0.25020982336199388</v>
      </c>
      <c r="D183" s="548">
        <f>IFERROR(B183*INDEX(Conversions_Constants!$U$3:$U$4,MATCH(D$151,Conversions_Constants!$T$3:$T$4,0))/1000,0)</f>
        <v>1.17351E-4</v>
      </c>
      <c r="E183" s="529">
        <f t="shared" si="38"/>
        <v>5.8998826490000003</v>
      </c>
      <c r="F183" s="571">
        <f t="shared" si="39"/>
        <v>0</v>
      </c>
      <c r="G183" s="566"/>
      <c r="I183" s="566"/>
      <c r="J183" s="566"/>
    </row>
    <row r="184" spans="1:10">
      <c r="A184" s="90">
        <v>2021</v>
      </c>
      <c r="B184" s="528">
        <f>INDEX([10]Sheet1!$C:$C,MATCH($A184,[10]Sheet1!$A:$A,0))</f>
        <v>1.7826000000000002E-5</v>
      </c>
      <c r="C184" s="528">
        <f>INDEX([10]Sheet1!$B:$B,MATCH($A184,[10]Sheet1!$A:$A,0))</f>
        <v>0.25524879762873226</v>
      </c>
      <c r="D184" s="548">
        <f>IFERROR(B184*INDEX(Conversions_Constants!$U$3:$U$4,MATCH(D$151,Conversions_Constants!$T$3:$T$4,0))/1000,0)</f>
        <v>1.1818638000000001E-4</v>
      </c>
      <c r="E184" s="529">
        <f t="shared" si="38"/>
        <v>5.9998818136200001</v>
      </c>
      <c r="F184" s="571">
        <f t="shared" si="39"/>
        <v>0</v>
      </c>
      <c r="G184" s="566"/>
      <c r="I184" s="566"/>
      <c r="J184" s="566"/>
    </row>
    <row r="185" spans="1:10">
      <c r="A185" s="90">
        <v>2022</v>
      </c>
      <c r="B185" s="528">
        <f>INDEX([10]Sheet1!$C:$C,MATCH($A185,[10]Sheet1!$A:$A,0))</f>
        <v>1.111E-6</v>
      </c>
      <c r="C185" s="528">
        <f>INDEX([10]Sheet1!$B:$B,MATCH($A185,[10]Sheet1!$A:$A,0))</f>
        <v>0.2161014144836077</v>
      </c>
      <c r="D185" s="548">
        <f>IFERROR(B185*INDEX(Conversions_Constants!$U$3:$U$4,MATCH(D$151,Conversions_Constants!$T$3:$T$4,0))/1000,0)</f>
        <v>7.3659300000000005E-6</v>
      </c>
      <c r="E185" s="529">
        <f t="shared" si="38"/>
        <v>5.0999926340699995</v>
      </c>
      <c r="F185" s="571">
        <f t="shared" si="39"/>
        <v>0</v>
      </c>
      <c r="G185" s="566"/>
      <c r="I185" s="566"/>
      <c r="J185" s="566"/>
    </row>
    <row r="186" spans="1:10">
      <c r="A186" s="564" t="s">
        <v>246</v>
      </c>
    </row>
    <row r="187" spans="1:10">
      <c r="A187" s="42" t="s">
        <v>247</v>
      </c>
    </row>
    <row r="210" spans="1:6">
      <c r="A210" s="56"/>
      <c r="B210" s="56"/>
      <c r="C210" s="56"/>
      <c r="D210" s="56"/>
      <c r="E210" s="56"/>
      <c r="F210" s="56"/>
    </row>
    <row r="211" spans="1:6">
      <c r="A211" s="56"/>
      <c r="B211" s="56"/>
      <c r="C211" s="56"/>
      <c r="D211" s="56"/>
      <c r="E211" s="56"/>
      <c r="F211" s="56"/>
    </row>
  </sheetData>
  <mergeCells count="3">
    <mergeCell ref="A111:I111"/>
    <mergeCell ref="A1:E1"/>
    <mergeCell ref="A149:C149"/>
  </mergeCells>
  <phoneticPr fontId="8" type="noConversion"/>
  <hyperlinks>
    <hyperlink ref="A74" r:id="rId1" xr:uid="{E8B9F02C-FC2B-4BDC-B2E8-7EE02535F118}"/>
  </hyperlinks>
  <pageMargins left="0.75" right="0.75" top="1" bottom="1" header="0.5" footer="0.5"/>
  <pageSetup orientation="portrait" r:id="rId2"/>
  <headerFooter alignWithMargins="0"/>
  <legacyDrawing r:id="rId3"/>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7">
    <tabColor indexed="11"/>
  </sheetPr>
  <dimension ref="A1:AH233"/>
  <sheetViews>
    <sheetView workbookViewId="0">
      <selection activeCell="A51" sqref="A51"/>
    </sheetView>
  </sheetViews>
  <sheetFormatPr defaultColWidth="9.42578125" defaultRowHeight="12.75"/>
  <cols>
    <col min="1" max="1" width="33.7109375" style="56" customWidth="1"/>
    <col min="2" max="2" width="13.42578125" style="56" bestFit="1" customWidth="1"/>
    <col min="3" max="3" width="14.5703125" style="56" bestFit="1" customWidth="1"/>
    <col min="4" max="4" width="12.7109375" style="56" customWidth="1"/>
    <col min="5" max="5" width="12" style="56" customWidth="1"/>
    <col min="6" max="6" width="12.28515625" style="56" customWidth="1"/>
    <col min="7" max="7" width="12" style="56" customWidth="1"/>
    <col min="8" max="8" width="12.7109375" style="56" customWidth="1"/>
    <col min="9" max="9" width="12.42578125" style="56" customWidth="1"/>
    <col min="10" max="10" width="9.5703125" style="56" customWidth="1"/>
    <col min="11" max="11" width="10.42578125" style="56" customWidth="1"/>
    <col min="12" max="12" width="10.5703125" style="56" customWidth="1"/>
    <col min="13" max="13" width="10.42578125" style="56" customWidth="1"/>
    <col min="14" max="14" width="10.28515625" style="56" customWidth="1"/>
    <col min="15" max="15" width="10.5703125" style="56" customWidth="1"/>
    <col min="16" max="16" width="11.42578125" style="56" customWidth="1"/>
    <col min="17" max="17" width="8.5703125" style="56" customWidth="1"/>
    <col min="18" max="18" width="10" style="56" customWidth="1"/>
    <col min="19" max="19" width="9.5703125" style="56" bestFit="1" customWidth="1"/>
    <col min="20" max="23" width="9.28515625" style="56" customWidth="1"/>
    <col min="24" max="24" width="10.140625" style="56" bestFit="1" customWidth="1"/>
    <col min="25" max="29" width="8.5703125" style="56" customWidth="1"/>
    <col min="30" max="16384" width="9.42578125" style="56"/>
  </cols>
  <sheetData>
    <row r="1" spans="1:12" ht="18.75">
      <c r="A1" s="607" t="s">
        <v>248</v>
      </c>
      <c r="B1" s="607"/>
      <c r="C1" s="607"/>
      <c r="D1" s="607"/>
      <c r="E1" s="607"/>
    </row>
    <row r="3" spans="1:12">
      <c r="A3" s="43" t="s">
        <v>249</v>
      </c>
      <c r="B3" s="42"/>
      <c r="C3" s="42"/>
      <c r="D3" s="42"/>
      <c r="E3" s="42"/>
      <c r="F3" s="42"/>
      <c r="G3" s="42"/>
      <c r="H3" s="42"/>
      <c r="I3" s="42"/>
      <c r="J3" s="42"/>
      <c r="K3" s="42"/>
      <c r="L3" s="42"/>
    </row>
    <row r="4" spans="1:12">
      <c r="A4" s="93" t="s">
        <v>250</v>
      </c>
      <c r="B4" s="93" t="s">
        <v>214</v>
      </c>
      <c r="C4" s="93" t="s">
        <v>251</v>
      </c>
      <c r="D4" s="42"/>
      <c r="E4" s="42"/>
      <c r="F4" s="42"/>
      <c r="G4" s="42"/>
      <c r="H4" s="42"/>
      <c r="I4" s="42"/>
      <c r="J4" s="42"/>
      <c r="K4" s="42"/>
      <c r="L4" s="42"/>
    </row>
    <row r="5" spans="1:12">
      <c r="A5" s="102" t="s">
        <v>252</v>
      </c>
      <c r="B5" s="102">
        <v>1990</v>
      </c>
      <c r="C5" s="501">
        <f>'[11]ODS_us-est90int-07'!$C$312</f>
        <v>249622814</v>
      </c>
      <c r="D5" s="42"/>
      <c r="E5" s="42"/>
      <c r="F5" s="42"/>
      <c r="I5" s="42"/>
      <c r="J5" s="42"/>
      <c r="K5" s="42"/>
      <c r="L5" s="42"/>
    </row>
    <row r="6" spans="1:12">
      <c r="A6" s="102" t="s">
        <v>252</v>
      </c>
      <c r="B6" s="102">
        <f t="shared" ref="B6:B34" si="0">B5+1</f>
        <v>1991</v>
      </c>
      <c r="C6" s="501">
        <f>'[11]ODS_us-est90int-07'!$C$1549</f>
        <v>252980941</v>
      </c>
      <c r="D6" s="42"/>
      <c r="E6" s="42"/>
      <c r="F6" s="42"/>
      <c r="I6" s="42"/>
      <c r="J6" s="42"/>
      <c r="K6" s="42"/>
      <c r="L6" s="42"/>
    </row>
    <row r="7" spans="1:12">
      <c r="A7" s="102" t="s">
        <v>252</v>
      </c>
      <c r="B7" s="102">
        <f t="shared" si="0"/>
        <v>1992</v>
      </c>
      <c r="C7" s="501">
        <f>'[11]ODS_us-est90int-07'!$C$2786</f>
        <v>256514224</v>
      </c>
      <c r="D7" s="42"/>
      <c r="E7" s="42"/>
      <c r="F7" s="42"/>
      <c r="G7" s="42"/>
      <c r="H7" s="42"/>
      <c r="I7" s="42"/>
      <c r="J7" s="42"/>
      <c r="K7" s="42"/>
      <c r="L7" s="42"/>
    </row>
    <row r="8" spans="1:12">
      <c r="A8" s="102" t="s">
        <v>252</v>
      </c>
      <c r="B8" s="102">
        <f t="shared" si="0"/>
        <v>1993</v>
      </c>
      <c r="C8" s="501">
        <f>'[11]ODS_us-est90int-07'!$C$4023</f>
        <v>259918588</v>
      </c>
      <c r="D8" s="42"/>
      <c r="E8" s="42"/>
      <c r="F8" s="42"/>
      <c r="G8" s="42"/>
      <c r="H8" s="42"/>
      <c r="I8" s="42"/>
      <c r="J8" s="42"/>
      <c r="K8" s="42"/>
      <c r="L8" s="42"/>
    </row>
    <row r="9" spans="1:12">
      <c r="A9" s="102" t="s">
        <v>252</v>
      </c>
      <c r="B9" s="102">
        <f t="shared" si="0"/>
        <v>1994</v>
      </c>
      <c r="C9" s="501">
        <f>'[11]ODS_us-est90int-07'!$C$5260</f>
        <v>263125821</v>
      </c>
      <c r="D9" s="42"/>
      <c r="E9" s="42"/>
      <c r="F9" s="42"/>
      <c r="G9" s="42"/>
      <c r="H9" s="42"/>
      <c r="I9" s="42"/>
      <c r="J9" s="42"/>
      <c r="K9" s="42"/>
      <c r="L9" s="42"/>
    </row>
    <row r="10" spans="1:12">
      <c r="A10" s="102" t="s">
        <v>252</v>
      </c>
      <c r="B10" s="102">
        <f t="shared" si="0"/>
        <v>1995</v>
      </c>
      <c r="C10" s="501">
        <f>'[11]ODS_us-est90int-07'!$C$6497</f>
        <v>266278393</v>
      </c>
      <c r="D10" s="42"/>
      <c r="E10" s="42"/>
      <c r="F10" s="42"/>
      <c r="G10" s="42"/>
      <c r="H10" s="42"/>
      <c r="I10" s="42"/>
      <c r="J10" s="42"/>
      <c r="K10" s="42"/>
      <c r="L10" s="42"/>
    </row>
    <row r="11" spans="1:12">
      <c r="A11" s="102" t="s">
        <v>252</v>
      </c>
      <c r="B11" s="102">
        <f t="shared" si="0"/>
        <v>1996</v>
      </c>
      <c r="C11" s="501">
        <f>'[11]ODS_us-est90int-07'!$C$7734</f>
        <v>269394284</v>
      </c>
      <c r="D11" s="42"/>
      <c r="E11" s="42"/>
      <c r="F11" s="42"/>
      <c r="G11" s="42"/>
      <c r="H11" s="42"/>
      <c r="I11" s="42"/>
      <c r="J11" s="42"/>
      <c r="K11" s="42"/>
      <c r="L11" s="42"/>
    </row>
    <row r="12" spans="1:12">
      <c r="A12" s="102" t="s">
        <v>252</v>
      </c>
      <c r="B12" s="102">
        <f t="shared" si="0"/>
        <v>1997</v>
      </c>
      <c r="C12" s="501">
        <f>'[11]ODS_us-est90int-07'!$C$8971</f>
        <v>272646925</v>
      </c>
      <c r="D12" s="42"/>
      <c r="E12" s="42"/>
      <c r="F12" s="42"/>
      <c r="G12" s="42"/>
      <c r="H12" s="42"/>
      <c r="I12" s="42"/>
      <c r="J12" s="42"/>
      <c r="K12" s="42"/>
      <c r="L12" s="42"/>
    </row>
    <row r="13" spans="1:12">
      <c r="A13" s="102" t="s">
        <v>252</v>
      </c>
      <c r="B13" s="102">
        <f t="shared" si="0"/>
        <v>1998</v>
      </c>
      <c r="C13" s="501">
        <f>'[11]ODS_us-est90int-07'!$C$10208</f>
        <v>275854104</v>
      </c>
      <c r="D13" s="42"/>
      <c r="E13" s="42"/>
      <c r="F13" s="42"/>
      <c r="G13" s="42"/>
      <c r="H13" s="42"/>
      <c r="I13" s="42"/>
      <c r="J13" s="42"/>
      <c r="K13" s="42"/>
      <c r="L13" s="42"/>
    </row>
    <row r="14" spans="1:12">
      <c r="A14" s="102" t="s">
        <v>252</v>
      </c>
      <c r="B14" s="102">
        <f t="shared" si="0"/>
        <v>1999</v>
      </c>
      <c r="C14" s="501">
        <f>'[11]ODS_us-est90int-07'!$C$11445</f>
        <v>279040168</v>
      </c>
      <c r="D14" s="42"/>
      <c r="E14" s="42"/>
      <c r="F14" s="42"/>
      <c r="G14" s="42"/>
      <c r="H14" s="42"/>
      <c r="I14" s="42"/>
      <c r="J14" s="42"/>
      <c r="K14" s="42"/>
      <c r="L14" s="42"/>
    </row>
    <row r="15" spans="1:12">
      <c r="A15" s="102" t="s">
        <v>252</v>
      </c>
      <c r="B15" s="102">
        <f t="shared" si="0"/>
        <v>2000</v>
      </c>
      <c r="C15" s="501">
        <f>'[12]US-EST00INT-02'!$C$5</f>
        <v>282162411</v>
      </c>
      <c r="D15" s="42"/>
      <c r="E15" s="42"/>
      <c r="F15" s="42"/>
      <c r="G15" s="42"/>
      <c r="H15" s="42"/>
      <c r="I15" s="42"/>
      <c r="J15" s="42"/>
      <c r="K15" s="42"/>
      <c r="L15" s="42"/>
    </row>
    <row r="16" spans="1:12">
      <c r="A16" s="102" t="s">
        <v>252</v>
      </c>
      <c r="B16" s="102">
        <f t="shared" si="0"/>
        <v>2001</v>
      </c>
      <c r="C16" s="501">
        <f>'[12]US-EST00INT-02'!$D$5</f>
        <v>284968955</v>
      </c>
      <c r="D16" s="42"/>
      <c r="E16" s="42"/>
      <c r="F16" s="42"/>
      <c r="G16" s="42"/>
      <c r="H16" s="42"/>
      <c r="I16" s="42"/>
      <c r="J16" s="42"/>
      <c r="K16" s="42"/>
      <c r="L16" s="42"/>
    </row>
    <row r="17" spans="1:12">
      <c r="A17" s="102" t="s">
        <v>252</v>
      </c>
      <c r="B17" s="102">
        <f t="shared" si="0"/>
        <v>2002</v>
      </c>
      <c r="C17" s="501">
        <f>'[12]US-EST00INT-02'!$E$5</f>
        <v>287625193</v>
      </c>
      <c r="D17" s="42"/>
      <c r="E17" s="42"/>
      <c r="F17" s="42"/>
      <c r="G17" s="42"/>
      <c r="H17" s="42"/>
      <c r="I17" s="42"/>
      <c r="J17" s="42"/>
      <c r="K17" s="42"/>
      <c r="L17" s="42"/>
    </row>
    <row r="18" spans="1:12">
      <c r="A18" s="102" t="s">
        <v>252</v>
      </c>
      <c r="B18" s="102">
        <f t="shared" si="0"/>
        <v>2003</v>
      </c>
      <c r="C18" s="501">
        <f>'[12]US-EST00INT-02'!$F$5</f>
        <v>290107933</v>
      </c>
      <c r="D18" s="42"/>
      <c r="E18" s="42"/>
      <c r="F18" s="42"/>
      <c r="G18" s="42"/>
      <c r="H18" s="42"/>
      <c r="I18" s="42"/>
      <c r="J18" s="42"/>
      <c r="K18" s="42"/>
      <c r="L18" s="42"/>
    </row>
    <row r="19" spans="1:12">
      <c r="A19" s="102" t="s">
        <v>252</v>
      </c>
      <c r="B19" s="102">
        <f t="shared" si="0"/>
        <v>2004</v>
      </c>
      <c r="C19" s="501">
        <f>'[12]US-EST00INT-02'!$G$5</f>
        <v>292805298</v>
      </c>
      <c r="D19" s="42"/>
      <c r="E19" s="42"/>
      <c r="F19" s="42"/>
      <c r="G19" s="42"/>
      <c r="H19" s="42"/>
      <c r="I19" s="42"/>
      <c r="J19" s="42"/>
      <c r="K19" s="42"/>
      <c r="L19" s="42"/>
    </row>
    <row r="20" spans="1:12">
      <c r="A20" s="102" t="s">
        <v>252</v>
      </c>
      <c r="B20" s="102">
        <f t="shared" si="0"/>
        <v>2005</v>
      </c>
      <c r="C20" s="501">
        <f>'[12]US-EST00INT-02'!$H$5</f>
        <v>295516599</v>
      </c>
      <c r="D20" s="42"/>
      <c r="E20" s="42"/>
      <c r="F20" s="42"/>
      <c r="G20" s="42"/>
      <c r="H20" s="42"/>
      <c r="I20" s="42"/>
      <c r="J20" s="42"/>
      <c r="K20" s="42"/>
      <c r="L20" s="42"/>
    </row>
    <row r="21" spans="1:12">
      <c r="A21" s="102" t="s">
        <v>252</v>
      </c>
      <c r="B21" s="102">
        <f t="shared" si="0"/>
        <v>2006</v>
      </c>
      <c r="C21" s="501">
        <f>'[12]US-EST00INT-02'!$I$5</f>
        <v>298379912</v>
      </c>
      <c r="D21" s="42"/>
      <c r="E21" s="42"/>
      <c r="F21" s="42"/>
      <c r="G21" s="42"/>
      <c r="H21" s="42"/>
      <c r="I21" s="42"/>
      <c r="J21" s="42"/>
      <c r="K21" s="42"/>
      <c r="L21" s="42"/>
    </row>
    <row r="22" spans="1:12">
      <c r="A22" s="102" t="s">
        <v>252</v>
      </c>
      <c r="B22" s="102">
        <f t="shared" si="0"/>
        <v>2007</v>
      </c>
      <c r="C22" s="501">
        <f>'[12]US-EST00INT-02'!$J$5</f>
        <v>301231207</v>
      </c>
      <c r="D22" s="42"/>
      <c r="E22" s="42"/>
      <c r="F22" s="42"/>
      <c r="G22" s="42"/>
      <c r="H22" s="42"/>
      <c r="I22" s="42"/>
      <c r="J22" s="42"/>
      <c r="K22" s="42"/>
      <c r="L22" s="42"/>
    </row>
    <row r="23" spans="1:12">
      <c r="A23" s="102" t="s">
        <v>252</v>
      </c>
      <c r="B23" s="102">
        <f t="shared" si="0"/>
        <v>2008</v>
      </c>
      <c r="C23" s="501">
        <f>'[12]US-EST00INT-02'!$K$5</f>
        <v>304093966</v>
      </c>
      <c r="D23" s="42"/>
      <c r="E23" s="42"/>
      <c r="F23" s="42"/>
      <c r="G23" s="42"/>
      <c r="H23" s="42"/>
      <c r="I23" s="42"/>
      <c r="J23" s="42"/>
      <c r="K23" s="42"/>
      <c r="L23" s="42"/>
    </row>
    <row r="24" spans="1:12">
      <c r="A24" s="102" t="s">
        <v>252</v>
      </c>
      <c r="B24" s="102">
        <f t="shared" si="0"/>
        <v>2009</v>
      </c>
      <c r="C24" s="501">
        <f>'[12]US-EST00INT-02'!$L$5</f>
        <v>306771529</v>
      </c>
      <c r="D24" s="42"/>
      <c r="E24" s="42"/>
      <c r="F24" s="42"/>
      <c r="G24" s="42"/>
      <c r="H24" s="42"/>
      <c r="I24" s="42"/>
      <c r="J24" s="42"/>
      <c r="K24" s="42"/>
      <c r="L24" s="42"/>
    </row>
    <row r="25" spans="1:12">
      <c r="A25" s="102" t="s">
        <v>252</v>
      </c>
      <c r="B25" s="102">
        <f t="shared" si="0"/>
        <v>2010</v>
      </c>
      <c r="C25" s="144">
        <f>[13]NST01!$D$5</f>
        <v>309327143</v>
      </c>
      <c r="D25" s="42"/>
      <c r="E25" s="42"/>
      <c r="F25" s="42"/>
      <c r="G25" s="42"/>
      <c r="H25" s="42"/>
      <c r="I25" s="42"/>
      <c r="J25" s="42"/>
      <c r="K25" s="42"/>
      <c r="L25" s="42"/>
    </row>
    <row r="26" spans="1:12">
      <c r="A26" s="102" t="s">
        <v>252</v>
      </c>
      <c r="B26" s="102">
        <f t="shared" si="0"/>
        <v>2011</v>
      </c>
      <c r="C26" s="144">
        <f>[13]NST01!$E$5</f>
        <v>311583481</v>
      </c>
      <c r="D26" s="42"/>
      <c r="E26" s="42"/>
      <c r="F26" s="42"/>
      <c r="G26" s="42"/>
      <c r="H26" s="42"/>
      <c r="I26" s="42"/>
      <c r="J26" s="42"/>
      <c r="K26" s="42"/>
      <c r="L26" s="42"/>
    </row>
    <row r="27" spans="1:12">
      <c r="A27" s="102" t="s">
        <v>252</v>
      </c>
      <c r="B27" s="102">
        <f t="shared" si="0"/>
        <v>2012</v>
      </c>
      <c r="C27" s="144">
        <f>[13]NST01!$F$5</f>
        <v>313877662</v>
      </c>
      <c r="D27" s="42"/>
      <c r="E27" s="42"/>
      <c r="F27" s="42"/>
      <c r="G27" s="42"/>
      <c r="H27" s="42"/>
      <c r="I27" s="42"/>
      <c r="J27" s="42"/>
      <c r="K27" s="42"/>
      <c r="L27" s="42"/>
    </row>
    <row r="28" spans="1:12">
      <c r="A28" s="102" t="s">
        <v>252</v>
      </c>
      <c r="B28" s="102">
        <f t="shared" si="0"/>
        <v>2013</v>
      </c>
      <c r="C28" s="144">
        <f>[13]NST01!$G$5</f>
        <v>316059947</v>
      </c>
      <c r="D28" s="42"/>
      <c r="E28" s="42"/>
      <c r="F28" s="42"/>
      <c r="G28" s="42"/>
      <c r="H28" s="42"/>
      <c r="I28" s="42"/>
      <c r="J28" s="42"/>
      <c r="K28" s="42"/>
      <c r="L28" s="42"/>
    </row>
    <row r="29" spans="1:12">
      <c r="A29" s="102" t="s">
        <v>252</v>
      </c>
      <c r="B29" s="102">
        <f t="shared" si="0"/>
        <v>2014</v>
      </c>
      <c r="C29" s="144">
        <f>[13]NST01!$H$5</f>
        <v>318386329</v>
      </c>
      <c r="D29" s="42"/>
      <c r="E29" s="42"/>
      <c r="F29" s="42"/>
      <c r="G29" s="42"/>
      <c r="H29" s="42"/>
      <c r="I29" s="42"/>
      <c r="J29" s="42"/>
      <c r="K29" s="42"/>
      <c r="L29" s="42"/>
    </row>
    <row r="30" spans="1:12">
      <c r="A30" s="102" t="s">
        <v>252</v>
      </c>
      <c r="B30" s="102">
        <f t="shared" si="0"/>
        <v>2015</v>
      </c>
      <c r="C30" s="144">
        <f>[13]NST01!$I$5</f>
        <v>320738994</v>
      </c>
      <c r="D30" s="42"/>
      <c r="E30" s="42"/>
      <c r="F30" s="42"/>
      <c r="G30" s="42"/>
      <c r="H30" s="42"/>
      <c r="I30" s="42"/>
      <c r="J30" s="42"/>
      <c r="K30" s="42"/>
      <c r="L30" s="42"/>
    </row>
    <row r="31" spans="1:12">
      <c r="A31" s="102" t="s">
        <v>252</v>
      </c>
      <c r="B31" s="102">
        <f t="shared" si="0"/>
        <v>2016</v>
      </c>
      <c r="C31" s="144">
        <f>[13]NST01!$J$5</f>
        <v>323071755</v>
      </c>
      <c r="D31" s="42"/>
      <c r="E31" s="42"/>
      <c r="F31" s="42"/>
      <c r="G31" s="42"/>
      <c r="H31" s="42"/>
      <c r="I31" s="42"/>
      <c r="J31" s="42"/>
      <c r="K31" s="42"/>
      <c r="L31" s="42"/>
    </row>
    <row r="32" spans="1:12">
      <c r="A32" s="102" t="s">
        <v>252</v>
      </c>
      <c r="B32" s="102">
        <f t="shared" si="0"/>
        <v>2017</v>
      </c>
      <c r="C32" s="144">
        <f>[13]NST01!$K$5</f>
        <v>325122128</v>
      </c>
      <c r="D32" s="42"/>
      <c r="E32" s="42"/>
      <c r="F32" s="42"/>
      <c r="G32" s="42"/>
      <c r="H32" s="42"/>
      <c r="I32" s="42"/>
      <c r="J32" s="42"/>
      <c r="K32" s="42"/>
      <c r="L32" s="42"/>
    </row>
    <row r="33" spans="1:34">
      <c r="A33" s="102" t="s">
        <v>252</v>
      </c>
      <c r="B33" s="102">
        <f t="shared" si="0"/>
        <v>2018</v>
      </c>
      <c r="C33" s="144">
        <f>[13]NST01!$L$5</f>
        <v>326838199</v>
      </c>
      <c r="D33" s="42"/>
      <c r="E33" s="42"/>
      <c r="F33" s="42"/>
      <c r="G33" s="42"/>
      <c r="H33" s="42"/>
      <c r="I33" s="42"/>
      <c r="J33" s="42"/>
      <c r="K33" s="42"/>
      <c r="L33" s="42"/>
    </row>
    <row r="34" spans="1:34">
      <c r="A34" s="102" t="s">
        <v>252</v>
      </c>
      <c r="B34" s="102">
        <f t="shared" si="0"/>
        <v>2019</v>
      </c>
      <c r="C34" s="144">
        <f>[13]NST01!$M$5</f>
        <v>328329953</v>
      </c>
      <c r="D34" s="42"/>
      <c r="E34" s="42"/>
      <c r="F34" s="42"/>
      <c r="G34" s="42"/>
      <c r="H34" s="42"/>
      <c r="I34" s="42"/>
      <c r="J34" s="42"/>
      <c r="K34" s="42"/>
      <c r="L34" s="42"/>
    </row>
    <row r="35" spans="1:34">
      <c r="A35" s="102" t="s">
        <v>252</v>
      </c>
      <c r="B35" s="102">
        <v>2020</v>
      </c>
      <c r="C35" s="144">
        <f>'[14]NC-EST2022-SR11H'!$C$5</f>
        <v>331511512</v>
      </c>
      <c r="D35" s="42"/>
      <c r="E35" s="42"/>
      <c r="F35" s="42"/>
      <c r="G35" s="42"/>
      <c r="H35" s="42"/>
      <c r="I35" s="42"/>
      <c r="J35" s="42"/>
      <c r="K35" s="42"/>
      <c r="L35" s="42"/>
    </row>
    <row r="36" spans="1:34">
      <c r="A36" s="102" t="s">
        <v>252</v>
      </c>
      <c r="B36" s="102">
        <v>2021</v>
      </c>
      <c r="C36" s="144">
        <f>'[14]NC-EST2022-SR11H'!$D$5</f>
        <v>332031554</v>
      </c>
      <c r="D36" s="42"/>
      <c r="E36" s="42"/>
      <c r="F36" s="42"/>
      <c r="G36" s="42"/>
      <c r="H36" s="42"/>
      <c r="I36" s="42"/>
      <c r="J36" s="42"/>
      <c r="K36" s="42"/>
      <c r="L36" s="42"/>
    </row>
    <row r="37" spans="1:34">
      <c r="A37" s="102" t="s">
        <v>252</v>
      </c>
      <c r="B37" s="102">
        <v>2022</v>
      </c>
      <c r="C37" s="144">
        <f>'[14]NC-EST2022-SR11H'!$E$5</f>
        <v>333287557</v>
      </c>
      <c r="D37" s="42"/>
      <c r="E37" s="42"/>
      <c r="F37" s="42"/>
      <c r="G37" s="42"/>
      <c r="H37" s="42"/>
      <c r="I37" s="42"/>
      <c r="J37" s="42"/>
      <c r="K37" s="42"/>
      <c r="L37" s="42"/>
    </row>
    <row r="38" spans="1:34" s="140" customFormat="1" ht="12">
      <c r="A38" s="554" t="s">
        <v>253</v>
      </c>
      <c r="C38" s="69"/>
      <c r="D38" s="69"/>
      <c r="E38" s="69"/>
      <c r="F38" s="69"/>
      <c r="G38" s="69"/>
      <c r="H38" s="69"/>
      <c r="I38" s="69"/>
      <c r="J38" s="69"/>
      <c r="K38" s="69"/>
      <c r="L38" s="69"/>
    </row>
    <row r="39" spans="1:34" s="140" customFormat="1" ht="12">
      <c r="A39" s="502" t="s">
        <v>254</v>
      </c>
      <c r="C39" s="69"/>
      <c r="D39" s="69"/>
      <c r="E39" s="69"/>
      <c r="F39" s="69"/>
      <c r="G39" s="69"/>
      <c r="H39" s="69"/>
      <c r="I39" s="69"/>
      <c r="J39" s="69"/>
      <c r="K39" s="69"/>
      <c r="L39" s="69"/>
    </row>
    <row r="40" spans="1:34" s="140" customFormat="1" ht="12">
      <c r="A40" s="69" t="s">
        <v>255</v>
      </c>
      <c r="C40" s="141"/>
      <c r="D40" s="69"/>
      <c r="E40" s="69"/>
      <c r="F40" s="69"/>
      <c r="G40" s="69"/>
      <c r="H40" s="69"/>
      <c r="I40" s="69"/>
      <c r="J40" s="69"/>
      <c r="K40" s="69"/>
      <c r="L40" s="69"/>
    </row>
    <row r="41" spans="1:34" s="140" customFormat="1" ht="12">
      <c r="A41" s="512" t="s">
        <v>256</v>
      </c>
      <c r="C41" s="141"/>
      <c r="D41" s="69"/>
      <c r="E41" s="69"/>
      <c r="F41" s="69"/>
      <c r="G41" s="69"/>
      <c r="H41" s="69"/>
      <c r="I41" s="69"/>
      <c r="J41" s="69"/>
      <c r="K41" s="69"/>
      <c r="L41" s="69"/>
    </row>
    <row r="42" spans="1:34">
      <c r="A42" s="555"/>
      <c r="C42" s="124"/>
      <c r="D42" s="42"/>
      <c r="E42" s="42"/>
      <c r="F42" s="42"/>
      <c r="G42" s="42"/>
      <c r="H42" s="42"/>
      <c r="I42" s="42"/>
      <c r="J42" s="42"/>
      <c r="K42" s="42"/>
      <c r="L42" s="42"/>
    </row>
    <row r="43" spans="1:34">
      <c r="A43" s="125">
        <v>1</v>
      </c>
      <c r="B43" s="126">
        <v>2</v>
      </c>
      <c r="C43" s="125">
        <v>3</v>
      </c>
      <c r="D43" s="126">
        <v>4</v>
      </c>
      <c r="E43" s="125">
        <v>5</v>
      </c>
      <c r="F43" s="126">
        <v>6</v>
      </c>
      <c r="G43" s="125">
        <v>7</v>
      </c>
      <c r="H43" s="126">
        <v>8</v>
      </c>
      <c r="I43" s="125">
        <v>9</v>
      </c>
      <c r="J43" s="126">
        <v>10</v>
      </c>
      <c r="K43" s="125">
        <v>11</v>
      </c>
      <c r="L43" s="126">
        <v>12</v>
      </c>
      <c r="M43" s="125">
        <v>13</v>
      </c>
      <c r="N43" s="126">
        <v>14</v>
      </c>
      <c r="O43" s="125">
        <v>15</v>
      </c>
      <c r="P43" s="126">
        <v>16</v>
      </c>
      <c r="Q43" s="125">
        <v>17</v>
      </c>
      <c r="R43" s="126">
        <v>18</v>
      </c>
      <c r="S43" s="125">
        <v>19</v>
      </c>
      <c r="T43" s="126">
        <v>20</v>
      </c>
      <c r="U43" s="125">
        <v>21</v>
      </c>
      <c r="V43" s="126">
        <v>22</v>
      </c>
      <c r="W43" s="125">
        <v>23</v>
      </c>
      <c r="X43" s="126">
        <v>24</v>
      </c>
      <c r="Y43" s="125">
        <v>25</v>
      </c>
      <c r="Z43" s="126">
        <v>26</v>
      </c>
      <c r="AA43" s="125">
        <v>27</v>
      </c>
      <c r="AB43" s="126">
        <v>28</v>
      </c>
      <c r="AC43" s="125">
        <v>29</v>
      </c>
      <c r="AD43" s="126">
        <v>30</v>
      </c>
      <c r="AE43" s="125">
        <v>31</v>
      </c>
      <c r="AF43" s="125">
        <v>32</v>
      </c>
      <c r="AG43" s="125">
        <v>33</v>
      </c>
      <c r="AH43" s="125">
        <v>34</v>
      </c>
    </row>
    <row r="44" spans="1:34">
      <c r="A44" s="43" t="s">
        <v>257</v>
      </c>
      <c r="C44" s="124"/>
      <c r="D44" s="42"/>
      <c r="E44" s="42"/>
      <c r="F44" s="42"/>
      <c r="G44" s="42"/>
      <c r="H44" s="42"/>
      <c r="I44" s="42"/>
      <c r="J44" s="42"/>
      <c r="K44" s="42"/>
      <c r="L44" s="42"/>
    </row>
    <row r="45" spans="1:34" s="120" customFormat="1">
      <c r="A45" s="120" t="s">
        <v>258</v>
      </c>
      <c r="B45" s="43">
        <v>1990</v>
      </c>
      <c r="C45" s="43">
        <v>1991</v>
      </c>
      <c r="D45" s="43">
        <v>1992</v>
      </c>
      <c r="E45" s="43">
        <v>1993</v>
      </c>
      <c r="F45" s="43">
        <v>1994</v>
      </c>
      <c r="G45" s="43">
        <v>1995</v>
      </c>
      <c r="H45" s="43">
        <v>1996</v>
      </c>
      <c r="I45" s="43">
        <v>1997</v>
      </c>
      <c r="J45" s="43">
        <v>1998</v>
      </c>
      <c r="K45" s="43">
        <v>1999</v>
      </c>
      <c r="L45" s="43">
        <v>2000</v>
      </c>
      <c r="M45" s="43">
        <v>2001</v>
      </c>
      <c r="N45" s="43">
        <v>2002</v>
      </c>
      <c r="O45" s="43">
        <v>2003</v>
      </c>
      <c r="P45" s="43">
        <v>2004</v>
      </c>
      <c r="Q45" s="43">
        <v>2005</v>
      </c>
      <c r="R45" s="43">
        <v>2006</v>
      </c>
      <c r="S45" s="43">
        <v>2007</v>
      </c>
      <c r="T45" s="43">
        <v>2008</v>
      </c>
      <c r="U45" s="43">
        <v>2009</v>
      </c>
      <c r="V45" s="43">
        <v>2010</v>
      </c>
      <c r="W45" s="43">
        <v>2011</v>
      </c>
      <c r="X45" s="43">
        <v>2012</v>
      </c>
      <c r="Y45" s="43">
        <v>2013</v>
      </c>
      <c r="Z45" s="43">
        <v>2014</v>
      </c>
      <c r="AA45" s="43">
        <v>2015</v>
      </c>
      <c r="AB45" s="43">
        <v>2016</v>
      </c>
      <c r="AC45" s="43">
        <v>2017</v>
      </c>
      <c r="AD45" s="43">
        <v>2018</v>
      </c>
      <c r="AE45" s="43">
        <v>2019</v>
      </c>
      <c r="AF45" s="43">
        <v>2020</v>
      </c>
      <c r="AG45" s="43">
        <v>2021</v>
      </c>
      <c r="AH45" s="43">
        <v>2022</v>
      </c>
    </row>
    <row r="46" spans="1:34">
      <c r="A46" s="127" t="s">
        <v>259</v>
      </c>
      <c r="B46" s="128">
        <f>B61</f>
        <v>1.5686376000000002E-2</v>
      </c>
      <c r="C46" s="128">
        <f>C61</f>
        <v>1.6567786399999999E-2</v>
      </c>
      <c r="D46" s="128">
        <f t="shared" ref="D46:AF46" si="1">D61</f>
        <v>1.1101602976000002</v>
      </c>
      <c r="E46" s="128">
        <f t="shared" si="1"/>
        <v>4.9860007564000002</v>
      </c>
      <c r="F46" s="128">
        <f t="shared" si="1"/>
        <v>12.130623001200002</v>
      </c>
      <c r="G46" s="128">
        <f>G61</f>
        <v>19.493634222799997</v>
      </c>
      <c r="H46" s="128">
        <f t="shared" si="1"/>
        <v>28.476012948200001</v>
      </c>
      <c r="I46" s="128">
        <f t="shared" si="1"/>
        <v>38.04995109859999</v>
      </c>
      <c r="J46" s="128">
        <f t="shared" si="1"/>
        <v>45.161246480399981</v>
      </c>
      <c r="K46" s="128">
        <f t="shared" si="1"/>
        <v>52.746965398000007</v>
      </c>
      <c r="L46" s="128">
        <f t="shared" si="1"/>
        <v>59.611468953200017</v>
      </c>
      <c r="M46" s="128">
        <f t="shared" si="1"/>
        <v>66.665392158500026</v>
      </c>
      <c r="N46" s="128">
        <f t="shared" si="1"/>
        <v>70.917181465600009</v>
      </c>
      <c r="O46" s="128">
        <f t="shared" si="1"/>
        <v>74.617168761499997</v>
      </c>
      <c r="P46" s="128">
        <f>P61</f>
        <v>78.446198795999976</v>
      </c>
      <c r="Q46" s="128">
        <f t="shared" si="1"/>
        <v>82.96822783209997</v>
      </c>
      <c r="R46" s="128">
        <f t="shared" si="1"/>
        <v>88.156203900799994</v>
      </c>
      <c r="S46" s="128">
        <f t="shared" si="1"/>
        <v>94.056506492099984</v>
      </c>
      <c r="T46" s="128">
        <f t="shared" si="1"/>
        <v>100.83883494750002</v>
      </c>
      <c r="U46" s="128">
        <f t="shared" si="1"/>
        <v>106.94703378440001</v>
      </c>
      <c r="V46" s="128">
        <f t="shared" si="1"/>
        <v>110.9499576819</v>
      </c>
      <c r="W46" s="128">
        <f t="shared" si="1"/>
        <v>112.13300793010002</v>
      </c>
      <c r="X46" s="128">
        <f t="shared" si="1"/>
        <v>112.9713834649</v>
      </c>
      <c r="Y46" s="128">
        <f t="shared" si="1"/>
        <v>113.46988146860001</v>
      </c>
      <c r="Z46" s="128">
        <f t="shared" si="1"/>
        <v>116.03106687389999</v>
      </c>
      <c r="AA46" s="128">
        <f t="shared" si="1"/>
        <v>118.26218228120001</v>
      </c>
      <c r="AB46" s="128">
        <f t="shared" si="1"/>
        <v>120.01812245929999</v>
      </c>
      <c r="AC46" s="128">
        <f t="shared" si="1"/>
        <v>120.44246303993999</v>
      </c>
      <c r="AD46" s="128">
        <f t="shared" si="1"/>
        <v>122.66735110308001</v>
      </c>
      <c r="AE46" s="128">
        <f t="shared" si="1"/>
        <v>126.46976433048</v>
      </c>
      <c r="AF46" s="513">
        <f t="shared" si="1"/>
        <v>130.6130534779</v>
      </c>
      <c r="AG46" s="513">
        <f>AG61</f>
        <v>139.54607588764</v>
      </c>
      <c r="AH46" s="513">
        <f>AH61</f>
        <v>144.63695415622001</v>
      </c>
    </row>
    <row r="47" spans="1:34" s="131" customFormat="1">
      <c r="A47" s="520" t="s">
        <v>162</v>
      </c>
      <c r="B47" s="130">
        <f>B66</f>
        <v>0</v>
      </c>
      <c r="C47" s="130">
        <f>C66</f>
        <v>0</v>
      </c>
      <c r="D47" s="130">
        <f>D66</f>
        <v>1.0627110000000002</v>
      </c>
      <c r="E47" s="130">
        <f t="shared" ref="E47:AG47" si="2">E66</f>
        <v>4.6100209999999997</v>
      </c>
      <c r="F47" s="130">
        <f t="shared" si="2"/>
        <v>11.205480000000001</v>
      </c>
      <c r="G47" s="130">
        <f>G66</f>
        <v>17.681625</v>
      </c>
      <c r="H47" s="130">
        <f t="shared" si="2"/>
        <v>25.542868000000002</v>
      </c>
      <c r="I47" s="130">
        <f t="shared" si="2"/>
        <v>33.667145850000004</v>
      </c>
      <c r="J47" s="130">
        <f t="shared" si="2"/>
        <v>39.320554649999998</v>
      </c>
      <c r="K47" s="130">
        <f t="shared" si="2"/>
        <v>45.019566149999996</v>
      </c>
      <c r="L47" s="130">
        <f t="shared" si="2"/>
        <v>50.344398650000009</v>
      </c>
      <c r="M47" s="130">
        <f>M66</f>
        <v>55.50470445000002</v>
      </c>
      <c r="N47" s="130">
        <f t="shared" si="2"/>
        <v>57.616818286800005</v>
      </c>
      <c r="O47" s="130">
        <f t="shared" si="2"/>
        <v>59.028868410400015</v>
      </c>
      <c r="P47" s="130">
        <f t="shared" si="2"/>
        <v>60.673288286600005</v>
      </c>
      <c r="Q47" s="130">
        <f t="shared" si="2"/>
        <v>61.533466841699997</v>
      </c>
      <c r="R47" s="130">
        <f t="shared" si="2"/>
        <v>62.382131899399994</v>
      </c>
      <c r="S47" s="130">
        <f t="shared" si="2"/>
        <v>62.910223398300005</v>
      </c>
      <c r="T47" s="130">
        <f t="shared" si="2"/>
        <v>63.335845194699999</v>
      </c>
      <c r="U47" s="130">
        <f t="shared" si="2"/>
        <v>62.386802870099999</v>
      </c>
      <c r="V47" s="130">
        <f t="shared" si="2"/>
        <v>59.223563384900004</v>
      </c>
      <c r="W47" s="130">
        <f t="shared" si="2"/>
        <v>53.668938141799998</v>
      </c>
      <c r="X47" s="130">
        <f t="shared" si="2"/>
        <v>48.370207123100002</v>
      </c>
      <c r="Y47" s="130">
        <f t="shared" si="2"/>
        <v>42.856809854399998</v>
      </c>
      <c r="Z47" s="130">
        <f t="shared" si="2"/>
        <v>39.859695638500007</v>
      </c>
      <c r="AA47" s="130">
        <f t="shared" si="2"/>
        <v>37.220865681900008</v>
      </c>
      <c r="AB47" s="130">
        <f t="shared" si="2"/>
        <v>34.005905660899998</v>
      </c>
      <c r="AC47" s="130">
        <f t="shared" si="2"/>
        <v>30.674008980899998</v>
      </c>
      <c r="AD47" s="130">
        <f t="shared" si="2"/>
        <v>28.664453929199993</v>
      </c>
      <c r="AE47" s="130">
        <f t="shared" si="2"/>
        <v>26.643254329600001</v>
      </c>
      <c r="AF47" s="433">
        <f t="shared" si="2"/>
        <v>24.630521789999996</v>
      </c>
      <c r="AG47" s="433">
        <f t="shared" si="2"/>
        <v>22.854063608300002</v>
      </c>
      <c r="AH47" s="433">
        <f t="shared" ref="AH47" si="3">AH66</f>
        <v>20.792943220800002</v>
      </c>
    </row>
    <row r="48" spans="1:34" s="131" customFormat="1">
      <c r="A48" s="132" t="s">
        <v>260</v>
      </c>
      <c r="B48" s="130">
        <f>SUM(B67:B68)</f>
        <v>1.5331524000000001E-2</v>
      </c>
      <c r="C48" s="130">
        <f t="shared" ref="C48:AG48" si="4">SUM(C67:C68)</f>
        <v>1.57003704E-2</v>
      </c>
      <c r="D48" s="130">
        <f t="shared" si="4"/>
        <v>3.2442321600000004E-2</v>
      </c>
      <c r="E48" s="130">
        <f t="shared" si="4"/>
        <v>0.13394947800000001</v>
      </c>
      <c r="F48" s="130">
        <f t="shared" si="4"/>
        <v>0.29644967560000002</v>
      </c>
      <c r="G48" s="130">
        <f>SUM(G67:G68)</f>
        <v>0.45672418999999997</v>
      </c>
      <c r="H48" s="130">
        <f t="shared" si="4"/>
        <v>0.58382024039999991</v>
      </c>
      <c r="I48" s="130">
        <f t="shared" si="4"/>
        <v>0.71310719960000013</v>
      </c>
      <c r="J48" s="130">
        <f t="shared" si="4"/>
        <v>0.83724495380000019</v>
      </c>
      <c r="K48" s="130">
        <f t="shared" si="4"/>
        <v>0.95657648179999999</v>
      </c>
      <c r="L48" s="130">
        <f t="shared" si="4"/>
        <v>1.1270927296000002</v>
      </c>
      <c r="M48" s="130">
        <f>SUM(M67:M68)</f>
        <v>1.3488987477999999</v>
      </c>
      <c r="N48" s="130">
        <f t="shared" si="4"/>
        <v>1.6365518184000001</v>
      </c>
      <c r="O48" s="130">
        <f>SUM(O67:O68)</f>
        <v>1.9858341991999997</v>
      </c>
      <c r="P48" s="130">
        <f t="shared" si="4"/>
        <v>2.4139231400000001</v>
      </c>
      <c r="Q48" s="130">
        <f t="shared" si="4"/>
        <v>2.9636769795000002</v>
      </c>
      <c r="R48" s="130">
        <f t="shared" si="4"/>
        <v>3.9387825487999999</v>
      </c>
      <c r="S48" s="130">
        <f t="shared" si="4"/>
        <v>4.9444058864999993</v>
      </c>
      <c r="T48" s="130">
        <f t="shared" si="4"/>
        <v>6.0690881793999996</v>
      </c>
      <c r="U48" s="130">
        <f t="shared" si="4"/>
        <v>7.2755916862000003</v>
      </c>
      <c r="V48" s="130">
        <f t="shared" si="4"/>
        <v>9.4590427961999985</v>
      </c>
      <c r="W48" s="130">
        <f t="shared" si="4"/>
        <v>11.631118738700001</v>
      </c>
      <c r="X48" s="130">
        <f t="shared" si="4"/>
        <v>13.922173580800001</v>
      </c>
      <c r="Y48" s="130">
        <f t="shared" si="4"/>
        <v>16.516321405600003</v>
      </c>
      <c r="Z48" s="130">
        <f t="shared" si="4"/>
        <v>19.304580700500001</v>
      </c>
      <c r="AA48" s="130">
        <f t="shared" si="4"/>
        <v>22.076133818999999</v>
      </c>
      <c r="AB48" s="130">
        <f t="shared" si="4"/>
        <v>25.363225943400003</v>
      </c>
      <c r="AC48" s="130">
        <f t="shared" si="4"/>
        <v>28.835006181299995</v>
      </c>
      <c r="AD48" s="130">
        <f t="shared" si="4"/>
        <v>32.43467263334</v>
      </c>
      <c r="AE48" s="130">
        <f t="shared" si="4"/>
        <v>35.986680838900007</v>
      </c>
      <c r="AF48" s="130">
        <f t="shared" si="4"/>
        <v>40.1213199269</v>
      </c>
      <c r="AG48" s="130">
        <f t="shared" si="4"/>
        <v>48.790876858400004</v>
      </c>
      <c r="AH48" s="433">
        <f t="shared" ref="AH48" si="5">SUM(AH67:AH68)</f>
        <v>54.039902339999998</v>
      </c>
    </row>
    <row r="49" spans="1:34" s="131" customFormat="1">
      <c r="A49" s="132" t="s">
        <v>166</v>
      </c>
      <c r="B49" s="130">
        <f>SUM(B62:B65)</f>
        <v>3.5485200000000001E-4</v>
      </c>
      <c r="C49" s="130">
        <f t="shared" ref="C49:AF49" si="6">SUM(C62:C65)</f>
        <v>8.6741599999999998E-4</v>
      </c>
      <c r="D49" s="130">
        <f t="shared" si="6"/>
        <v>1.5006976E-2</v>
      </c>
      <c r="E49" s="130">
        <f t="shared" si="6"/>
        <v>0.24203027839999999</v>
      </c>
      <c r="F49" s="130">
        <f t="shared" si="6"/>
        <v>0.62869332560000013</v>
      </c>
      <c r="G49" s="130">
        <f t="shared" si="6"/>
        <v>1.3552850327999999</v>
      </c>
      <c r="H49" s="130">
        <f t="shared" si="6"/>
        <v>2.3493247077999997</v>
      </c>
      <c r="I49" s="130">
        <f t="shared" si="6"/>
        <v>3.669698049</v>
      </c>
      <c r="J49" s="130">
        <f t="shared" si="6"/>
        <v>5.0034468766</v>
      </c>
      <c r="K49" s="130">
        <f t="shared" si="6"/>
        <v>6.7708227662000002</v>
      </c>
      <c r="L49" s="130">
        <f>SUM(L62:L65)</f>
        <v>8.1399775735999995</v>
      </c>
      <c r="M49" s="130">
        <f t="shared" si="6"/>
        <v>9.8117889606999995</v>
      </c>
      <c r="N49" s="130">
        <f t="shared" si="6"/>
        <v>11.6638113604</v>
      </c>
      <c r="O49" s="130">
        <f t="shared" si="6"/>
        <v>13.602466151900002</v>
      </c>
      <c r="P49" s="130">
        <f t="shared" si="6"/>
        <v>15.358987369399998</v>
      </c>
      <c r="Q49" s="130">
        <f t="shared" si="6"/>
        <v>18.4710840109</v>
      </c>
      <c r="R49" s="130">
        <f t="shared" si="6"/>
        <v>21.835289452599998</v>
      </c>
      <c r="S49" s="130">
        <f t="shared" si="6"/>
        <v>26.201877207300001</v>
      </c>
      <c r="T49" s="130">
        <f t="shared" si="6"/>
        <v>31.433901573399993</v>
      </c>
      <c r="U49" s="130">
        <f t="shared" si="6"/>
        <v>37.284639228100005</v>
      </c>
      <c r="V49" s="130">
        <f t="shared" si="6"/>
        <v>42.267351500799997</v>
      </c>
      <c r="W49" s="130">
        <f t="shared" si="6"/>
        <v>46.832951049599998</v>
      </c>
      <c r="X49" s="130">
        <f t="shared" si="6"/>
        <v>50.679002761</v>
      </c>
      <c r="Y49" s="130">
        <f t="shared" si="6"/>
        <v>54.0967502086</v>
      </c>
      <c r="Z49" s="130">
        <f t="shared" si="6"/>
        <v>56.866790534899998</v>
      </c>
      <c r="AA49" s="130">
        <f t="shared" si="6"/>
        <v>58.965182780299997</v>
      </c>
      <c r="AB49" s="130">
        <f t="shared" si="6"/>
        <v>60.648990855000008</v>
      </c>
      <c r="AC49" s="130">
        <f t="shared" si="6"/>
        <v>60.933447877739994</v>
      </c>
      <c r="AD49" s="130">
        <f t="shared" si="6"/>
        <v>61.568224540540008</v>
      </c>
      <c r="AE49" s="130">
        <f t="shared" si="6"/>
        <v>63.839829161980006</v>
      </c>
      <c r="AF49" s="130">
        <f t="shared" si="6"/>
        <v>65.861211760999993</v>
      </c>
      <c r="AG49" s="130">
        <f>SUM(AG62:AG65)</f>
        <v>67.901135420939994</v>
      </c>
      <c r="AH49" s="433">
        <f>SUM(AH62:AH65)</f>
        <v>69.80410859541999</v>
      </c>
    </row>
    <row r="50" spans="1:34">
      <c r="A50" s="127" t="s">
        <v>167</v>
      </c>
      <c r="B50" s="513">
        <f>'[15]Emissions By Sector'!E31</f>
        <v>0.23051244000000001</v>
      </c>
      <c r="C50" s="513">
        <f>'[15]Emissions By Sector'!F31</f>
        <v>0.50493096000000004</v>
      </c>
      <c r="D50" s="513">
        <f>'[15]Emissions By Sector'!G31</f>
        <v>0.50493096000000004</v>
      </c>
      <c r="E50" s="513">
        <f>'[15]Emissions By Sector'!H31</f>
        <v>0.50493096000000004</v>
      </c>
      <c r="F50" s="513">
        <f>'[15]Emissions By Sector'!I31</f>
        <v>1.3044312000000002</v>
      </c>
      <c r="G50" s="513">
        <f>'[15]Emissions By Sector'!J31</f>
        <v>8.8062451200000016</v>
      </c>
      <c r="H50" s="513">
        <f>'[15]Emissions By Sector'!K31</f>
        <v>10.12718244</v>
      </c>
      <c r="I50" s="513">
        <f>'[15]Emissions By Sector'!L31</f>
        <v>11.249876319999998</v>
      </c>
      <c r="J50" s="513">
        <f>'[15]Emissions By Sector'!M31</f>
        <v>11.804931080000001</v>
      </c>
      <c r="K50" s="513">
        <f>'[15]Emissions By Sector'!N31</f>
        <v>12.161792740000001</v>
      </c>
      <c r="L50" s="513">
        <f>'[15]Emissions By Sector'!O31</f>
        <v>12.329056919999999</v>
      </c>
      <c r="M50" s="513">
        <f>'[15]Emissions By Sector'!P31</f>
        <v>11.991262679999998</v>
      </c>
      <c r="N50" s="513">
        <f>'[15]Emissions By Sector'!Q31</f>
        <v>11.571599699999998</v>
      </c>
      <c r="O50" s="513">
        <f>'[15]Emissions By Sector'!R31</f>
        <v>11.1569875</v>
      </c>
      <c r="P50" s="513">
        <f>'[15]Emissions By Sector'!S31</f>
        <v>10.666782960000001</v>
      </c>
      <c r="Q50" s="513">
        <f>'[15]Emissions By Sector'!T31</f>
        <v>10.175936419999999</v>
      </c>
      <c r="R50" s="513">
        <f>'[15]Emissions By Sector'!U31</f>
        <v>10.89978372</v>
      </c>
      <c r="S50" s="513">
        <f>'[15]Emissions By Sector'!V31</f>
        <v>11.7735906</v>
      </c>
      <c r="T50" s="513">
        <f>'[15]Emissions By Sector'!W31</f>
        <v>12.54446748</v>
      </c>
      <c r="U50" s="513">
        <f>'[15]Emissions By Sector'!X31</f>
        <v>14.037360079999999</v>
      </c>
      <c r="V50" s="513">
        <f>'[15]Emissions By Sector'!Y31</f>
        <v>15.597268</v>
      </c>
      <c r="W50" s="513">
        <f>'[15]Emissions By Sector'!Z31</f>
        <v>16.69992002</v>
      </c>
      <c r="X50" s="513">
        <f>'[15]Emissions By Sector'!AA31</f>
        <v>17.50924491</v>
      </c>
      <c r="Y50" s="513">
        <f>'[15]Emissions By Sector'!AB31</f>
        <v>18.305030800000001</v>
      </c>
      <c r="Z50" s="513">
        <f>'[15]Emissions By Sector'!AC31</f>
        <v>19.025741670000002</v>
      </c>
      <c r="AA50" s="513">
        <f>'[15]Emissions By Sector'!AD31</f>
        <v>19.694944899999996</v>
      </c>
      <c r="AB50" s="513">
        <f>'[15]Emissions By Sector'!AE31</f>
        <v>18.665525850000002</v>
      </c>
      <c r="AC50" s="513">
        <f>'[15]Emissions By Sector'!AF31</f>
        <v>17.711663850000001</v>
      </c>
      <c r="AD50" s="513">
        <f>'[15]Emissions By Sector'!AG31</f>
        <v>16.695425880000002</v>
      </c>
      <c r="AE50" s="513">
        <f>'[15]Emissions By Sector'!AH31</f>
        <v>17.014575400000002</v>
      </c>
      <c r="AF50" s="513">
        <f>'[15]Emissions By Sector'!AI31</f>
        <v>17.339892519999999</v>
      </c>
      <c r="AG50" s="513">
        <f>'[15]Emissions By Sector'!AJ31</f>
        <v>17.671530189999999</v>
      </c>
      <c r="AH50" s="513">
        <f>'[15]Emissions By Sector'!AK31</f>
        <v>17.037062899999999</v>
      </c>
    </row>
    <row r="51" spans="1:34">
      <c r="A51" s="127" t="s">
        <v>168</v>
      </c>
      <c r="B51" s="513">
        <f>'[15]Emissions By Sector'!E32</f>
        <v>6.6005399999999994E-3</v>
      </c>
      <c r="C51" s="513">
        <f>'[15]Emissions By Sector'!F32</f>
        <v>1.042731E-2</v>
      </c>
      <c r="D51" s="513">
        <f>'[15]Emissions By Sector'!G32</f>
        <v>1.462424E-2</v>
      </c>
      <c r="E51" s="513">
        <f>'[15]Emissions By Sector'!H32</f>
        <v>1.9202400000000001E-2</v>
      </c>
      <c r="F51" s="513">
        <f>'[15]Emissions By Sector'!I32</f>
        <v>2.0728329999999996E-2</v>
      </c>
      <c r="G51" s="513">
        <f>'[15]Emissions By Sector'!J32</f>
        <v>3.7883840000000002E-2</v>
      </c>
      <c r="H51" s="513">
        <f>'[15]Emissions By Sector'!K32</f>
        <v>9.0234410000000001E-2</v>
      </c>
      <c r="I51" s="513">
        <f>'[15]Emissions By Sector'!L32</f>
        <v>0.14526262000000001</v>
      </c>
      <c r="J51" s="513">
        <f>'[15]Emissions By Sector'!M32</f>
        <v>0.20348839999999999</v>
      </c>
      <c r="K51" s="513">
        <f>'[15]Emissions By Sector'!N32</f>
        <v>0.26429135999999998</v>
      </c>
      <c r="L51" s="513">
        <f>'[15]Emissions By Sector'!O32</f>
        <v>0.28380374999999997</v>
      </c>
      <c r="M51" s="513">
        <f>'[15]Emissions By Sector'!P32</f>
        <v>0.33718076999999996</v>
      </c>
      <c r="N51" s="513">
        <f>'[15]Emissions By Sector'!Q32</f>
        <v>1.4770172679999998</v>
      </c>
      <c r="O51" s="513">
        <f>'[15]Emissions By Sector'!R32</f>
        <v>2.8082169273999997</v>
      </c>
      <c r="P51" s="513">
        <f>'[15]Emissions By Sector'!S32</f>
        <v>3.1446500626000002</v>
      </c>
      <c r="Q51" s="513">
        <f>'[15]Emissions By Sector'!T32</f>
        <v>3.4888586672000002</v>
      </c>
      <c r="R51" s="513">
        <f>'[15]Emissions By Sector'!U32</f>
        <v>3.8472202741999997</v>
      </c>
      <c r="S51" s="513">
        <f>'[15]Emissions By Sector'!V32</f>
        <v>4.2187536218000004</v>
      </c>
      <c r="T51" s="513">
        <f>'[15]Emissions By Sector'!W32</f>
        <v>4.5812939928</v>
      </c>
      <c r="U51" s="513">
        <f>'[15]Emissions By Sector'!X32</f>
        <v>6.1407729106</v>
      </c>
      <c r="V51" s="513">
        <f>'[15]Emissions By Sector'!Y32</f>
        <v>7.8990071527999977</v>
      </c>
      <c r="W51" s="513">
        <f>'[15]Emissions By Sector'!Z32</f>
        <v>8.568231836999999</v>
      </c>
      <c r="X51" s="513">
        <f>'[15]Emissions By Sector'!AA32</f>
        <v>9.2271569862000007</v>
      </c>
      <c r="Y51" s="513">
        <f>'[15]Emissions By Sector'!AB32</f>
        <v>9.9380876129999987</v>
      </c>
      <c r="Z51" s="513">
        <f>'[15]Emissions By Sector'!AC32</f>
        <v>10.701001959599999</v>
      </c>
      <c r="AA51" s="513">
        <f>'[15]Emissions By Sector'!AD32</f>
        <v>12.148485258799999</v>
      </c>
      <c r="AB51" s="513">
        <f>'[15]Emissions By Sector'!AE32</f>
        <v>13.061289361200002</v>
      </c>
      <c r="AC51" s="513">
        <f>'[15]Emissions By Sector'!AF32</f>
        <v>13.815900991199996</v>
      </c>
      <c r="AD51" s="513">
        <f>'[15]Emissions By Sector'!AG32</f>
        <v>14.173388369400003</v>
      </c>
      <c r="AE51" s="513">
        <f>'[15]Emissions By Sector'!AH32</f>
        <v>14.1360476226</v>
      </c>
      <c r="AF51" s="513">
        <f>'[15]Emissions By Sector'!AI32</f>
        <v>13.699476005200001</v>
      </c>
      <c r="AG51" s="513">
        <f>'[15]Emissions By Sector'!AJ32</f>
        <v>10.779920445200004</v>
      </c>
      <c r="AH51" s="513">
        <f>'[15]Emissions By Sector'!AK32</f>
        <v>11.687077275200004</v>
      </c>
    </row>
    <row r="52" spans="1:34">
      <c r="A52" s="127" t="s">
        <v>169</v>
      </c>
      <c r="B52" s="513">
        <f>'[15]Emissions By Sector'!E33</f>
        <v>0</v>
      </c>
      <c r="C52" s="513">
        <f>'[15]Emissions By Sector'!F33</f>
        <v>0</v>
      </c>
      <c r="D52" s="513">
        <f>'[15]Emissions By Sector'!G33</f>
        <v>0</v>
      </c>
      <c r="E52" s="513">
        <f>'[15]Emissions By Sector'!H33</f>
        <v>0</v>
      </c>
      <c r="F52" s="513">
        <f>'[15]Emissions By Sector'!I33</f>
        <v>0</v>
      </c>
      <c r="G52" s="513">
        <f>'[15]Emissions By Sector'!J33</f>
        <v>1.0745442999999999</v>
      </c>
      <c r="H52" s="513">
        <f>'[15]Emissions By Sector'!K33</f>
        <v>2.3593679000000005</v>
      </c>
      <c r="I52" s="513">
        <f>'[15]Emissions By Sector'!L33</f>
        <v>2.5772776999999998</v>
      </c>
      <c r="J52" s="513">
        <f>'[15]Emissions By Sector'!M33</f>
        <v>2.6288144999999998</v>
      </c>
      <c r="K52" s="513">
        <f>'[15]Emissions By Sector'!N33</f>
        <v>2.6814</v>
      </c>
      <c r="L52" s="513">
        <f>'[15]Emissions By Sector'!O33</f>
        <v>2.4297576999999997</v>
      </c>
      <c r="M52" s="513">
        <f>'[15]Emissions By Sector'!P33</f>
        <v>2.1670322</v>
      </c>
      <c r="N52" s="513">
        <f>'[15]Emissions By Sector'!Q33</f>
        <v>1.8928444999999998</v>
      </c>
      <c r="O52" s="513">
        <f>'[15]Emissions By Sector'!R33</f>
        <v>1.6067034999999998</v>
      </c>
      <c r="P52" s="513">
        <f>'[15]Emissions By Sector'!S33</f>
        <v>1.6388847000000002</v>
      </c>
      <c r="Q52" s="513">
        <f>'[15]Emissions By Sector'!T33</f>
        <v>1.6416810000000002</v>
      </c>
      <c r="R52" s="513">
        <f>'[15]Emissions By Sector'!U33</f>
        <v>1.6438683000000001</v>
      </c>
      <c r="S52" s="513">
        <f>'[15]Emissions By Sector'!V33</f>
        <v>1.6456378</v>
      </c>
      <c r="T52" s="513">
        <f>'[15]Emissions By Sector'!W33</f>
        <v>1.6467686999999998</v>
      </c>
      <c r="U52" s="513">
        <f>'[15]Emissions By Sector'!X33</f>
        <v>1.6472775</v>
      </c>
      <c r="V52" s="513">
        <f>'[15]Emissions By Sector'!Y33</f>
        <v>1.6802280000000001</v>
      </c>
      <c r="W52" s="513">
        <f>'[15]Emissions By Sector'!Z33</f>
        <v>1.713822</v>
      </c>
      <c r="X52" s="513">
        <f>'[15]Emissions By Sector'!AA33</f>
        <v>1.7481089999999999</v>
      </c>
      <c r="Y52" s="513">
        <f>'[15]Emissions By Sector'!AB33</f>
        <v>1.7830725000000001</v>
      </c>
      <c r="Z52" s="513">
        <f>'[15]Emissions By Sector'!AC33</f>
        <v>1.8187289999999998</v>
      </c>
      <c r="AA52" s="513">
        <f>'[15]Emissions By Sector'!AD33</f>
        <v>1.8550949999999999</v>
      </c>
      <c r="AB52" s="513">
        <f>'[15]Emissions By Sector'!AE33</f>
        <v>1.8922034999999999</v>
      </c>
      <c r="AC52" s="513">
        <f>'[15]Emissions By Sector'!AF33</f>
        <v>1.9300545</v>
      </c>
      <c r="AD52" s="513">
        <f>'[15]Emissions By Sector'!AG33</f>
        <v>1.968648</v>
      </c>
      <c r="AE52" s="513">
        <f>'[15]Emissions By Sector'!AH33</f>
        <v>2.0080334999999998</v>
      </c>
      <c r="AF52" s="513">
        <f>'[15]Emissions By Sector'!AI33</f>
        <v>2.0481945000000001</v>
      </c>
      <c r="AG52" s="513">
        <f>'[15]Emissions By Sector'!AJ33</f>
        <v>2.0891640000000002</v>
      </c>
      <c r="AH52" s="513">
        <f>'[15]Emissions By Sector'!AK33</f>
        <v>2.1309420000000001</v>
      </c>
    </row>
    <row r="53" spans="1:34">
      <c r="A53" s="127" t="s">
        <v>170</v>
      </c>
      <c r="B53" s="513">
        <f>'[15]Emissions By Sector'!E34</f>
        <v>0</v>
      </c>
      <c r="C53" s="513">
        <f>'[15]Emissions By Sector'!F34</f>
        <v>0</v>
      </c>
      <c r="D53" s="513">
        <f>'[15]Emissions By Sector'!G34</f>
        <v>0</v>
      </c>
      <c r="E53" s="513">
        <f>'[15]Emissions By Sector'!H34</f>
        <v>0</v>
      </c>
      <c r="F53" s="513">
        <f>'[15]Emissions By Sector'!I34</f>
        <v>3.8343680000000008E-3</v>
      </c>
      <c r="G53" s="513">
        <f>'[15]Emissions By Sector'!J34</f>
        <v>3.2672908000000001E-2</v>
      </c>
      <c r="H53" s="513">
        <f>'[15]Emissions By Sector'!K34</f>
        <v>8.0576975999999995E-2</v>
      </c>
      <c r="I53" s="513">
        <f>'[15]Emissions By Sector'!L34</f>
        <v>0.16343964800000002</v>
      </c>
      <c r="J53" s="513">
        <f>'[15]Emissions By Sector'!M34</f>
        <v>0.27634993399999996</v>
      </c>
      <c r="K53" s="513">
        <f>'[15]Emissions By Sector'!N34</f>
        <v>0.43368956800000003</v>
      </c>
      <c r="L53" s="513">
        <f>'[15]Emissions By Sector'!O34</f>
        <v>0.58844067399999989</v>
      </c>
      <c r="M53" s="513">
        <f>'[15]Emissions By Sector'!P34</f>
        <v>0.73975122399999993</v>
      </c>
      <c r="N53" s="513">
        <f>'[15]Emissions By Sector'!Q34</f>
        <v>0.88723732200000005</v>
      </c>
      <c r="O53" s="513">
        <f>'[15]Emissions By Sector'!R34</f>
        <v>1.00320199</v>
      </c>
      <c r="P53" s="513">
        <f>'[15]Emissions By Sector'!S34</f>
        <v>1.1098995280000001</v>
      </c>
      <c r="Q53" s="513">
        <f>'[15]Emissions By Sector'!T34</f>
        <v>1.2058041080000002</v>
      </c>
      <c r="R53" s="513">
        <f>'[15]Emissions By Sector'!U34</f>
        <v>1.301335846</v>
      </c>
      <c r="S53" s="513">
        <f>'[15]Emissions By Sector'!V34</f>
        <v>1.3957860959999999</v>
      </c>
      <c r="T53" s="513">
        <f>'[15]Emissions By Sector'!W34</f>
        <v>1.4886024520000001</v>
      </c>
      <c r="U53" s="513">
        <f>'[15]Emissions By Sector'!X34</f>
        <v>1.5799768720000005</v>
      </c>
      <c r="V53" s="513">
        <f>'[15]Emissions By Sector'!Y34</f>
        <v>1.6717140079999999</v>
      </c>
      <c r="W53" s="513">
        <f>'[15]Emissions By Sector'!Z34</f>
        <v>1.7634979400000002</v>
      </c>
      <c r="X53" s="513">
        <f>'[15]Emissions By Sector'!AA34</f>
        <v>1.8552742700000002</v>
      </c>
      <c r="Y53" s="513">
        <f>'[15]Emissions By Sector'!AB34</f>
        <v>1.9465832460000001</v>
      </c>
      <c r="Z53" s="513">
        <f>'[15]Emissions By Sector'!AC34</f>
        <v>2.0373414679999997</v>
      </c>
      <c r="AA53" s="513">
        <f>'[15]Emissions By Sector'!AD34</f>
        <v>2.1273369799999995</v>
      </c>
      <c r="AB53" s="513">
        <f>'[15]Emissions By Sector'!AE34</f>
        <v>2.2160628099999999</v>
      </c>
      <c r="AC53" s="513">
        <f>'[15]Emissions By Sector'!AF34</f>
        <v>2.30331245</v>
      </c>
      <c r="AD53" s="513">
        <f>'[15]Emissions By Sector'!AG34</f>
        <v>2.3889430579999997</v>
      </c>
      <c r="AE53" s="513">
        <f>'[15]Emissions By Sector'!AH34</f>
        <v>2.4728295379999996</v>
      </c>
      <c r="AF53" s="513">
        <f>'[15]Emissions By Sector'!AI34</f>
        <v>2.52815089</v>
      </c>
      <c r="AG53" s="513">
        <f>'[15]Emissions By Sector'!AJ34</f>
        <v>2.5844474119999998</v>
      </c>
      <c r="AH53" s="513">
        <f>'[15]Emissions By Sector'!AK34</f>
        <v>2.6420306999999998</v>
      </c>
    </row>
    <row r="54" spans="1:34">
      <c r="A54" s="127" t="s">
        <v>49</v>
      </c>
      <c r="B54" s="513">
        <f>'[15]Emissions By Sector'!E35</f>
        <v>0.25279935600000003</v>
      </c>
      <c r="C54" s="513">
        <f>'[15]Emissions By Sector'!F35</f>
        <v>0.53192605640000001</v>
      </c>
      <c r="D54" s="513">
        <f>'[15]Emissions By Sector'!G35</f>
        <v>1.6297154976000003</v>
      </c>
      <c r="E54" s="513">
        <f>'[15]Emissions By Sector'!H35</f>
        <v>5.5101341163999997</v>
      </c>
      <c r="F54" s="513">
        <f>'[15]Emissions By Sector'!I35</f>
        <v>13.459616899200002</v>
      </c>
      <c r="G54" s="513">
        <f>'[15]Emissions By Sector'!J35</f>
        <v>29.444980390800001</v>
      </c>
      <c r="H54" s="513">
        <f>'[15]Emissions By Sector'!K35</f>
        <v>41.133374674200013</v>
      </c>
      <c r="I54" s="513">
        <f>'[15]Emissions By Sector'!L35</f>
        <v>52.185807386599997</v>
      </c>
      <c r="J54" s="513">
        <f>'[15]Emissions By Sector'!M35</f>
        <v>60.074830394400003</v>
      </c>
      <c r="K54" s="513">
        <f>'[15]Emissions By Sector'!N35</f>
        <v>68.288139065999999</v>
      </c>
      <c r="L54" s="513">
        <f>'[15]Emissions By Sector'!O35</f>
        <v>75.242527997200014</v>
      </c>
      <c r="M54" s="513">
        <f>'[15]Emissions By Sector'!P35</f>
        <v>81.900619032500032</v>
      </c>
      <c r="N54" s="513">
        <f>'[15]Emissions By Sector'!Q35</f>
        <v>86.745880255599999</v>
      </c>
      <c r="O54" s="513">
        <f>'[15]Emissions By Sector'!R35</f>
        <v>91.192278678899996</v>
      </c>
      <c r="P54" s="513">
        <f>'[15]Emissions By Sector'!S35</f>
        <v>95.006416046600009</v>
      </c>
      <c r="Q54" s="513">
        <f>'[15]Emissions By Sector'!T35</f>
        <v>99.480508027300004</v>
      </c>
      <c r="R54" s="513">
        <f>'[15]Emissions By Sector'!U35</f>
        <v>105.84841204099997</v>
      </c>
      <c r="S54" s="513">
        <f>'[15]Emissions By Sector'!V35</f>
        <v>113.09027460990001</v>
      </c>
      <c r="T54" s="513">
        <f>'[15]Emissions By Sector'!W35</f>
        <v>121.09996757229997</v>
      </c>
      <c r="U54" s="513">
        <f>'[15]Emissions By Sector'!X35</f>
        <v>130.352421147</v>
      </c>
      <c r="V54" s="513">
        <f>'[15]Emissions By Sector'!Y35</f>
        <v>137.79817484270001</v>
      </c>
      <c r="W54" s="513">
        <f>'[15]Emissions By Sector'!Z35</f>
        <v>140.87847972709997</v>
      </c>
      <c r="X54" s="513">
        <f>'[15]Emissions By Sector'!AA35</f>
        <v>143.31116863110003</v>
      </c>
      <c r="Y54" s="513">
        <f>'[15]Emissions By Sector'!AB35</f>
        <v>145.44265562759998</v>
      </c>
      <c r="Z54" s="513">
        <f>'[15]Emissions By Sector'!AC35</f>
        <v>149.61388097149998</v>
      </c>
      <c r="AA54" s="513">
        <f>'[15]Emissions By Sector'!AD35</f>
        <v>154.08804442000002</v>
      </c>
      <c r="AB54" s="513">
        <f>'[15]Emissions By Sector'!AE35</f>
        <v>155.85320398050001</v>
      </c>
      <c r="AC54" s="513">
        <f>'[15]Emissions By Sector'!AF35</f>
        <v>156.20339483113997</v>
      </c>
      <c r="AD54" s="513">
        <f>'[15]Emissions By Sector'!AG35</f>
        <v>157.89375641047999</v>
      </c>
      <c r="AE54" s="513">
        <f>'[15]Emissions By Sector'!AH35</f>
        <v>162.10125039108001</v>
      </c>
      <c r="AF54" s="513">
        <f>'[15]Emissions By Sector'!AI35</f>
        <v>166.22876739310001</v>
      </c>
      <c r="AG54" s="513">
        <f>'[15]Emissions By Sector'!AJ35</f>
        <v>172.67113793484</v>
      </c>
      <c r="AH54" s="513">
        <f>'[15]Emissions By Sector'!AK35</f>
        <v>178.13406703141999</v>
      </c>
    </row>
    <row r="55" spans="1:34">
      <c r="A55" s="120"/>
      <c r="B55" s="532">
        <f>B46-SUM(B47:B49)</f>
        <v>0</v>
      </c>
      <c r="C55" s="532">
        <f t="shared" ref="C55:AG55" si="7">C46-SUM(C47:C49)</f>
        <v>0</v>
      </c>
      <c r="D55" s="532">
        <f t="shared" si="7"/>
        <v>0</v>
      </c>
      <c r="E55" s="532">
        <f t="shared" si="7"/>
        <v>0</v>
      </c>
      <c r="F55" s="532">
        <f t="shared" si="7"/>
        <v>0</v>
      </c>
      <c r="G55" s="532">
        <f t="shared" si="7"/>
        <v>0</v>
      </c>
      <c r="H55" s="532">
        <f t="shared" si="7"/>
        <v>0</v>
      </c>
      <c r="I55" s="532">
        <f t="shared" si="7"/>
        <v>0</v>
      </c>
      <c r="J55" s="532">
        <f t="shared" si="7"/>
        <v>0</v>
      </c>
      <c r="K55" s="532">
        <f t="shared" si="7"/>
        <v>0</v>
      </c>
      <c r="L55" s="532">
        <f t="shared" si="7"/>
        <v>0</v>
      </c>
      <c r="M55" s="532">
        <f t="shared" si="7"/>
        <v>0</v>
      </c>
      <c r="N55" s="532">
        <f t="shared" si="7"/>
        <v>0</v>
      </c>
      <c r="O55" s="532">
        <f t="shared" si="7"/>
        <v>0</v>
      </c>
      <c r="P55" s="532">
        <f t="shared" si="7"/>
        <v>0</v>
      </c>
      <c r="Q55" s="532">
        <f t="shared" si="7"/>
        <v>0</v>
      </c>
      <c r="R55" s="532">
        <f t="shared" si="7"/>
        <v>0</v>
      </c>
      <c r="S55" s="532">
        <f t="shared" si="7"/>
        <v>0</v>
      </c>
      <c r="T55" s="532">
        <f t="shared" si="7"/>
        <v>0</v>
      </c>
      <c r="U55" s="532">
        <f t="shared" si="7"/>
        <v>0</v>
      </c>
      <c r="V55" s="532">
        <f>V46-SUM(V47:V49)</f>
        <v>0</v>
      </c>
      <c r="W55" s="532">
        <f t="shared" si="7"/>
        <v>0</v>
      </c>
      <c r="X55" s="532">
        <f t="shared" si="7"/>
        <v>0</v>
      </c>
      <c r="Y55" s="532">
        <f t="shared" si="7"/>
        <v>0</v>
      </c>
      <c r="Z55" s="532">
        <f t="shared" si="7"/>
        <v>0</v>
      </c>
      <c r="AA55" s="532">
        <f t="shared" si="7"/>
        <v>0</v>
      </c>
      <c r="AB55" s="532">
        <f t="shared" si="7"/>
        <v>0</v>
      </c>
      <c r="AC55" s="532">
        <f t="shared" si="7"/>
        <v>0</v>
      </c>
      <c r="AD55" s="532">
        <f t="shared" si="7"/>
        <v>0</v>
      </c>
      <c r="AE55" s="532">
        <f t="shared" si="7"/>
        <v>0</v>
      </c>
      <c r="AF55" s="532">
        <f t="shared" si="7"/>
        <v>0</v>
      </c>
      <c r="AG55" s="532">
        <f t="shared" si="7"/>
        <v>0</v>
      </c>
      <c r="AH55" s="532">
        <f t="shared" ref="AH55" si="8">AH46-SUM(AH47:AH49)</f>
        <v>0</v>
      </c>
    </row>
    <row r="56" spans="1:34" s="140" customFormat="1" ht="12">
      <c r="A56" s="586" t="s">
        <v>261</v>
      </c>
      <c r="B56" s="146"/>
      <c r="C56" s="146"/>
      <c r="D56" s="146"/>
      <c r="E56" s="146"/>
      <c r="F56" s="146"/>
      <c r="G56" s="146"/>
      <c r="H56" s="146"/>
      <c r="I56" s="146"/>
      <c r="J56" s="146"/>
      <c r="K56" s="146"/>
      <c r="L56" s="146"/>
      <c r="M56" s="146"/>
      <c r="N56" s="146"/>
      <c r="O56" s="146"/>
      <c r="P56" s="146"/>
      <c r="Q56" s="146"/>
      <c r="R56" s="146"/>
      <c r="S56" s="146"/>
    </row>
    <row r="57" spans="1:34" s="140" customFormat="1" ht="12">
      <c r="A57" s="563" t="s">
        <v>262</v>
      </c>
      <c r="B57" s="146"/>
      <c r="C57" s="146"/>
      <c r="D57" s="146"/>
      <c r="E57" s="146"/>
      <c r="F57" s="146"/>
      <c r="G57" s="146"/>
      <c r="H57" s="146"/>
      <c r="I57" s="146"/>
      <c r="J57" s="146"/>
      <c r="K57" s="146"/>
      <c r="L57" s="146"/>
      <c r="M57" s="146"/>
      <c r="N57" s="146"/>
      <c r="O57" s="146"/>
      <c r="P57" s="146"/>
      <c r="Q57" s="146"/>
      <c r="R57" s="146"/>
      <c r="S57" s="146"/>
    </row>
    <row r="58" spans="1:34" s="140" customFormat="1" ht="12">
      <c r="A58" s="69"/>
      <c r="B58" s="146"/>
      <c r="C58" s="146"/>
      <c r="D58" s="146"/>
      <c r="E58" s="146"/>
      <c r="F58" s="146"/>
      <c r="G58" s="146"/>
      <c r="H58" s="146"/>
      <c r="I58" s="146"/>
      <c r="J58" s="146"/>
      <c r="K58" s="146"/>
      <c r="L58" s="146"/>
      <c r="M58" s="146"/>
      <c r="N58" s="146"/>
      <c r="O58" s="146"/>
      <c r="P58" s="146"/>
      <c r="Q58" s="146"/>
      <c r="R58" s="146"/>
      <c r="S58" s="146"/>
    </row>
    <row r="59" spans="1:34" s="140" customFormat="1">
      <c r="A59" s="43" t="s">
        <v>263</v>
      </c>
    </row>
    <row r="60" spans="1:34" s="140" customFormat="1">
      <c r="A60" s="514" t="s">
        <v>264</v>
      </c>
      <c r="B60" s="43">
        <v>1990</v>
      </c>
      <c r="C60" s="43">
        <v>1991</v>
      </c>
      <c r="D60" s="43">
        <v>1992</v>
      </c>
      <c r="E60" s="43">
        <v>1993</v>
      </c>
      <c r="F60" s="43">
        <v>1994</v>
      </c>
      <c r="G60" s="43">
        <v>1995</v>
      </c>
      <c r="H60" s="43">
        <v>1996</v>
      </c>
      <c r="I60" s="43">
        <v>1997</v>
      </c>
      <c r="J60" s="43">
        <v>1998</v>
      </c>
      <c r="K60" s="43">
        <v>1999</v>
      </c>
      <c r="L60" s="43">
        <v>2000</v>
      </c>
      <c r="M60" s="43">
        <v>2001</v>
      </c>
      <c r="N60" s="43">
        <v>2002</v>
      </c>
      <c r="O60" s="43">
        <v>2003</v>
      </c>
      <c r="P60" s="43">
        <v>2004</v>
      </c>
      <c r="Q60" s="43">
        <v>2005</v>
      </c>
      <c r="R60" s="43">
        <v>2006</v>
      </c>
      <c r="S60" s="43">
        <v>2007</v>
      </c>
      <c r="T60" s="43">
        <v>2008</v>
      </c>
      <c r="U60" s="43">
        <v>2009</v>
      </c>
      <c r="V60" s="43">
        <v>2010</v>
      </c>
      <c r="W60" s="43">
        <v>2011</v>
      </c>
      <c r="X60" s="43">
        <v>2012</v>
      </c>
      <c r="Y60" s="43">
        <v>2013</v>
      </c>
      <c r="Z60" s="43">
        <v>2014</v>
      </c>
      <c r="AA60" s="43">
        <v>2015</v>
      </c>
      <c r="AB60" s="43">
        <v>2016</v>
      </c>
      <c r="AC60" s="43">
        <v>2017</v>
      </c>
      <c r="AD60" s="43">
        <v>2018</v>
      </c>
      <c r="AE60" s="43">
        <v>2019</v>
      </c>
      <c r="AF60" s="43">
        <v>2020</v>
      </c>
      <c r="AG60" s="43">
        <v>2021</v>
      </c>
      <c r="AH60" s="43">
        <v>2022</v>
      </c>
    </row>
    <row r="61" spans="1:34" s="140" customFormat="1">
      <c r="A61" s="127" t="s">
        <v>259</v>
      </c>
      <c r="B61" s="513">
        <f>'[15]Emissions By Sector'!E23</f>
        <v>1.5686376000000002E-2</v>
      </c>
      <c r="C61" s="513">
        <f>'[15]Emissions By Sector'!F23</f>
        <v>1.6567786399999999E-2</v>
      </c>
      <c r="D61" s="513">
        <f>'[15]Emissions By Sector'!G23</f>
        <v>1.1101602976000002</v>
      </c>
      <c r="E61" s="513">
        <f>'[15]Emissions By Sector'!H23</f>
        <v>4.9860007564000002</v>
      </c>
      <c r="F61" s="513">
        <f>'[15]Emissions By Sector'!I23</f>
        <v>12.130623001200002</v>
      </c>
      <c r="G61" s="513">
        <f>'[15]Emissions By Sector'!J23</f>
        <v>19.493634222799997</v>
      </c>
      <c r="H61" s="513">
        <f>'[15]Emissions By Sector'!K23</f>
        <v>28.476012948200001</v>
      </c>
      <c r="I61" s="513">
        <f>'[15]Emissions By Sector'!L23</f>
        <v>38.04995109859999</v>
      </c>
      <c r="J61" s="513">
        <f>'[15]Emissions By Sector'!M23</f>
        <v>45.161246480399981</v>
      </c>
      <c r="K61" s="513">
        <f>'[15]Emissions By Sector'!N23</f>
        <v>52.746965398000007</v>
      </c>
      <c r="L61" s="513">
        <f>'[15]Emissions By Sector'!O23</f>
        <v>59.611468953200017</v>
      </c>
      <c r="M61" s="513">
        <f>'[15]Emissions By Sector'!P23</f>
        <v>66.665392158500026</v>
      </c>
      <c r="N61" s="513">
        <f>'[15]Emissions By Sector'!Q23</f>
        <v>70.917181465600009</v>
      </c>
      <c r="O61" s="513">
        <f>'[15]Emissions By Sector'!R23</f>
        <v>74.617168761499997</v>
      </c>
      <c r="P61" s="513">
        <f>'[15]Emissions By Sector'!S23</f>
        <v>78.446198795999976</v>
      </c>
      <c r="Q61" s="513">
        <f>'[15]Emissions By Sector'!T23</f>
        <v>82.96822783209997</v>
      </c>
      <c r="R61" s="513">
        <f>'[15]Emissions By Sector'!U23</f>
        <v>88.156203900799994</v>
      </c>
      <c r="S61" s="513">
        <f>'[15]Emissions By Sector'!V23</f>
        <v>94.056506492099984</v>
      </c>
      <c r="T61" s="513">
        <f>'[15]Emissions By Sector'!W23</f>
        <v>100.83883494750002</v>
      </c>
      <c r="U61" s="513">
        <f>'[15]Emissions By Sector'!X23</f>
        <v>106.94703378440001</v>
      </c>
      <c r="V61" s="513">
        <f>'[15]Emissions By Sector'!Y23</f>
        <v>110.9499576819</v>
      </c>
      <c r="W61" s="513">
        <f>'[15]Emissions By Sector'!Z23</f>
        <v>112.13300793010002</v>
      </c>
      <c r="X61" s="513">
        <f>'[15]Emissions By Sector'!AA23</f>
        <v>112.9713834649</v>
      </c>
      <c r="Y61" s="513">
        <f>'[15]Emissions By Sector'!AB23</f>
        <v>113.46988146860001</v>
      </c>
      <c r="Z61" s="513">
        <f>'[15]Emissions By Sector'!AC23</f>
        <v>116.03106687389999</v>
      </c>
      <c r="AA61" s="513">
        <f>'[15]Emissions By Sector'!AD23</f>
        <v>118.26218228120001</v>
      </c>
      <c r="AB61" s="513">
        <f>'[15]Emissions By Sector'!AE23</f>
        <v>120.01812245929999</v>
      </c>
      <c r="AC61" s="513">
        <f>'[15]Emissions By Sector'!AF23</f>
        <v>120.44246303993999</v>
      </c>
      <c r="AD61" s="513">
        <f>'[15]Emissions By Sector'!AG23</f>
        <v>122.66735110308001</v>
      </c>
      <c r="AE61" s="513">
        <f>'[15]Emissions By Sector'!AH23</f>
        <v>126.46976433048</v>
      </c>
      <c r="AF61" s="513">
        <f>'[15]Emissions By Sector'!AI23</f>
        <v>130.6130534779</v>
      </c>
      <c r="AG61" s="513">
        <f>'[15]Emissions By Sector'!AJ23</f>
        <v>139.54607588764</v>
      </c>
      <c r="AH61" s="513">
        <f>'[15]Emissions By Sector'!AK23</f>
        <v>144.63695415622001</v>
      </c>
    </row>
    <row r="62" spans="1:34" s="140" customFormat="1">
      <c r="A62" s="517" t="s">
        <v>265</v>
      </c>
      <c r="B62" s="513">
        <f>'[15]Emissions By Sector'!E24</f>
        <v>3.5485200000000001E-4</v>
      </c>
      <c r="C62" s="513">
        <f>'[15]Emissions By Sector'!F24</f>
        <v>8.6741599999999998E-4</v>
      </c>
      <c r="D62" s="513">
        <f>'[15]Emissions By Sector'!G24</f>
        <v>1.6559760000000002E-3</v>
      </c>
      <c r="E62" s="513">
        <f>'[15]Emissions By Sector'!H24</f>
        <v>0.17245977839999999</v>
      </c>
      <c r="F62" s="513">
        <f>'[15]Emissions By Sector'!I24</f>
        <v>0.4404489236000001</v>
      </c>
      <c r="G62" s="513">
        <f>'[15]Emissions By Sector'!J24</f>
        <v>0.99391101019999983</v>
      </c>
      <c r="H62" s="513">
        <f>'[15]Emissions By Sector'!K24</f>
        <v>1.7642774196</v>
      </c>
      <c r="I62" s="513">
        <f>'[15]Emissions By Sector'!L24</f>
        <v>2.8466232605999999</v>
      </c>
      <c r="J62" s="513">
        <f>'[15]Emissions By Sector'!M24</f>
        <v>3.9257958640000004</v>
      </c>
      <c r="K62" s="513">
        <f>'[15]Emissions By Sector'!N24</f>
        <v>5.3771843758000006</v>
      </c>
      <c r="L62" s="513">
        <f>'[15]Emissions By Sector'!O24</f>
        <v>6.4495815498000004</v>
      </c>
      <c r="M62" s="513">
        <f>'[15]Emissions By Sector'!P24</f>
        <v>7.7806932217999991</v>
      </c>
      <c r="N62" s="513">
        <f>'[15]Emissions By Sector'!Q24</f>
        <v>9.2788555118000016</v>
      </c>
      <c r="O62" s="513">
        <f>'[15]Emissions By Sector'!R24</f>
        <v>10.836920749000001</v>
      </c>
      <c r="P62" s="513">
        <f>'[15]Emissions By Sector'!S24</f>
        <v>12.196451125799998</v>
      </c>
      <c r="Q62" s="513">
        <f>'[15]Emissions By Sector'!T24</f>
        <v>14.911281637</v>
      </c>
      <c r="R62" s="513">
        <f>'[15]Emissions By Sector'!U24</f>
        <v>17.902115425899996</v>
      </c>
      <c r="S62" s="513">
        <f>'[15]Emissions By Sector'!V24</f>
        <v>21.707624149499999</v>
      </c>
      <c r="T62" s="513">
        <f>'[15]Emissions By Sector'!W24</f>
        <v>26.084144765599994</v>
      </c>
      <c r="U62" s="513">
        <f>'[15]Emissions By Sector'!X24</f>
        <v>30.417299368900004</v>
      </c>
      <c r="V62" s="513">
        <f>'[15]Emissions By Sector'!Y24</f>
        <v>33.813455308099996</v>
      </c>
      <c r="W62" s="513">
        <f>'[15]Emissions By Sector'!Z24</f>
        <v>36.831862295699999</v>
      </c>
      <c r="X62" s="513">
        <f>'[15]Emissions By Sector'!AA24</f>
        <v>38.989917940700003</v>
      </c>
      <c r="Y62" s="513">
        <f>'[15]Emissions By Sector'!AB24</f>
        <v>40.712925770699997</v>
      </c>
      <c r="Z62" s="513">
        <f>'[15]Emissions By Sector'!AC24</f>
        <v>41.864566935500001</v>
      </c>
      <c r="AA62" s="513">
        <f>'[15]Emissions By Sector'!AD24</f>
        <v>42.285370507300001</v>
      </c>
      <c r="AB62" s="513">
        <f>'[15]Emissions By Sector'!AE24</f>
        <v>42.224178664100009</v>
      </c>
      <c r="AC62" s="513">
        <f>'[15]Emissions By Sector'!AF24</f>
        <v>40.779425525599997</v>
      </c>
      <c r="AD62" s="513">
        <f>'[15]Emissions By Sector'!AG24</f>
        <v>39.615968019400007</v>
      </c>
      <c r="AE62" s="513">
        <f>'[15]Emissions By Sector'!AH24</f>
        <v>40.198307665320009</v>
      </c>
      <c r="AF62" s="513">
        <f>'[15]Emissions By Sector'!AI24</f>
        <v>40.559641347879996</v>
      </c>
      <c r="AG62" s="513">
        <f>'[15]Emissions By Sector'!AJ24</f>
        <v>41.005681563039992</v>
      </c>
      <c r="AH62" s="513">
        <f>'[15]Emissions By Sector'!AK24</f>
        <v>41.437950579039992</v>
      </c>
    </row>
    <row r="63" spans="1:34" s="140" customFormat="1">
      <c r="A63" s="517" t="s">
        <v>266</v>
      </c>
      <c r="B63" s="513">
        <f>'[15]Emissions By Sector'!E25</f>
        <v>0</v>
      </c>
      <c r="C63" s="513">
        <f>'[15]Emissions By Sector'!F25</f>
        <v>0</v>
      </c>
      <c r="D63" s="513">
        <f>'[15]Emissions By Sector'!G25</f>
        <v>0</v>
      </c>
      <c r="E63" s="513">
        <f>'[15]Emissions By Sector'!H25</f>
        <v>0</v>
      </c>
      <c r="F63" s="513">
        <f>'[15]Emissions By Sector'!I25</f>
        <v>8.6449999999999999E-3</v>
      </c>
      <c r="G63" s="513">
        <f>'[15]Emissions By Sector'!J25</f>
        <v>2.4205999999999995E-2</v>
      </c>
      <c r="H63" s="513">
        <f>'[15]Emissions By Sector'!K25</f>
        <v>3.8441000000000003E-2</v>
      </c>
      <c r="I63" s="513">
        <f>'[15]Emissions By Sector'!L25</f>
        <v>5.2559000000000002E-2</v>
      </c>
      <c r="J63" s="513">
        <f>'[15]Emissions By Sector'!M25</f>
        <v>6.8548999999999999E-2</v>
      </c>
      <c r="K63" s="513">
        <f>'[15]Emissions By Sector'!N25</f>
        <v>8.5448999999999997E-2</v>
      </c>
      <c r="L63" s="513">
        <f>'[15]Emissions By Sector'!O25</f>
        <v>0.102232</v>
      </c>
      <c r="M63" s="513">
        <f>'[15]Emissions By Sector'!P25</f>
        <v>0.119639</v>
      </c>
      <c r="N63" s="513">
        <f>'[15]Emissions By Sector'!Q25</f>
        <v>0.13833300000000001</v>
      </c>
      <c r="O63" s="513">
        <f>'[15]Emissions By Sector'!R25</f>
        <v>0.15722199999999997</v>
      </c>
      <c r="P63" s="513">
        <f>'[15]Emissions By Sector'!S25</f>
        <v>0.17772299999999999</v>
      </c>
      <c r="Q63" s="513">
        <f>'[15]Emissions By Sector'!T25</f>
        <v>0.19345300000000001</v>
      </c>
      <c r="R63" s="513">
        <f>'[15]Emissions By Sector'!U25</f>
        <v>0.20900099999999999</v>
      </c>
      <c r="S63" s="513">
        <f>'[15]Emissions By Sector'!V25</f>
        <v>0.223275</v>
      </c>
      <c r="T63" s="513">
        <f>'[15]Emissions By Sector'!W25</f>
        <v>0.58320600000000011</v>
      </c>
      <c r="U63" s="513">
        <f>'[15]Emissions By Sector'!X25</f>
        <v>0.94081000000000015</v>
      </c>
      <c r="V63" s="513">
        <f>'[15]Emissions By Sector'!Y25</f>
        <v>0.96352100000000007</v>
      </c>
      <c r="W63" s="513">
        <f>'[15]Emissions By Sector'!Z25</f>
        <v>0.96133699999999989</v>
      </c>
      <c r="X63" s="513">
        <f>'[15]Emissions By Sector'!AA25</f>
        <v>1.0355540000000001</v>
      </c>
      <c r="Y63" s="513">
        <f>'[15]Emissions By Sector'!AB25</f>
        <v>1.0851489999999999</v>
      </c>
      <c r="Z63" s="513">
        <f>'[15]Emissions By Sector'!AC25</f>
        <v>1.0884119999999997</v>
      </c>
      <c r="AA63" s="513">
        <f>'[15]Emissions By Sector'!AD25</f>
        <v>1.1104860000000001</v>
      </c>
      <c r="AB63" s="513">
        <f>'[15]Emissions By Sector'!AE25</f>
        <v>1.164293</v>
      </c>
      <c r="AC63" s="513">
        <f>'[15]Emissions By Sector'!AF25</f>
        <v>1.179087</v>
      </c>
      <c r="AD63" s="513">
        <f>'[15]Emissions By Sector'!AG25</f>
        <v>1.2411490000000001</v>
      </c>
      <c r="AE63" s="513">
        <f>'[15]Emissions By Sector'!AH25</f>
        <v>1.2270829999999999</v>
      </c>
      <c r="AF63" s="513">
        <f>'[15]Emissions By Sector'!AI25</f>
        <v>1.2060230000000001</v>
      </c>
      <c r="AG63" s="513">
        <f>'[15]Emissions By Sector'!AJ25</f>
        <v>1.1252121829999999</v>
      </c>
      <c r="AH63" s="513">
        <f>'[15]Emissions By Sector'!AK25</f>
        <v>1.0356177724</v>
      </c>
    </row>
    <row r="64" spans="1:34" s="140" customFormat="1">
      <c r="A64" s="517" t="s">
        <v>267</v>
      </c>
      <c r="B64" s="513">
        <f>'[15]Emissions By Sector'!E26</f>
        <v>0</v>
      </c>
      <c r="C64" s="513">
        <f>'[15]Emissions By Sector'!F26</f>
        <v>0</v>
      </c>
      <c r="D64" s="513">
        <f>'[15]Emissions By Sector'!G26</f>
        <v>1.3351E-2</v>
      </c>
      <c r="E64" s="513">
        <f>'[15]Emissions By Sector'!H26</f>
        <v>4.378978E-2</v>
      </c>
      <c r="F64" s="513">
        <f>'[15]Emissions By Sector'!I26</f>
        <v>0.10045913200000001</v>
      </c>
      <c r="G64" s="513">
        <f>'[15]Emissions By Sector'!J26</f>
        <v>0.17560456659999998</v>
      </c>
      <c r="H64" s="513">
        <f>'[15]Emissions By Sector'!K26</f>
        <v>0.27554165619999993</v>
      </c>
      <c r="I64" s="513">
        <f>'[15]Emissions By Sector'!L26</f>
        <v>0.38702619839999997</v>
      </c>
      <c r="J64" s="513">
        <f>'[15]Emissions By Sector'!M26</f>
        <v>0.51150081659999991</v>
      </c>
      <c r="K64" s="513">
        <f>'[15]Emissions By Sector'!N26</f>
        <v>0.65075887840000002</v>
      </c>
      <c r="L64" s="513">
        <f>'[15]Emissions By Sector'!O26</f>
        <v>0.80539678819999994</v>
      </c>
      <c r="M64" s="513">
        <f>'[15]Emissions By Sector'!P26</f>
        <v>0.97531691119999997</v>
      </c>
      <c r="N64" s="513">
        <f>'[15]Emissions By Sector'!Q26</f>
        <v>1.1612376672</v>
      </c>
      <c r="O64" s="513">
        <f>'[15]Emissions By Sector'!R26</f>
        <v>1.3638610192000002</v>
      </c>
      <c r="P64" s="513">
        <f>'[15]Emissions By Sector'!S26</f>
        <v>1.5840653412000001</v>
      </c>
      <c r="Q64" s="513">
        <f>'[15]Emissions By Sector'!T26</f>
        <v>1.8095575652000002</v>
      </c>
      <c r="R64" s="513">
        <f>'[15]Emissions By Sector'!U26</f>
        <v>2.0536844211999998</v>
      </c>
      <c r="S64" s="513">
        <f>'[15]Emissions By Sector'!V26</f>
        <v>2.3173321262000002</v>
      </c>
      <c r="T64" s="513">
        <f>'[15]Emissions By Sector'!W26</f>
        <v>2.6012857102</v>
      </c>
      <c r="U64" s="513">
        <f>'[15]Emissions By Sector'!X26</f>
        <v>3.5158841362000004</v>
      </c>
      <c r="V64" s="513">
        <f>'[15]Emissions By Sector'!Y26</f>
        <v>4.6042419071999996</v>
      </c>
      <c r="W64" s="513">
        <f>'[15]Emissions By Sector'!Z26</f>
        <v>5.6729048901999999</v>
      </c>
      <c r="X64" s="513">
        <f>'[15]Emissions By Sector'!AA26</f>
        <v>6.7683922872000002</v>
      </c>
      <c r="Y64" s="513">
        <f>'[15]Emissions By Sector'!AB26</f>
        <v>7.8912565871999991</v>
      </c>
      <c r="Z64" s="513">
        <f>'[15]Emissions By Sector'!AC26</f>
        <v>9.0402679131999992</v>
      </c>
      <c r="AA64" s="513">
        <f>'[15]Emissions By Sector'!AD26</f>
        <v>10.212382252199998</v>
      </c>
      <c r="AB64" s="513">
        <f>'[15]Emissions By Sector'!AE26</f>
        <v>11.406818860199998</v>
      </c>
      <c r="AC64" s="513">
        <f>'[15]Emissions By Sector'!AF26</f>
        <v>12.61754341194</v>
      </c>
      <c r="AD64" s="513">
        <f>'[15]Emissions By Sector'!AG26</f>
        <v>13.82608067284</v>
      </c>
      <c r="AE64" s="513">
        <f>'[15]Emissions By Sector'!AH26</f>
        <v>15.027123341560001</v>
      </c>
      <c r="AF64" s="513">
        <f>'[15]Emissions By Sector'!AI26</f>
        <v>16.206217146419998</v>
      </c>
      <c r="AG64" s="513">
        <f>'[15]Emissions By Sector'!AJ26</f>
        <v>17.380103744400003</v>
      </c>
      <c r="AH64" s="513">
        <f>'[15]Emissions By Sector'!AK26</f>
        <v>18.550248648580002</v>
      </c>
    </row>
    <row r="65" spans="1:34" s="140" customFormat="1">
      <c r="A65" s="517" t="s">
        <v>268</v>
      </c>
      <c r="B65" s="513">
        <f>'[15]Emissions By Sector'!E27</f>
        <v>0</v>
      </c>
      <c r="C65" s="513">
        <f>'[15]Emissions By Sector'!F27</f>
        <v>0</v>
      </c>
      <c r="D65" s="513">
        <f>'[15]Emissions By Sector'!G27</f>
        <v>0</v>
      </c>
      <c r="E65" s="513">
        <f>'[15]Emissions By Sector'!H27</f>
        <v>2.578072E-2</v>
      </c>
      <c r="F65" s="513">
        <f>'[15]Emissions By Sector'!I27</f>
        <v>7.9140269999999999E-2</v>
      </c>
      <c r="G65" s="513">
        <f>'[15]Emissions By Sector'!J27</f>
        <v>0.16156345599999999</v>
      </c>
      <c r="H65" s="513">
        <f>'[15]Emissions By Sector'!K27</f>
        <v>0.27106463200000003</v>
      </c>
      <c r="I65" s="513">
        <f>'[15]Emissions By Sector'!L27</f>
        <v>0.38348958999999999</v>
      </c>
      <c r="J65" s="513">
        <f>'[15]Emissions By Sector'!M27</f>
        <v>0.49760119600000002</v>
      </c>
      <c r="K65" s="513">
        <f>'[15]Emissions By Sector'!N27</f>
        <v>0.65743051199999991</v>
      </c>
      <c r="L65" s="513">
        <f>'[15]Emissions By Sector'!O27</f>
        <v>0.78276723560000017</v>
      </c>
      <c r="M65" s="513">
        <f>'[15]Emissions By Sector'!P27</f>
        <v>0.93613982770000004</v>
      </c>
      <c r="N65" s="513">
        <f>'[15]Emissions By Sector'!Q27</f>
        <v>1.0853851814</v>
      </c>
      <c r="O65" s="513">
        <f>'[15]Emissions By Sector'!R27</f>
        <v>1.2444623837000002</v>
      </c>
      <c r="P65" s="513">
        <f>'[15]Emissions By Sector'!S27</f>
        <v>1.4007479024</v>
      </c>
      <c r="Q65" s="513">
        <f>'[15]Emissions By Sector'!T27</f>
        <v>1.5567918086999999</v>
      </c>
      <c r="R65" s="513">
        <f>'[15]Emissions By Sector'!U27</f>
        <v>1.6704886054999999</v>
      </c>
      <c r="S65" s="513">
        <f>'[15]Emissions By Sector'!V27</f>
        <v>1.9536459315999997</v>
      </c>
      <c r="T65" s="513">
        <f>'[15]Emissions By Sector'!W27</f>
        <v>2.1652650976000003</v>
      </c>
      <c r="U65" s="513">
        <f>'[15]Emissions By Sector'!X27</f>
        <v>2.4106457230000005</v>
      </c>
      <c r="V65" s="513">
        <f>'[15]Emissions By Sector'!Y27</f>
        <v>2.8861332854999993</v>
      </c>
      <c r="W65" s="513">
        <f>'[15]Emissions By Sector'!Z27</f>
        <v>3.3668468636999997</v>
      </c>
      <c r="X65" s="513">
        <f>'[15]Emissions By Sector'!AA27</f>
        <v>3.8851385331000006</v>
      </c>
      <c r="Y65" s="513">
        <f>'[15]Emissions By Sector'!AB27</f>
        <v>4.4074188507000009</v>
      </c>
      <c r="Z65" s="513">
        <f>'[15]Emissions By Sector'!AC27</f>
        <v>4.8735436862000006</v>
      </c>
      <c r="AA65" s="513">
        <f>'[15]Emissions By Sector'!AD27</f>
        <v>5.3569440207999994</v>
      </c>
      <c r="AB65" s="513">
        <f>'[15]Emissions By Sector'!AE27</f>
        <v>5.8537003306999988</v>
      </c>
      <c r="AC65" s="513">
        <f>'[15]Emissions By Sector'!AF27</f>
        <v>6.3573919401999994</v>
      </c>
      <c r="AD65" s="513">
        <f>'[15]Emissions By Sector'!AG27</f>
        <v>6.8850268482999999</v>
      </c>
      <c r="AE65" s="513">
        <f>'[15]Emissions By Sector'!AH27</f>
        <v>7.3873151551000005</v>
      </c>
      <c r="AF65" s="513">
        <f>'[15]Emissions By Sector'!AI27</f>
        <v>7.8893302667000009</v>
      </c>
      <c r="AG65" s="513">
        <f>'[15]Emissions By Sector'!AJ27</f>
        <v>8.3901379304999999</v>
      </c>
      <c r="AH65" s="513">
        <f>'[15]Emissions By Sector'!AK27</f>
        <v>8.7802915953999978</v>
      </c>
    </row>
    <row r="66" spans="1:34" s="140" customFormat="1">
      <c r="A66" s="517" t="s">
        <v>269</v>
      </c>
      <c r="B66" s="513">
        <f>'[15]Emissions By Sector'!E28</f>
        <v>0</v>
      </c>
      <c r="C66" s="513">
        <f>'[15]Emissions By Sector'!F28</f>
        <v>0</v>
      </c>
      <c r="D66" s="513">
        <f>'[15]Emissions By Sector'!G28</f>
        <v>1.0627110000000002</v>
      </c>
      <c r="E66" s="513">
        <f>'[15]Emissions By Sector'!H28</f>
        <v>4.6100209999999997</v>
      </c>
      <c r="F66" s="513">
        <f>'[15]Emissions By Sector'!I28</f>
        <v>11.205480000000001</v>
      </c>
      <c r="G66" s="513">
        <f>'[15]Emissions By Sector'!J28</f>
        <v>17.681625</v>
      </c>
      <c r="H66" s="513">
        <f>'[15]Emissions By Sector'!K28</f>
        <v>25.542868000000002</v>
      </c>
      <c r="I66" s="513">
        <f>'[15]Emissions By Sector'!L28</f>
        <v>33.667145850000004</v>
      </c>
      <c r="J66" s="513">
        <f>'[15]Emissions By Sector'!M28</f>
        <v>39.320554649999998</v>
      </c>
      <c r="K66" s="513">
        <f>'[15]Emissions By Sector'!N28</f>
        <v>45.019566149999996</v>
      </c>
      <c r="L66" s="513">
        <f>'[15]Emissions By Sector'!O28</f>
        <v>50.344398650000009</v>
      </c>
      <c r="M66" s="513">
        <f>'[15]Emissions By Sector'!P28</f>
        <v>55.50470445000002</v>
      </c>
      <c r="N66" s="513">
        <f>'[15]Emissions By Sector'!Q28</f>
        <v>57.616818286800005</v>
      </c>
      <c r="O66" s="513">
        <f>'[15]Emissions By Sector'!R28</f>
        <v>59.028868410400015</v>
      </c>
      <c r="P66" s="513">
        <f>'[15]Emissions By Sector'!S28</f>
        <v>60.673288286600005</v>
      </c>
      <c r="Q66" s="513">
        <f>'[15]Emissions By Sector'!T28</f>
        <v>61.533466841699997</v>
      </c>
      <c r="R66" s="513">
        <f>'[15]Emissions By Sector'!U28</f>
        <v>62.382131899399994</v>
      </c>
      <c r="S66" s="513">
        <f>'[15]Emissions By Sector'!V28</f>
        <v>62.910223398300005</v>
      </c>
      <c r="T66" s="513">
        <f>'[15]Emissions By Sector'!W28</f>
        <v>63.335845194699999</v>
      </c>
      <c r="U66" s="513">
        <f>'[15]Emissions By Sector'!X28</f>
        <v>62.386802870099999</v>
      </c>
      <c r="V66" s="513">
        <f>'[15]Emissions By Sector'!Y28</f>
        <v>59.223563384900004</v>
      </c>
      <c r="W66" s="513">
        <f>'[15]Emissions By Sector'!Z28</f>
        <v>53.668938141799998</v>
      </c>
      <c r="X66" s="513">
        <f>'[15]Emissions By Sector'!AA28</f>
        <v>48.370207123100002</v>
      </c>
      <c r="Y66" s="513">
        <f>'[15]Emissions By Sector'!AB28</f>
        <v>42.856809854399998</v>
      </c>
      <c r="Z66" s="513">
        <f>'[15]Emissions By Sector'!AC28</f>
        <v>39.859695638500007</v>
      </c>
      <c r="AA66" s="513">
        <f>'[15]Emissions By Sector'!AD28</f>
        <v>37.220865681900008</v>
      </c>
      <c r="AB66" s="513">
        <f>'[15]Emissions By Sector'!AE28</f>
        <v>34.005905660899998</v>
      </c>
      <c r="AC66" s="513">
        <f>'[15]Emissions By Sector'!AF28</f>
        <v>30.674008980899998</v>
      </c>
      <c r="AD66" s="513">
        <f>'[15]Emissions By Sector'!AG28</f>
        <v>28.664453929199993</v>
      </c>
      <c r="AE66" s="513">
        <f>'[15]Emissions By Sector'!AH28</f>
        <v>26.643254329600001</v>
      </c>
      <c r="AF66" s="513">
        <f>'[15]Emissions By Sector'!AI28</f>
        <v>24.630521789999996</v>
      </c>
      <c r="AG66" s="513">
        <f>'[15]Emissions By Sector'!AJ28</f>
        <v>22.854063608300002</v>
      </c>
      <c r="AH66" s="513">
        <f>'[15]Emissions By Sector'!AK28</f>
        <v>20.792943220800002</v>
      </c>
    </row>
    <row r="67" spans="1:34" s="140" customFormat="1" ht="25.5">
      <c r="A67" s="517" t="s">
        <v>270</v>
      </c>
      <c r="B67" s="513">
        <f>'[15]Emissions By Sector'!E29</f>
        <v>0</v>
      </c>
      <c r="C67" s="513">
        <f>'[15]Emissions By Sector'!F29</f>
        <v>0</v>
      </c>
      <c r="D67" s="513">
        <f>'[15]Emissions By Sector'!G29</f>
        <v>0</v>
      </c>
      <c r="E67" s="513">
        <f>'[15]Emissions By Sector'!H29</f>
        <v>0</v>
      </c>
      <c r="F67" s="513">
        <f>'[15]Emissions By Sector'!I29</f>
        <v>0</v>
      </c>
      <c r="G67" s="513">
        <f>'[15]Emissions By Sector'!J29</f>
        <v>0</v>
      </c>
      <c r="H67" s="513">
        <f>'[15]Emissions By Sector'!K29</f>
        <v>0</v>
      </c>
      <c r="I67" s="513">
        <f>'[15]Emissions By Sector'!L29</f>
        <v>1.4300000000000003E-3</v>
      </c>
      <c r="J67" s="513">
        <f>'[15]Emissions By Sector'!M29</f>
        <v>2.7299999999999998E-3</v>
      </c>
      <c r="K67" s="513">
        <f>'[15]Emissions By Sector'!N29</f>
        <v>3.7569999999999999E-3</v>
      </c>
      <c r="L67" s="513">
        <f>'[15]Emissions By Sector'!O29</f>
        <v>5.8309673099999987E-2</v>
      </c>
      <c r="M67" s="513">
        <f>'[15]Emissions By Sector'!P29</f>
        <v>0.15912956589999999</v>
      </c>
      <c r="N67" s="513">
        <f>'[15]Emissions By Sector'!Q29</f>
        <v>0.32195100179999997</v>
      </c>
      <c r="O67" s="513">
        <f>'[15]Emissions By Sector'!R29</f>
        <v>0.54132212160000004</v>
      </c>
      <c r="P67" s="513">
        <f>'[15]Emissions By Sector'!S29</f>
        <v>0.83212389369999984</v>
      </c>
      <c r="Q67" s="513">
        <f>'[15]Emissions By Sector'!T29</f>
        <v>1.2496424770000003</v>
      </c>
      <c r="R67" s="513">
        <f>'[15]Emissions By Sector'!U29</f>
        <v>2.0843960802999999</v>
      </c>
      <c r="S67" s="513">
        <f>'[15]Emissions By Sector'!V29</f>
        <v>2.9439982485999998</v>
      </c>
      <c r="T67" s="513">
        <f>'[15]Emissions By Sector'!W29</f>
        <v>3.9287244297999999</v>
      </c>
      <c r="U67" s="513">
        <f>'[15]Emissions By Sector'!X29</f>
        <v>4.8786682518999998</v>
      </c>
      <c r="V67" s="513">
        <f>'[15]Emissions By Sector'!Y29</f>
        <v>6.6768997978999991</v>
      </c>
      <c r="W67" s="513">
        <f>'[15]Emissions By Sector'!Z29</f>
        <v>8.4449630222000014</v>
      </c>
      <c r="X67" s="513">
        <f>'[15]Emissions By Sector'!AA29</f>
        <v>10.313386722000001</v>
      </c>
      <c r="Y67" s="513">
        <f>'[15]Emissions By Sector'!AB29</f>
        <v>12.461462331300002</v>
      </c>
      <c r="Z67" s="513">
        <f>'[15]Emissions By Sector'!AC29</f>
        <v>14.8389904846</v>
      </c>
      <c r="AA67" s="513">
        <f>'[15]Emissions By Sector'!AD29</f>
        <v>17.266550867599999</v>
      </c>
      <c r="AB67" s="513">
        <f>'[15]Emissions By Sector'!AE29</f>
        <v>20.117788491100001</v>
      </c>
      <c r="AC67" s="513">
        <f>'[15]Emissions By Sector'!AF29</f>
        <v>23.090648848799994</v>
      </c>
      <c r="AD67" s="513">
        <f>'[15]Emissions By Sector'!AG29</f>
        <v>26.228864832299998</v>
      </c>
      <c r="AE67" s="513">
        <f>'[15]Emissions By Sector'!AH29</f>
        <v>29.387013212900005</v>
      </c>
      <c r="AF67" s="513">
        <f>'[15]Emissions By Sector'!AI29</f>
        <v>33.192954817</v>
      </c>
      <c r="AG67" s="513">
        <f>'[15]Emissions By Sector'!AJ29</f>
        <v>41.525114799100002</v>
      </c>
      <c r="AH67" s="513">
        <f>'[15]Emissions By Sector'!AK29</f>
        <v>46.439146000299999</v>
      </c>
    </row>
    <row r="68" spans="1:34" s="140" customFormat="1" ht="12.6" customHeight="1">
      <c r="A68" s="517" t="s">
        <v>271</v>
      </c>
      <c r="B68" s="513">
        <f>'[15]Emissions By Sector'!E30</f>
        <v>1.5331524000000001E-2</v>
      </c>
      <c r="C68" s="513">
        <f>'[15]Emissions By Sector'!F30</f>
        <v>1.57003704E-2</v>
      </c>
      <c r="D68" s="513">
        <f>'[15]Emissions By Sector'!G30</f>
        <v>3.2442321600000004E-2</v>
      </c>
      <c r="E68" s="513">
        <f>'[15]Emissions By Sector'!H30</f>
        <v>0.13394947800000001</v>
      </c>
      <c r="F68" s="513">
        <f>'[15]Emissions By Sector'!I30</f>
        <v>0.29644967560000002</v>
      </c>
      <c r="G68" s="513">
        <f>'[15]Emissions By Sector'!J30</f>
        <v>0.45672418999999997</v>
      </c>
      <c r="H68" s="513">
        <f>'[15]Emissions By Sector'!K30</f>
        <v>0.58382024039999991</v>
      </c>
      <c r="I68" s="513">
        <f>'[15]Emissions By Sector'!L30</f>
        <v>0.71167719960000009</v>
      </c>
      <c r="J68" s="513">
        <f>'[15]Emissions By Sector'!M30</f>
        <v>0.83451495380000018</v>
      </c>
      <c r="K68" s="513">
        <f>'[15]Emissions By Sector'!N30</f>
        <v>0.95281948179999998</v>
      </c>
      <c r="L68" s="513">
        <f>'[15]Emissions By Sector'!O30</f>
        <v>1.0687830565000003</v>
      </c>
      <c r="M68" s="513">
        <f>'[15]Emissions By Sector'!P30</f>
        <v>1.1897691818999998</v>
      </c>
      <c r="N68" s="513">
        <f>'[15]Emissions By Sector'!Q30</f>
        <v>1.3146008166000001</v>
      </c>
      <c r="O68" s="513">
        <f>'[15]Emissions By Sector'!R30</f>
        <v>1.4445120775999998</v>
      </c>
      <c r="P68" s="513">
        <f>'[15]Emissions By Sector'!S30</f>
        <v>1.5817992463000001</v>
      </c>
      <c r="Q68" s="513">
        <f>'[15]Emissions By Sector'!T30</f>
        <v>1.7140345024999999</v>
      </c>
      <c r="R68" s="513">
        <f>'[15]Emissions By Sector'!U30</f>
        <v>1.8543864684999998</v>
      </c>
      <c r="S68" s="513">
        <f>'[15]Emissions By Sector'!V30</f>
        <v>2.0004076378999995</v>
      </c>
      <c r="T68" s="513">
        <f>'[15]Emissions By Sector'!W30</f>
        <v>2.1403637496000001</v>
      </c>
      <c r="U68" s="513">
        <f>'[15]Emissions By Sector'!X30</f>
        <v>2.3969234343000001</v>
      </c>
      <c r="V68" s="513">
        <f>'[15]Emissions By Sector'!Y30</f>
        <v>2.7821429983000003</v>
      </c>
      <c r="W68" s="513">
        <f>'[15]Emissions By Sector'!Z30</f>
        <v>3.1861557165000001</v>
      </c>
      <c r="X68" s="513">
        <f>'[15]Emissions By Sector'!AA30</f>
        <v>3.6087868587999998</v>
      </c>
      <c r="Y68" s="513">
        <f>'[15]Emissions By Sector'!AB30</f>
        <v>4.0548590742999995</v>
      </c>
      <c r="Z68" s="513">
        <f>'[15]Emissions By Sector'!AC30</f>
        <v>4.4655902158999998</v>
      </c>
      <c r="AA68" s="513">
        <f>'[15]Emissions By Sector'!AD30</f>
        <v>4.8095829514000004</v>
      </c>
      <c r="AB68" s="513">
        <f>'[15]Emissions By Sector'!AE30</f>
        <v>5.2454374523000009</v>
      </c>
      <c r="AC68" s="513">
        <f>'[15]Emissions By Sector'!AF30</f>
        <v>5.7443573324999999</v>
      </c>
      <c r="AD68" s="513">
        <f>'[15]Emissions By Sector'!AG30</f>
        <v>6.2058078010400006</v>
      </c>
      <c r="AE68" s="513">
        <f>'[15]Emissions By Sector'!AH30</f>
        <v>6.5996676259999996</v>
      </c>
      <c r="AF68" s="513">
        <f>'[15]Emissions By Sector'!AI30</f>
        <v>6.9283651099000005</v>
      </c>
      <c r="AG68" s="513">
        <f>'[15]Emissions By Sector'!AJ30</f>
        <v>7.2657620593000001</v>
      </c>
      <c r="AH68" s="513">
        <f>'[15]Emissions By Sector'!AK30</f>
        <v>7.6007563397000011</v>
      </c>
    </row>
    <row r="69" spans="1:34" s="140" customFormat="1" ht="12.6" customHeight="1">
      <c r="A69" s="69" t="s">
        <v>272</v>
      </c>
      <c r="B69" s="133"/>
      <c r="C69" s="133"/>
      <c r="D69" s="133"/>
      <c r="E69" s="133"/>
      <c r="F69" s="133"/>
      <c r="G69" s="133"/>
      <c r="H69" s="133"/>
      <c r="I69" s="133"/>
      <c r="J69" s="133"/>
      <c r="K69" s="133"/>
      <c r="L69" s="133"/>
      <c r="M69" s="133"/>
      <c r="N69" s="133"/>
      <c r="O69" s="133"/>
      <c r="P69" s="133"/>
      <c r="Q69" s="133"/>
      <c r="R69" s="133"/>
      <c r="S69" s="133"/>
      <c r="T69" s="133"/>
      <c r="U69" s="133"/>
      <c r="V69" s="133"/>
      <c r="W69" s="133"/>
      <c r="X69" s="133"/>
      <c r="Y69" s="133"/>
      <c r="Z69" s="133"/>
      <c r="AA69" s="133"/>
      <c r="AB69" s="133"/>
      <c r="AC69" s="133"/>
      <c r="AD69" s="133"/>
      <c r="AE69" s="133"/>
      <c r="AF69" s="133"/>
      <c r="AG69" s="133"/>
    </row>
    <row r="70" spans="1:34" s="140" customFormat="1" ht="12">
      <c r="A70" s="69" t="s">
        <v>273</v>
      </c>
      <c r="B70" s="146"/>
      <c r="C70" s="146"/>
      <c r="D70" s="515"/>
      <c r="E70" s="515"/>
      <c r="F70" s="515"/>
      <c r="G70" s="516"/>
      <c r="H70" s="515"/>
      <c r="I70" s="515"/>
      <c r="J70" s="515"/>
      <c r="K70" s="515"/>
      <c r="L70" s="146"/>
      <c r="M70" s="146"/>
      <c r="N70" s="146"/>
      <c r="O70" s="146"/>
      <c r="P70" s="146"/>
      <c r="Q70" s="146"/>
      <c r="R70" s="146"/>
      <c r="S70" s="146"/>
    </row>
    <row r="71" spans="1:34" s="140" customFormat="1" ht="12">
      <c r="A71" s="563"/>
      <c r="B71" s="146"/>
      <c r="C71" s="146"/>
      <c r="D71" s="146"/>
      <c r="E71" s="146"/>
      <c r="F71" s="146"/>
      <c r="G71" s="146"/>
      <c r="H71" s="146"/>
      <c r="I71" s="146"/>
      <c r="J71" s="146"/>
      <c r="K71" s="146"/>
      <c r="L71" s="146"/>
      <c r="M71" s="146"/>
      <c r="N71" s="146"/>
      <c r="O71" s="146"/>
      <c r="P71" s="146"/>
      <c r="Q71" s="146"/>
      <c r="R71" s="146"/>
      <c r="S71" s="146"/>
    </row>
    <row r="72" spans="1:34" s="140" customFormat="1">
      <c r="A72" s="43" t="s">
        <v>274</v>
      </c>
      <c r="B72" s="146"/>
      <c r="C72" s="146"/>
      <c r="D72" s="146"/>
      <c r="E72" s="146"/>
      <c r="F72" s="146"/>
      <c r="G72" s="146"/>
      <c r="H72" s="146"/>
      <c r="I72" s="146"/>
      <c r="J72" s="146"/>
      <c r="K72" s="146"/>
      <c r="L72" s="146"/>
      <c r="M72" s="146"/>
      <c r="N72" s="146"/>
      <c r="O72" s="146"/>
      <c r="P72" s="146"/>
      <c r="Q72" s="146"/>
      <c r="R72" s="146"/>
      <c r="S72" s="146"/>
    </row>
    <row r="73" spans="1:34" s="140" customFormat="1">
      <c r="A73" s="120" t="s">
        <v>275</v>
      </c>
      <c r="B73" s="43">
        <v>1990</v>
      </c>
      <c r="C73" s="43">
        <v>1991</v>
      </c>
      <c r="D73" s="43">
        <v>1992</v>
      </c>
      <c r="E73" s="43">
        <v>1993</v>
      </c>
      <c r="F73" s="43">
        <v>1994</v>
      </c>
      <c r="G73" s="43">
        <v>1995</v>
      </c>
      <c r="H73" s="43">
        <v>1996</v>
      </c>
      <c r="I73" s="43">
        <v>1997</v>
      </c>
      <c r="J73" s="43">
        <v>1998</v>
      </c>
      <c r="K73" s="43">
        <v>1999</v>
      </c>
      <c r="L73" s="43">
        <v>2000</v>
      </c>
      <c r="M73" s="43">
        <v>2001</v>
      </c>
      <c r="N73" s="43">
        <v>2002</v>
      </c>
      <c r="O73" s="43">
        <v>2003</v>
      </c>
      <c r="P73" s="43">
        <v>2004</v>
      </c>
      <c r="Q73" s="43">
        <v>2005</v>
      </c>
      <c r="R73" s="43">
        <v>2006</v>
      </c>
      <c r="S73" s="43">
        <v>2007</v>
      </c>
      <c r="T73" s="43">
        <v>2008</v>
      </c>
      <c r="U73" s="43">
        <v>2009</v>
      </c>
      <c r="V73" s="43">
        <v>2010</v>
      </c>
      <c r="W73" s="43">
        <v>2011</v>
      </c>
      <c r="X73" s="43">
        <v>2012</v>
      </c>
      <c r="Y73" s="43">
        <v>2013</v>
      </c>
      <c r="Z73" s="43">
        <v>2014</v>
      </c>
      <c r="AA73" s="43">
        <v>2015</v>
      </c>
      <c r="AB73" s="43">
        <v>2016</v>
      </c>
      <c r="AC73" s="43">
        <v>2017</v>
      </c>
      <c r="AD73" s="43">
        <v>2018</v>
      </c>
      <c r="AE73" s="43">
        <v>2019</v>
      </c>
      <c r="AF73" s="43">
        <v>2020</v>
      </c>
      <c r="AG73" s="43">
        <v>2021</v>
      </c>
      <c r="AH73" s="43">
        <v>2022</v>
      </c>
    </row>
    <row r="74" spans="1:34" s="140" customFormat="1">
      <c r="A74" s="127" t="s">
        <v>51</v>
      </c>
      <c r="B74" s="518">
        <f>[15]Summary!C7</f>
        <v>0</v>
      </c>
      <c r="C74" s="518">
        <f>[15]Summary!D7</f>
        <v>0</v>
      </c>
      <c r="D74" s="518">
        <f>[15]Summary!E7</f>
        <v>0</v>
      </c>
      <c r="E74" s="518">
        <f>[15]Summary!F7</f>
        <v>0</v>
      </c>
      <c r="F74" s="518">
        <f>[15]Summary!G7</f>
        <v>0</v>
      </c>
      <c r="G74" s="518">
        <f>[15]Summary!H7</f>
        <v>4.9600000000000002E-4</v>
      </c>
      <c r="H74" s="518">
        <f>[15]Summary!I7</f>
        <v>1.116E-3</v>
      </c>
      <c r="I74" s="518">
        <f>[15]Summary!J7</f>
        <v>2.1080000000000001E-3</v>
      </c>
      <c r="J74" s="518">
        <f>[15]Summary!K7</f>
        <v>3.1000000000000003E-3</v>
      </c>
      <c r="K74" s="518">
        <f>[15]Summary!L7</f>
        <v>4.4640000000000001E-3</v>
      </c>
      <c r="L74" s="518">
        <f>[15]Summary!M7</f>
        <v>5.8279999999999998E-3</v>
      </c>
      <c r="M74" s="518">
        <f>[15]Summary!N7</f>
        <v>7.0680000000000005E-3</v>
      </c>
      <c r="N74" s="518">
        <f>[15]Summary!O7</f>
        <v>8.1840000000000003E-3</v>
      </c>
      <c r="O74" s="518">
        <f>[15]Summary!P7</f>
        <v>9.0519999999999993E-3</v>
      </c>
      <c r="P74" s="518">
        <f>[15]Summary!Q7</f>
        <v>9.92E-3</v>
      </c>
      <c r="Q74" s="518">
        <f>[15]Summary!R7</f>
        <v>1.0912E-2</v>
      </c>
      <c r="R74" s="518">
        <f>[15]Summary!S7</f>
        <v>1.1779999999999999E-2</v>
      </c>
      <c r="S74" s="518">
        <f>[15]Summary!T7</f>
        <v>1.2772E-2</v>
      </c>
      <c r="T74" s="518">
        <f>[15]Summary!U7</f>
        <v>1.3640000000000003E-2</v>
      </c>
      <c r="U74" s="518">
        <f>[15]Summary!V7</f>
        <v>1.4632000000000001E-2</v>
      </c>
      <c r="V74" s="584">
        <f>[15]Summary!W7</f>
        <v>1.5748000000000002E-2</v>
      </c>
      <c r="W74" s="518">
        <f>[15]Summary!X7</f>
        <v>1.6740000000000001E-2</v>
      </c>
      <c r="X74" s="518">
        <f>[15]Summary!Y7</f>
        <v>1.7979999999999999E-2</v>
      </c>
      <c r="Y74" s="518">
        <f>[15]Summary!Z7</f>
        <v>1.9095999999999998E-2</v>
      </c>
      <c r="Z74" s="518">
        <f>[15]Summary!AA7</f>
        <v>2.0336E-2</v>
      </c>
      <c r="AA74" s="518">
        <f>[15]Summary!AB7</f>
        <v>2.1699999999999997E-2</v>
      </c>
      <c r="AB74" s="518">
        <f>[15]Summary!AC7</f>
        <v>2.3063999999999998E-2</v>
      </c>
      <c r="AC74" s="518">
        <f>[15]Summary!AD7</f>
        <v>2.4552000000000001E-2</v>
      </c>
      <c r="AD74" s="518">
        <f>[15]Summary!AE7</f>
        <v>2.6040000000000001E-2</v>
      </c>
      <c r="AE74" s="518">
        <f>[15]Summary!AF7</f>
        <v>2.7651999999999999E-2</v>
      </c>
      <c r="AF74" s="518">
        <f>[15]Summary!AG7</f>
        <v>2.8892000000000001E-2</v>
      </c>
      <c r="AG74" s="518">
        <f>[15]Summary!AH7</f>
        <v>3.0008E-2</v>
      </c>
      <c r="AH74" s="518">
        <f>[15]Summary!AI7</f>
        <v>3.1123999999999999E-2</v>
      </c>
    </row>
    <row r="75" spans="1:34" s="140" customFormat="1">
      <c r="A75" s="127" t="s">
        <v>52</v>
      </c>
      <c r="B75" s="518">
        <f>[15]Summary!C8</f>
        <v>0</v>
      </c>
      <c r="C75" s="518">
        <f>[15]Summary!D8</f>
        <v>0</v>
      </c>
      <c r="D75" s="518">
        <f>[15]Summary!E8</f>
        <v>0</v>
      </c>
      <c r="E75" s="518">
        <f>[15]Summary!F8</f>
        <v>0</v>
      </c>
      <c r="F75" s="518">
        <f>[15]Summary!G8</f>
        <v>0</v>
      </c>
      <c r="G75" s="518">
        <f>[15]Summary!H8</f>
        <v>0</v>
      </c>
      <c r="H75" s="518">
        <f>[15]Summary!I8</f>
        <v>2.7756999999999999E-4</v>
      </c>
      <c r="I75" s="518">
        <f>[15]Summary!J8</f>
        <v>7.8531999999999994E-4</v>
      </c>
      <c r="J75" s="518">
        <f>[15]Summary!K8</f>
        <v>1.668805E-3</v>
      </c>
      <c r="K75" s="518">
        <f>[15]Summary!L8</f>
        <v>3.2292900000000005E-3</v>
      </c>
      <c r="L75" s="518">
        <f>[15]Summary!M8</f>
        <v>1.4852432200000001E-2</v>
      </c>
      <c r="M75" s="518">
        <f>[15]Summary!N8</f>
        <v>3.6958851700000003E-2</v>
      </c>
      <c r="N75" s="518">
        <f>[15]Summary!O8</f>
        <v>7.2061640199999999E-2</v>
      </c>
      <c r="O75" s="518">
        <f>[15]Summary!P8</f>
        <v>0.11921557029999999</v>
      </c>
      <c r="P75" s="518">
        <f>[15]Summary!Q8</f>
        <v>0.18154553860000003</v>
      </c>
      <c r="Q75" s="518">
        <f>[15]Summary!R8</f>
        <v>0.26898516610000006</v>
      </c>
      <c r="R75" s="518">
        <f>[15]Summary!S8</f>
        <v>0.43625006670000005</v>
      </c>
      <c r="S75" s="518">
        <f>[15]Summary!T8</f>
        <v>0.62499597419999986</v>
      </c>
      <c r="T75" s="518">
        <f>[15]Summary!U8</f>
        <v>0.82286025929999984</v>
      </c>
      <c r="U75" s="518">
        <f>[15]Summary!V8</f>
        <v>1.0577584076999997</v>
      </c>
      <c r="V75" s="584">
        <f>[15]Summary!W8</f>
        <v>1.4722024398000002</v>
      </c>
      <c r="W75" s="518">
        <f>[15]Summary!X8</f>
        <v>1.8929634911999997</v>
      </c>
      <c r="X75" s="518">
        <f>[15]Summary!Y8</f>
        <v>2.3471526362000001</v>
      </c>
      <c r="Y75" s="518">
        <f>[15]Summary!Z8</f>
        <v>2.8574548585000001</v>
      </c>
      <c r="Z75" s="518">
        <f>[15]Summary!AA8</f>
        <v>3.4090271362000006</v>
      </c>
      <c r="AA75" s="518">
        <f>[15]Summary!AB8</f>
        <v>3.9822211690999998</v>
      </c>
      <c r="AB75" s="518">
        <f>[15]Summary!AC8</f>
        <v>4.6350615439999991</v>
      </c>
      <c r="AC75" s="518">
        <f>[15]Summary!AD8</f>
        <v>5.3449594111999996</v>
      </c>
      <c r="AD75" s="518">
        <f>[15]Summary!AE8</f>
        <v>6.0981443198999985</v>
      </c>
      <c r="AE75" s="518">
        <f>[15]Summary!AF8</f>
        <v>6.8752982037300008</v>
      </c>
      <c r="AF75" s="518">
        <f>[15]Summary!AG8</f>
        <v>7.7587980097199987</v>
      </c>
      <c r="AG75" s="518">
        <f>[15]Summary!AH8</f>
        <v>9.4495942850600017</v>
      </c>
      <c r="AH75" s="518">
        <f>[15]Summary!AI8</f>
        <v>10.54928939006</v>
      </c>
    </row>
    <row r="76" spans="1:34" s="140" customFormat="1">
      <c r="A76" s="127" t="s">
        <v>53</v>
      </c>
      <c r="B76" s="518">
        <f>[15]Summary!C9</f>
        <v>1.2553200000000003E-4</v>
      </c>
      <c r="C76" s="518">
        <f>[15]Summary!D9</f>
        <v>3.0685599999999999E-4</v>
      </c>
      <c r="D76" s="518">
        <f>[15]Summary!E9</f>
        <v>5.8581600000000007E-4</v>
      </c>
      <c r="E76" s="518">
        <f>[15]Summary!F9</f>
        <v>0.10884543699999999</v>
      </c>
      <c r="F76" s="518">
        <f>[15]Summary!G9</f>
        <v>0.28822844600000003</v>
      </c>
      <c r="G76" s="518">
        <f>[15]Summary!H9</f>
        <v>0.60855916499999985</v>
      </c>
      <c r="H76" s="518">
        <f>[15]Summary!I9</f>
        <v>1.0327802939999997</v>
      </c>
      <c r="I76" s="518">
        <f>[15]Summary!J9</f>
        <v>1.5899578799999998</v>
      </c>
      <c r="J76" s="518">
        <f>[15]Summary!K9</f>
        <v>2.0752579349999998</v>
      </c>
      <c r="K76" s="518">
        <f>[15]Summary!L9</f>
        <v>2.7131481590000002</v>
      </c>
      <c r="L76" s="518">
        <f>[15]Summary!M9</f>
        <v>3.2360098610000003</v>
      </c>
      <c r="M76" s="518">
        <f>[15]Summary!N9</f>
        <v>3.9214440620000004</v>
      </c>
      <c r="N76" s="518">
        <f>[15]Summary!O9</f>
        <v>4.7384364330000004</v>
      </c>
      <c r="O76" s="518">
        <f>[15]Summary!P9</f>
        <v>5.6319259760000007</v>
      </c>
      <c r="P76" s="518">
        <f>[15]Summary!Q9</f>
        <v>6.543824976999999</v>
      </c>
      <c r="Q76" s="518">
        <f>[15]Summary!R9</f>
        <v>8.1800022177999985</v>
      </c>
      <c r="R76" s="518">
        <f>[15]Summary!S9</f>
        <v>10.275461643499998</v>
      </c>
      <c r="S76" s="518">
        <f>[15]Summary!T9</f>
        <v>12.9914744681</v>
      </c>
      <c r="T76" s="518">
        <f>[15]Summary!U9</f>
        <v>15.904414381400002</v>
      </c>
      <c r="U76" s="518">
        <f>[15]Summary!V9</f>
        <v>19.164602307900005</v>
      </c>
      <c r="V76" s="584">
        <f>[15]Summary!W9</f>
        <v>22.9078388603</v>
      </c>
      <c r="W76" s="518">
        <f>[15]Summary!X9</f>
        <v>26.500647310499993</v>
      </c>
      <c r="X76" s="518">
        <f>[15]Summary!Y9</f>
        <v>29.773168597500003</v>
      </c>
      <c r="Y76" s="518">
        <f>[15]Summary!Z9</f>
        <v>33.102782852499999</v>
      </c>
      <c r="Z76" s="518">
        <f>[15]Summary!AA9</f>
        <v>36.3601703693</v>
      </c>
      <c r="AA76" s="518">
        <f>[15]Summary!AB9</f>
        <v>39.429553047699997</v>
      </c>
      <c r="AB76" s="518">
        <f>[15]Summary!AC9</f>
        <v>42.649111496300002</v>
      </c>
      <c r="AC76" s="518">
        <f>[15]Summary!AD9</f>
        <v>45.555883160200004</v>
      </c>
      <c r="AD76" s="518">
        <f>[15]Summary!AE9</f>
        <v>48.837412128999993</v>
      </c>
      <c r="AE76" s="518">
        <f>[15]Summary!AF9</f>
        <v>53.130985375700028</v>
      </c>
      <c r="AF76" s="518">
        <f>[15]Summary!AG9</f>
        <v>57.8209205868</v>
      </c>
      <c r="AG76" s="518">
        <f>[15]Summary!AH9</f>
        <v>66.280008463400009</v>
      </c>
      <c r="AH76" s="518">
        <f>[15]Summary!AI9</f>
        <v>71.970131201399994</v>
      </c>
    </row>
    <row r="77" spans="1:34" s="140" customFormat="1">
      <c r="A77" s="127" t="s">
        <v>54</v>
      </c>
      <c r="B77" s="518">
        <f>[15]Summary!C10</f>
        <v>4.6799999999999992E-6</v>
      </c>
      <c r="C77" s="518">
        <f>[15]Summary!D10</f>
        <v>1.1439999999999999E-5</v>
      </c>
      <c r="D77" s="518">
        <f>[15]Summary!E10</f>
        <v>1.0926198400000002</v>
      </c>
      <c r="E77" s="518">
        <f>[15]Summary!F10</f>
        <v>4.7192641600000007</v>
      </c>
      <c r="F77" s="518">
        <f>[15]Summary!G10</f>
        <v>12.190226359999997</v>
      </c>
      <c r="G77" s="518">
        <f>[15]Summary!H10</f>
        <v>26.267544679999997</v>
      </c>
      <c r="H77" s="518">
        <f>[15]Summary!I10</f>
        <v>35.553810759999998</v>
      </c>
      <c r="I77" s="518">
        <f>[15]Summary!J10</f>
        <v>44.600364250000005</v>
      </c>
      <c r="J77" s="518">
        <f>[15]Summary!K10</f>
        <v>50.441291810000003</v>
      </c>
      <c r="K77" s="518">
        <f>[15]Summary!L10</f>
        <v>56.665955189999984</v>
      </c>
      <c r="L77" s="518">
        <f>[15]Summary!M10</f>
        <v>62.329689890000033</v>
      </c>
      <c r="M77" s="518">
        <f>[15]Summary!N10</f>
        <v>67.20710892999999</v>
      </c>
      <c r="N77" s="518">
        <f>[15]Summary!O10</f>
        <v>69.384314870000026</v>
      </c>
      <c r="O77" s="518">
        <f>[15]Summary!P10</f>
        <v>70.952757200000008</v>
      </c>
      <c r="P77" s="518">
        <f>[15]Summary!Q10</f>
        <v>72.272589869999976</v>
      </c>
      <c r="Q77" s="518">
        <f>[15]Summary!R10</f>
        <v>72.837901630000005</v>
      </c>
      <c r="R77" s="518">
        <f>[15]Summary!S10</f>
        <v>74.701890835</v>
      </c>
      <c r="S77" s="518">
        <f>[15]Summary!T10</f>
        <v>76.47305412499999</v>
      </c>
      <c r="T77" s="518">
        <f>[15]Summary!U10</f>
        <v>78.553679619999997</v>
      </c>
      <c r="U77" s="518">
        <f>[15]Summary!V10</f>
        <v>80.955556565000023</v>
      </c>
      <c r="V77" s="584">
        <f>[15]Summary!W10</f>
        <v>81.016010205000001</v>
      </c>
      <c r="W77" s="518">
        <f>[15]Summary!X10</f>
        <v>77.14897742499997</v>
      </c>
      <c r="X77" s="518">
        <f>[15]Summary!Y10</f>
        <v>73.241725635000009</v>
      </c>
      <c r="Y77" s="518">
        <f>[15]Summary!Z10</f>
        <v>69.164755075000031</v>
      </c>
      <c r="Z77" s="518">
        <f>[15]Summary!AA10</f>
        <v>67.678928784999982</v>
      </c>
      <c r="AA77" s="518">
        <f>[15]Summary!AB10</f>
        <v>66.533415845000007</v>
      </c>
      <c r="AB77" s="518">
        <f>[15]Summary!AC10</f>
        <v>62.838620714999983</v>
      </c>
      <c r="AC77" s="518">
        <f>[15]Summary!AD10</f>
        <v>58.842611749999996</v>
      </c>
      <c r="AD77" s="518">
        <f>[15]Summary!AE10</f>
        <v>56.445197639999996</v>
      </c>
      <c r="AE77" s="518">
        <f>[15]Summary!AF10</f>
        <v>55.325938602999983</v>
      </c>
      <c r="AF77" s="518">
        <f>[15]Summary!AG10</f>
        <v>54.066426231999984</v>
      </c>
      <c r="AG77" s="518">
        <f>[15]Summary!AH10</f>
        <v>49.981457785999979</v>
      </c>
      <c r="AH77" s="518">
        <f>[15]Summary!AI10</f>
        <v>48.316806356000001</v>
      </c>
    </row>
    <row r="78" spans="1:34" s="140" customFormat="1">
      <c r="A78" s="127" t="s">
        <v>55</v>
      </c>
      <c r="B78" s="518">
        <f>[15]Summary!C11</f>
        <v>2.2464000000000002E-4</v>
      </c>
      <c r="C78" s="518">
        <f>[15]Summary!D11</f>
        <v>5.4912000000000006E-4</v>
      </c>
      <c r="D78" s="518">
        <f>[15]Summary!E11</f>
        <v>1.0483200000000002E-3</v>
      </c>
      <c r="E78" s="518">
        <f>[15]Summary!F11</f>
        <v>7.841184000000001E-2</v>
      </c>
      <c r="F78" s="518">
        <f>[15]Summary!G11</f>
        <v>0.21753311999999997</v>
      </c>
      <c r="G78" s="518">
        <f>[15]Summary!H11</f>
        <v>0.54125279999999998</v>
      </c>
      <c r="H78" s="518">
        <f>[15]Summary!I11</f>
        <v>1.00370688</v>
      </c>
      <c r="I78" s="518">
        <f>[15]Summary!J11</f>
        <v>1.6558176000000002</v>
      </c>
      <c r="J78" s="518">
        <f>[15]Summary!K11</f>
        <v>2.3929488000000001</v>
      </c>
      <c r="K78" s="518">
        <f>[15]Summary!L11</f>
        <v>3.4081996800000001</v>
      </c>
      <c r="L78" s="518">
        <f>[15]Summary!M11</f>
        <v>4.1873299199999998</v>
      </c>
      <c r="M78" s="518">
        <f>[15]Summary!N11</f>
        <v>5.1551270400000009</v>
      </c>
      <c r="N78" s="518">
        <f>[15]Summary!O11</f>
        <v>6.2337273599999987</v>
      </c>
      <c r="O78" s="518">
        <f>[15]Summary!P11</f>
        <v>7.3408819200000028</v>
      </c>
      <c r="P78" s="518">
        <f>[15]Summary!Q11</f>
        <v>8.3460422400000009</v>
      </c>
      <c r="Q78" s="518">
        <f>[15]Summary!R11</f>
        <v>10.047108480000002</v>
      </c>
      <c r="R78" s="518">
        <f>[15]Summary!S11</f>
        <v>11.90343552</v>
      </c>
      <c r="S78" s="518">
        <f>[15]Summary!T11</f>
        <v>14.009003519999998</v>
      </c>
      <c r="T78" s="518">
        <f>[15]Summary!U11</f>
        <v>16.404173759999995</v>
      </c>
      <c r="U78" s="518">
        <f>[15]Summary!V11</f>
        <v>19.153464000000003</v>
      </c>
      <c r="V78" s="584">
        <f>[15]Summary!W11</f>
        <v>21.707222399999999</v>
      </c>
      <c r="W78" s="518">
        <f>[15]Summary!X11</f>
        <v>23.962344000000002</v>
      </c>
      <c r="X78" s="518">
        <f>[15]Summary!Y11</f>
        <v>25.902632640000011</v>
      </c>
      <c r="Y78" s="518">
        <f>[15]Summary!Z11</f>
        <v>27.577655039999993</v>
      </c>
      <c r="Z78" s="518">
        <f>[15]Summary!AA11</f>
        <v>28.836270719999995</v>
      </c>
      <c r="AA78" s="518">
        <f>[15]Summary!AB11</f>
        <v>29.655021120000011</v>
      </c>
      <c r="AB78" s="518">
        <f>[15]Summary!AC11</f>
        <v>30.335327039999999</v>
      </c>
      <c r="AC78" s="518">
        <f>[15]Summary!AD11</f>
        <v>30.069006720000004</v>
      </c>
      <c r="AD78" s="518">
        <f>[15]Summary!AE11</f>
        <v>29.704506239999997</v>
      </c>
      <c r="AE78" s="518">
        <f>[15]Summary!AF11</f>
        <v>29.901741120000008</v>
      </c>
      <c r="AF78" s="518">
        <f>[15]Summary!AG11</f>
        <v>29.921515200000005</v>
      </c>
      <c r="AG78" s="518">
        <f>[15]Summary!AH11</f>
        <v>29.950957440000003</v>
      </c>
      <c r="AH78" s="518">
        <f>[15]Summary!AI11</f>
        <v>29.775922560000001</v>
      </c>
    </row>
    <row r="79" spans="1:34" s="140" customFormat="1">
      <c r="A79" s="127" t="s">
        <v>56</v>
      </c>
      <c r="B79" s="518">
        <f>[15]Summary!C12</f>
        <v>0</v>
      </c>
      <c r="C79" s="518">
        <f>[15]Summary!D12</f>
        <v>0</v>
      </c>
      <c r="D79" s="518">
        <f>[15]Summary!E12</f>
        <v>0</v>
      </c>
      <c r="E79" s="518">
        <f>[15]Summary!F12</f>
        <v>5.81126E-2</v>
      </c>
      <c r="F79" s="518">
        <f>[15]Summary!G12</f>
        <v>0.17562740000000002</v>
      </c>
      <c r="G79" s="518">
        <f>[15]Summary!H12</f>
        <v>0.29185260000000002</v>
      </c>
      <c r="H79" s="518">
        <f>[15]Summary!I12</f>
        <v>0.36439260000000001</v>
      </c>
      <c r="I79" s="518">
        <f>[15]Summary!J12</f>
        <v>0.44757180000000002</v>
      </c>
      <c r="J79" s="518">
        <f>[15]Summary!K12</f>
        <v>0.53566760000000013</v>
      </c>
      <c r="K79" s="518">
        <f>[15]Summary!L12</f>
        <v>0.62964719999999996</v>
      </c>
      <c r="L79" s="518">
        <f>[15]Summary!M12</f>
        <v>0.71871020000000008</v>
      </c>
      <c r="M79" s="518">
        <f>[15]Summary!N12</f>
        <v>0.80277599999999993</v>
      </c>
      <c r="N79" s="518">
        <f>[15]Summary!O12</f>
        <v>0.88184459999999987</v>
      </c>
      <c r="O79" s="518">
        <f>[15]Summary!P12</f>
        <v>0.94551859999999999</v>
      </c>
      <c r="P79" s="518">
        <f>[15]Summary!Q12</f>
        <v>0.99315319999999985</v>
      </c>
      <c r="Q79" s="518">
        <f>[15]Summary!R12</f>
        <v>1.0239423999999999</v>
      </c>
      <c r="R79" s="518">
        <f>[15]Summary!S12</f>
        <v>1.0489284000000001</v>
      </c>
      <c r="S79" s="518">
        <f>[15]Summary!T12</f>
        <v>1.0678693999999997</v>
      </c>
      <c r="T79" s="518">
        <f>[15]Summary!U12</f>
        <v>1.0808460000000002</v>
      </c>
      <c r="U79" s="518">
        <f>[15]Summary!V12</f>
        <v>1.0879388000000003</v>
      </c>
      <c r="V79" s="584">
        <f>[15]Summary!W12</f>
        <v>1.0954345999999999</v>
      </c>
      <c r="W79" s="518">
        <f>[15]Summary!X12</f>
        <v>1.1032527999999999</v>
      </c>
      <c r="X79" s="518">
        <f>[15]Summary!Y12</f>
        <v>1.1112321999999999</v>
      </c>
      <c r="Y79" s="518">
        <f>[15]Summary!Z12</f>
        <v>1.1332360000000001</v>
      </c>
      <c r="Z79" s="518">
        <f>[15]Summary!AA12</f>
        <v>1.0997064000000001</v>
      </c>
      <c r="AA79" s="518">
        <f>[15]Summary!AB12</f>
        <v>0.99258900000000005</v>
      </c>
      <c r="AB79" s="518">
        <f>[15]Summary!AC12</f>
        <v>0.92947919999999995</v>
      </c>
      <c r="AC79" s="518">
        <f>[15]Summary!AD12</f>
        <v>0.86636939999999973</v>
      </c>
      <c r="AD79" s="518">
        <f>[15]Summary!AE12</f>
        <v>0.79745640000000007</v>
      </c>
      <c r="AE79" s="518">
        <f>[15]Summary!AF12</f>
        <v>0.73458840000000003</v>
      </c>
      <c r="AF79" s="518">
        <f>[15]Summary!AG12</f>
        <v>0.67808779999999991</v>
      </c>
      <c r="AG79" s="518">
        <f>[15]Summary!AH12</f>
        <v>0.62771279999999996</v>
      </c>
      <c r="AH79" s="518">
        <f>[15]Summary!AI12</f>
        <v>0.58362459999999994</v>
      </c>
    </row>
    <row r="80" spans="1:34" s="140" customFormat="1" ht="13.5">
      <c r="A80" s="127" t="s">
        <v>132</v>
      </c>
      <c r="B80" s="518">
        <f>[15]Summary!C13</f>
        <v>0</v>
      </c>
      <c r="C80" s="518">
        <f>[15]Summary!D13</f>
        <v>0</v>
      </c>
      <c r="D80" s="518">
        <f>[15]Summary!E13</f>
        <v>0</v>
      </c>
      <c r="E80" s="518">
        <f>[15]Summary!F13</f>
        <v>0</v>
      </c>
      <c r="F80" s="518">
        <f>[15]Summary!G13</f>
        <v>2.3867999999999999E-5</v>
      </c>
      <c r="G80" s="518">
        <f>[15]Summary!H13</f>
        <v>7.6907999999999989E-5</v>
      </c>
      <c r="H80" s="518">
        <f>[15]Summary!I13</f>
        <v>6.9747600000000004E-4</v>
      </c>
      <c r="I80" s="518">
        <f>[15]Summary!J13</f>
        <v>1.9200480000000002E-3</v>
      </c>
      <c r="J80" s="518">
        <f>[15]Summary!K13</f>
        <v>3.7844039999999999E-3</v>
      </c>
      <c r="K80" s="518">
        <f>[15]Summary!L13</f>
        <v>6.3223680000000001E-3</v>
      </c>
      <c r="L80" s="518">
        <f>[15]Summary!M13</f>
        <v>9.5525040000000016E-3</v>
      </c>
      <c r="M80" s="518">
        <f>[15]Summary!N13</f>
        <v>1.2854243999999999E-2</v>
      </c>
      <c r="N80" s="518">
        <f>[15]Summary!O13</f>
        <v>1.5689232000000001E-2</v>
      </c>
      <c r="O80" s="518">
        <f>[15]Summary!P13</f>
        <v>1.8020339999999999E-2</v>
      </c>
      <c r="P80" s="518">
        <f>[15]Summary!Q13</f>
        <v>1.9821048000000001E-2</v>
      </c>
      <c r="Q80" s="518">
        <f>[15]Summary!R13</f>
        <v>2.1054228000000001E-2</v>
      </c>
      <c r="R80" s="518">
        <f>[15]Summary!S13</f>
        <v>2.1688056000000001E-2</v>
      </c>
      <c r="S80" s="518">
        <f>[15]Summary!T13</f>
        <v>2.2337796000000004E-2</v>
      </c>
      <c r="T80" s="518">
        <f>[15]Summary!U13</f>
        <v>2.3008752E-2</v>
      </c>
      <c r="U80" s="518">
        <f>[15]Summary!V13</f>
        <v>2.3698272000000003E-2</v>
      </c>
      <c r="V80" s="584">
        <f>[15]Summary!W13</f>
        <v>2.4409008000000003E-2</v>
      </c>
      <c r="W80" s="518">
        <f>[15]Summary!X13</f>
        <v>2.5140959999999997E-2</v>
      </c>
      <c r="X80" s="518">
        <f>[15]Summary!Y13</f>
        <v>2.5896779999999998E-2</v>
      </c>
      <c r="Y80" s="518">
        <f>[15]Summary!Z13</f>
        <v>2.6673815999999999E-2</v>
      </c>
      <c r="Z80" s="518">
        <f>[15]Summary!AA13</f>
        <v>2.7472068000000002E-2</v>
      </c>
      <c r="AA80" s="518">
        <f>[15]Summary!AB13</f>
        <v>2.8296839999999997E-2</v>
      </c>
      <c r="AB80" s="518">
        <f>[15]Summary!AC13</f>
        <v>2.9145479999999998E-2</v>
      </c>
      <c r="AC80" s="518">
        <f>[15]Summary!AD13</f>
        <v>3.0020640000000008E-2</v>
      </c>
      <c r="AD80" s="518">
        <f>[15]Summary!AE13</f>
        <v>3.0919668000000004E-2</v>
      </c>
      <c r="AE80" s="518">
        <f>[15]Summary!AF13</f>
        <v>3.1847867999999994E-2</v>
      </c>
      <c r="AF80" s="518">
        <f>[15]Summary!AG13</f>
        <v>2.9596319999999995E-2</v>
      </c>
      <c r="AG80" s="518">
        <f>[15]Summary!AH13</f>
        <v>2.7278471999999998E-2</v>
      </c>
      <c r="AH80" s="518">
        <f>[15]Summary!AI13</f>
        <v>2.4889020000000001E-2</v>
      </c>
    </row>
    <row r="81" spans="1:34" s="140" customFormat="1" ht="14.25">
      <c r="A81" s="127" t="s">
        <v>183</v>
      </c>
      <c r="B81" s="518">
        <f>[15]Summary!C14</f>
        <v>1.38E-5</v>
      </c>
      <c r="C81" s="518">
        <f>[15]Summary!D14</f>
        <v>2.211E-5</v>
      </c>
      <c r="D81" s="518">
        <f>[15]Summary!E14</f>
        <v>3.074E-5</v>
      </c>
      <c r="E81" s="518">
        <f>[15]Summary!F14</f>
        <v>3.9719999999999999E-5</v>
      </c>
      <c r="F81" s="518">
        <f>[15]Summary!G14</f>
        <v>4.9030000000000003E-5</v>
      </c>
      <c r="G81" s="518">
        <f>[15]Summary!H14</f>
        <v>1.2290000000000001E-4</v>
      </c>
      <c r="H81" s="518">
        <f>[15]Summary!I14</f>
        <v>2.3609E-4</v>
      </c>
      <c r="I81" s="518">
        <f>[15]Summary!J14</f>
        <v>3.5386E-4</v>
      </c>
      <c r="J81" s="518">
        <f>[15]Summary!K14</f>
        <v>4.7645000000000001E-4</v>
      </c>
      <c r="K81" s="518">
        <f>[15]Summary!L14</f>
        <v>6.2036000000000003E-4</v>
      </c>
      <c r="L81" s="518">
        <f>[15]Summary!M14</f>
        <v>6.7773999999999992E-4</v>
      </c>
      <c r="M81" s="518">
        <f>[15]Summary!N14</f>
        <v>7.1274999999999984E-4</v>
      </c>
      <c r="N81" s="518">
        <f>[15]Summary!O14</f>
        <v>9.2742499999999995E-4</v>
      </c>
      <c r="O81" s="518">
        <f>[15]Summary!P14</f>
        <v>1.1751599999999997E-3</v>
      </c>
      <c r="P81" s="518">
        <f>[15]Summary!Q14</f>
        <v>1.24927E-3</v>
      </c>
      <c r="Q81" s="518">
        <f>[15]Summary!R14</f>
        <v>1.3245750000000001E-3</v>
      </c>
      <c r="R81" s="518">
        <f>[15]Summary!S14</f>
        <v>1.4029599999999998E-3</v>
      </c>
      <c r="S81" s="518">
        <f>[15]Summary!T14</f>
        <v>1.4840249999999997E-3</v>
      </c>
      <c r="T81" s="518">
        <f>[15]Summary!U14</f>
        <v>1.5682449999999998E-3</v>
      </c>
      <c r="U81" s="518">
        <f>[15]Summary!V14</f>
        <v>1.725405E-3</v>
      </c>
      <c r="V81" s="584">
        <f>[15]Summary!W14</f>
        <v>1.9132050000000001E-3</v>
      </c>
      <c r="W81" s="518">
        <f>[15]Summary!X14</f>
        <v>2.038485E-3</v>
      </c>
      <c r="X81" s="518">
        <f>[15]Summary!Y14</f>
        <v>2.13583E-3</v>
      </c>
      <c r="Y81" s="518">
        <f>[15]Summary!Z14</f>
        <v>2.2524850000000003E-3</v>
      </c>
      <c r="Z81" s="518">
        <f>[15]Summary!AA14</f>
        <v>2.3847949999999999E-3</v>
      </c>
      <c r="AA81" s="518">
        <f>[15]Summary!AB14</f>
        <v>2.5192350000000007E-3</v>
      </c>
      <c r="AB81" s="518">
        <f>[15]Summary!AC14</f>
        <v>2.7010700000000003E-3</v>
      </c>
      <c r="AC81" s="518">
        <f>[15]Summary!AD14</f>
        <v>2.8791400000000001E-3</v>
      </c>
      <c r="AD81" s="518">
        <f>[15]Summary!AE14</f>
        <v>3.0927049999999998E-3</v>
      </c>
      <c r="AE81" s="518">
        <f>[15]Summary!AF14</f>
        <v>3.3028500000000004E-3</v>
      </c>
      <c r="AF81" s="518">
        <f>[15]Summary!AG14</f>
        <v>3.5160850000000004E-3</v>
      </c>
      <c r="AG81" s="518">
        <f>[15]Summary!AH14</f>
        <v>3.7336650000000002E-3</v>
      </c>
      <c r="AH81" s="518">
        <f>[15]Summary!AI14</f>
        <v>3.9694649999999993E-3</v>
      </c>
    </row>
    <row r="82" spans="1:34" s="140" customFormat="1">
      <c r="A82" s="127" t="s">
        <v>58</v>
      </c>
      <c r="B82" s="518">
        <f>SUM([15]Summary!C15:C16)</f>
        <v>0.25243070400000006</v>
      </c>
      <c r="C82" s="518">
        <f>SUM([15]Summary!D15:D16)</f>
        <v>0.5310365304000001</v>
      </c>
      <c r="D82" s="518">
        <f>SUM([15]Summary!E15:E16)</f>
        <v>0.53543078159999991</v>
      </c>
      <c r="E82" s="518">
        <f>SUM([15]Summary!F15:F16)</f>
        <v>0.54546035939999993</v>
      </c>
      <c r="F82" s="518">
        <f>SUM([15]Summary!G15:G16)</f>
        <v>0.58792867519999992</v>
      </c>
      <c r="G82" s="518">
        <f>SUM([15]Summary!H15:H16)</f>
        <v>1.7350753377999999</v>
      </c>
      <c r="H82" s="518">
        <f>SUM([15]Summary!I15:I16)</f>
        <v>3.1763570041999998</v>
      </c>
      <c r="I82" s="518">
        <f>SUM([15]Summary!J15:J16)</f>
        <v>3.8869286285999998</v>
      </c>
      <c r="J82" s="518">
        <f>SUM([15]Summary!K15:K16)</f>
        <v>4.6206345903999999</v>
      </c>
      <c r="K82" s="518">
        <f>SUM([15]Summary!L15:L16)</f>
        <v>4.856552819</v>
      </c>
      <c r="L82" s="518">
        <f>SUM([15]Summary!M15:M16)</f>
        <v>4.7398774499999998</v>
      </c>
      <c r="M82" s="518">
        <f>SUM([15]Summary!N15:N16)</f>
        <v>4.7565691547999993</v>
      </c>
      <c r="N82" s="518">
        <f>SUM([15]Summary!O15:O16)</f>
        <v>5.4106946954000001</v>
      </c>
      <c r="O82" s="518">
        <f>SUM([15]Summary!P15:P16)</f>
        <v>6.1737319125999992</v>
      </c>
      <c r="P82" s="518">
        <f>SUM([15]Summary!Q15:Q16)</f>
        <v>6.6382699029999994</v>
      </c>
      <c r="Q82" s="518">
        <f>SUM([15]Summary!R15:R16)</f>
        <v>7.0892773303999999</v>
      </c>
      <c r="R82" s="518">
        <f>SUM([15]Summary!S15:S16)</f>
        <v>7.4475745598000005</v>
      </c>
      <c r="S82" s="518">
        <f>SUM([15]Summary!T15:T16)</f>
        <v>7.8872833016000001</v>
      </c>
      <c r="T82" s="518">
        <f>SUM([15]Summary!U15:U16)</f>
        <v>8.2957765545999997</v>
      </c>
      <c r="U82" s="518">
        <f>SUM([15]Summary!V15:V16)</f>
        <v>8.8930453893999992</v>
      </c>
      <c r="V82" s="584">
        <f>SUM([15]Summary!W15:W16)</f>
        <v>9.5573961245999985</v>
      </c>
      <c r="W82" s="518">
        <f>SUM([15]Summary!X15:X16)</f>
        <v>10.226375255399999</v>
      </c>
      <c r="X82" s="518">
        <f>SUM([15]Summary!Y15:Y16)</f>
        <v>10.889244312400002</v>
      </c>
      <c r="Y82" s="518">
        <f>SUM([15]Summary!Z15:Z16)</f>
        <v>11.558749500600001</v>
      </c>
      <c r="Z82" s="518">
        <f>SUM([15]Summary!AA15:AA16)</f>
        <v>12.179584697999998</v>
      </c>
      <c r="AA82" s="518">
        <f>SUM([15]Summary!AB15:AB16)</f>
        <v>13.4427281632</v>
      </c>
      <c r="AB82" s="518">
        <f>SUM([15]Summary!AC15:AC16)</f>
        <v>14.410693435199997</v>
      </c>
      <c r="AC82" s="518">
        <f>SUM([15]Summary!AD15:AD16)</f>
        <v>15.467112609740001</v>
      </c>
      <c r="AD82" s="518">
        <f>SUM([15]Summary!AE15:AE16)</f>
        <v>15.95098730858</v>
      </c>
      <c r="AE82" s="518">
        <f>SUM([15]Summary!AF15:AF16)</f>
        <v>16.069895970649998</v>
      </c>
      <c r="AF82" s="518">
        <f>SUM([15]Summary!AG15:AG16)</f>
        <v>15.92101515958</v>
      </c>
      <c r="AG82" s="518">
        <f>SUM([15]Summary!AH15:AH16)</f>
        <v>16.32038702338</v>
      </c>
      <c r="AH82" s="518">
        <f>SUM([15]Summary!AI15:AI16)</f>
        <v>16.87831043896</v>
      </c>
    </row>
    <row r="83" spans="1:34">
      <c r="A83" s="120"/>
      <c r="B83" s="532">
        <f>SUM(B74:B82)-SUM(B46,B50:B53)</f>
        <v>0</v>
      </c>
      <c r="C83" s="532">
        <f t="shared" ref="C83:AH83" si="9">SUM(C74:C82)-SUM(C46,C50:C53)</f>
        <v>0</v>
      </c>
      <c r="D83" s="532">
        <f t="shared" si="9"/>
        <v>0</v>
      </c>
      <c r="E83" s="532">
        <f t="shared" si="9"/>
        <v>0</v>
      </c>
      <c r="F83" s="532">
        <f t="shared" si="9"/>
        <v>0</v>
      </c>
      <c r="G83" s="532">
        <f t="shared" si="9"/>
        <v>0</v>
      </c>
      <c r="H83" s="532">
        <f t="shared" si="9"/>
        <v>0</v>
      </c>
      <c r="I83" s="532">
        <f t="shared" si="9"/>
        <v>0</v>
      </c>
      <c r="J83" s="532">
        <f t="shared" si="9"/>
        <v>0</v>
      </c>
      <c r="K83" s="532">
        <f t="shared" si="9"/>
        <v>0</v>
      </c>
      <c r="L83" s="532">
        <f t="shared" si="9"/>
        <v>0</v>
      </c>
      <c r="M83" s="532">
        <f t="shared" si="9"/>
        <v>0</v>
      </c>
      <c r="N83" s="532">
        <f t="shared" si="9"/>
        <v>0</v>
      </c>
      <c r="O83" s="532">
        <f t="shared" si="9"/>
        <v>0</v>
      </c>
      <c r="P83" s="532">
        <f t="shared" si="9"/>
        <v>0</v>
      </c>
      <c r="Q83" s="532">
        <f t="shared" si="9"/>
        <v>0</v>
      </c>
      <c r="R83" s="532">
        <f t="shared" si="9"/>
        <v>0</v>
      </c>
      <c r="S83" s="532">
        <f t="shared" si="9"/>
        <v>0</v>
      </c>
      <c r="T83" s="532">
        <f t="shared" si="9"/>
        <v>0</v>
      </c>
      <c r="U83" s="532">
        <f t="shared" si="9"/>
        <v>0</v>
      </c>
      <c r="V83" s="532">
        <f t="shared" si="9"/>
        <v>0</v>
      </c>
      <c r="W83" s="532">
        <f t="shared" si="9"/>
        <v>0</v>
      </c>
      <c r="X83" s="532">
        <f t="shared" si="9"/>
        <v>0</v>
      </c>
      <c r="Y83" s="532">
        <f t="shared" si="9"/>
        <v>0</v>
      </c>
      <c r="Z83" s="532">
        <f t="shared" si="9"/>
        <v>0</v>
      </c>
      <c r="AA83" s="532">
        <f t="shared" si="9"/>
        <v>0</v>
      </c>
      <c r="AB83" s="532">
        <f t="shared" si="9"/>
        <v>0</v>
      </c>
      <c r="AC83" s="532">
        <f t="shared" si="9"/>
        <v>0</v>
      </c>
      <c r="AD83" s="532">
        <f t="shared" si="9"/>
        <v>0</v>
      </c>
      <c r="AE83" s="532">
        <f t="shared" si="9"/>
        <v>0</v>
      </c>
      <c r="AF83" s="532">
        <f t="shared" si="9"/>
        <v>0</v>
      </c>
      <c r="AG83" s="532">
        <f t="shared" si="9"/>
        <v>0</v>
      </c>
      <c r="AH83" s="532">
        <f t="shared" si="9"/>
        <v>0</v>
      </c>
    </row>
    <row r="84" spans="1:34" s="140" customFormat="1" ht="12">
      <c r="A84" s="586" t="s">
        <v>276</v>
      </c>
      <c r="B84" s="146"/>
      <c r="C84" s="146"/>
      <c r="D84" s="146"/>
      <c r="E84" s="146"/>
      <c r="F84" s="146"/>
      <c r="G84" s="146"/>
      <c r="H84" s="146"/>
      <c r="I84" s="146"/>
      <c r="J84" s="146"/>
      <c r="K84" s="146"/>
      <c r="L84" s="146"/>
      <c r="M84" s="146"/>
      <c r="N84" s="146"/>
      <c r="O84" s="146"/>
      <c r="P84" s="146"/>
      <c r="Q84" s="146"/>
      <c r="R84" s="146"/>
      <c r="S84" s="146"/>
    </row>
    <row r="85" spans="1:34" s="140" customFormat="1" ht="13.5">
      <c r="A85" s="69" t="s">
        <v>277</v>
      </c>
      <c r="B85" s="146"/>
      <c r="C85" s="146"/>
      <c r="D85" s="146"/>
      <c r="E85" s="146"/>
      <c r="F85" s="146"/>
      <c r="G85" s="146"/>
      <c r="H85" s="146"/>
      <c r="I85" s="146"/>
      <c r="J85" s="146"/>
      <c r="K85" s="146"/>
      <c r="L85" s="146"/>
      <c r="M85" s="146"/>
      <c r="N85" s="146"/>
      <c r="O85" s="146"/>
      <c r="P85" s="146"/>
      <c r="Q85" s="146"/>
      <c r="R85" s="146"/>
      <c r="S85" s="146"/>
    </row>
    <row r="86" spans="1:34">
      <c r="A86"/>
      <c r="B86"/>
      <c r="C86" s="133"/>
      <c r="D86" s="133"/>
      <c r="E86" s="133"/>
      <c r="F86" s="133"/>
      <c r="G86" s="133"/>
      <c r="H86" s="133"/>
      <c r="I86" s="133"/>
      <c r="J86" s="133"/>
      <c r="K86" s="133"/>
      <c r="L86" s="133"/>
      <c r="M86" s="133"/>
      <c r="N86" s="133"/>
      <c r="O86" s="133"/>
      <c r="P86" s="133"/>
      <c r="Q86" s="133"/>
      <c r="R86" s="133"/>
      <c r="S86" s="133"/>
    </row>
    <row r="87" spans="1:34" ht="12.75" customHeight="1">
      <c r="A87" s="43" t="s">
        <v>278</v>
      </c>
      <c r="B87" s="43"/>
      <c r="C87" s="43"/>
      <c r="D87" s="43"/>
      <c r="E87" s="43"/>
    </row>
    <row r="88" spans="1:34">
      <c r="A88" s="134" t="s">
        <v>214</v>
      </c>
      <c r="B88" s="213" t="s">
        <v>279</v>
      </c>
      <c r="C88" s="213" t="s">
        <v>280</v>
      </c>
    </row>
    <row r="89" spans="1:34">
      <c r="A89" s="135">
        <v>1990</v>
      </c>
      <c r="B89" s="145">
        <v>133700497</v>
      </c>
      <c r="C89" s="145">
        <v>54470430</v>
      </c>
      <c r="D89" s="400">
        <f>SUM(B89:C89)</f>
        <v>188170927</v>
      </c>
    </row>
    <row r="90" spans="1:34">
      <c r="A90" s="135">
        <f t="shared" ref="A90:A120" si="10">A89+1</f>
        <v>1991</v>
      </c>
      <c r="B90" s="145">
        <v>128299601</v>
      </c>
      <c r="C90" s="145">
        <v>59205589</v>
      </c>
      <c r="D90" s="400">
        <f t="shared" ref="D90:D118" si="11">SUM(B90:C90)</f>
        <v>187505190</v>
      </c>
    </row>
    <row r="91" spans="1:34">
      <c r="A91" s="135">
        <f t="shared" si="10"/>
        <v>1992</v>
      </c>
      <c r="B91" s="145">
        <v>126581148</v>
      </c>
      <c r="C91" s="145">
        <v>63136348</v>
      </c>
      <c r="D91" s="400">
        <f t="shared" si="11"/>
        <v>189717496</v>
      </c>
    </row>
    <row r="92" spans="1:34">
      <c r="A92" s="135">
        <f t="shared" si="10"/>
        <v>1993</v>
      </c>
      <c r="B92" s="145">
        <v>127327189</v>
      </c>
      <c r="C92" s="145">
        <v>66081861</v>
      </c>
      <c r="D92" s="400">
        <f t="shared" si="11"/>
        <v>193409050</v>
      </c>
    </row>
    <row r="93" spans="1:34">
      <c r="A93" s="135">
        <f t="shared" si="10"/>
        <v>1994</v>
      </c>
      <c r="B93" s="145">
        <v>127883469</v>
      </c>
      <c r="C93" s="145">
        <v>69491473</v>
      </c>
      <c r="D93" s="400">
        <f t="shared" si="11"/>
        <v>197374942</v>
      </c>
    </row>
    <row r="94" spans="1:34">
      <c r="A94" s="135">
        <f t="shared" si="10"/>
        <v>1995</v>
      </c>
      <c r="B94" s="145">
        <v>128386775</v>
      </c>
      <c r="C94" s="145">
        <v>72457743</v>
      </c>
      <c r="D94" s="400">
        <f t="shared" si="11"/>
        <v>200844518</v>
      </c>
    </row>
    <row r="95" spans="1:34">
      <c r="A95" s="135">
        <f t="shared" si="10"/>
        <v>1996</v>
      </c>
      <c r="B95" s="145">
        <v>129728341</v>
      </c>
      <c r="C95" s="145">
        <v>75940206</v>
      </c>
      <c r="D95" s="400">
        <f t="shared" si="11"/>
        <v>205668547</v>
      </c>
    </row>
    <row r="96" spans="1:34">
      <c r="A96" s="135">
        <f t="shared" si="10"/>
        <v>1997</v>
      </c>
      <c r="B96" s="145">
        <v>129748704</v>
      </c>
      <c r="C96" s="145">
        <v>77307408</v>
      </c>
      <c r="D96" s="400">
        <f t="shared" si="11"/>
        <v>207056112</v>
      </c>
    </row>
    <row r="97" spans="1:4">
      <c r="A97" s="135">
        <f t="shared" si="10"/>
        <v>1998</v>
      </c>
      <c r="B97" s="145">
        <v>131838538</v>
      </c>
      <c r="C97" s="145">
        <v>79062475</v>
      </c>
      <c r="D97" s="400">
        <f t="shared" si="11"/>
        <v>210901013</v>
      </c>
    </row>
    <row r="98" spans="1:4">
      <c r="A98" s="135">
        <f t="shared" si="10"/>
        <v>1999</v>
      </c>
      <c r="B98" s="145">
        <v>132432044</v>
      </c>
      <c r="C98" s="145">
        <v>83147802</v>
      </c>
      <c r="D98" s="400">
        <f t="shared" si="11"/>
        <v>215579846</v>
      </c>
    </row>
    <row r="99" spans="1:4">
      <c r="A99" s="135">
        <f t="shared" si="10"/>
        <v>2000</v>
      </c>
      <c r="B99" s="145">
        <v>133621420</v>
      </c>
      <c r="C99" s="145">
        <v>87107628</v>
      </c>
      <c r="D99" s="400">
        <f t="shared" si="11"/>
        <v>220729048</v>
      </c>
    </row>
    <row r="100" spans="1:4">
      <c r="A100" s="135">
        <f t="shared" si="10"/>
        <v>2001</v>
      </c>
      <c r="B100" s="145">
        <v>137633467</v>
      </c>
      <c r="C100" s="145">
        <v>92045311</v>
      </c>
      <c r="D100" s="400">
        <f t="shared" si="11"/>
        <v>229678778</v>
      </c>
    </row>
    <row r="101" spans="1:4">
      <c r="A101" s="135">
        <f t="shared" si="10"/>
        <v>2002</v>
      </c>
      <c r="B101" s="145">
        <v>135920677</v>
      </c>
      <c r="C101" s="145">
        <v>92938585</v>
      </c>
      <c r="D101" s="400">
        <f t="shared" si="11"/>
        <v>228859262</v>
      </c>
    </row>
    <row r="102" spans="1:4">
      <c r="A102" s="135">
        <f t="shared" si="10"/>
        <v>2003</v>
      </c>
      <c r="B102" s="145">
        <v>135669897</v>
      </c>
      <c r="C102" s="145">
        <v>94943551</v>
      </c>
      <c r="D102" s="400">
        <f t="shared" si="11"/>
        <v>230613448</v>
      </c>
    </row>
    <row r="103" spans="1:4">
      <c r="A103" s="135">
        <f t="shared" si="10"/>
        <v>2004</v>
      </c>
      <c r="B103" s="145">
        <v>136430651</v>
      </c>
      <c r="C103" s="145">
        <v>100016691</v>
      </c>
      <c r="D103" s="400">
        <f t="shared" si="11"/>
        <v>236447342</v>
      </c>
    </row>
    <row r="104" spans="1:4">
      <c r="A104" s="135">
        <f t="shared" si="10"/>
        <v>2005</v>
      </c>
      <c r="B104" s="145">
        <v>136568083</v>
      </c>
      <c r="C104" s="145">
        <v>103818838</v>
      </c>
      <c r="D104" s="400">
        <f t="shared" si="11"/>
        <v>240386921</v>
      </c>
    </row>
    <row r="105" spans="1:4">
      <c r="A105" s="135">
        <f t="shared" si="10"/>
        <v>2006</v>
      </c>
      <c r="B105" s="145">
        <v>135399945</v>
      </c>
      <c r="C105" s="145">
        <v>107943782</v>
      </c>
      <c r="D105" s="400">
        <f t="shared" si="11"/>
        <v>243343727</v>
      </c>
    </row>
    <row r="106" spans="1:4">
      <c r="A106" s="135">
        <f t="shared" si="10"/>
        <v>2007</v>
      </c>
      <c r="B106" s="145">
        <v>135932930</v>
      </c>
      <c r="C106" s="145">
        <v>110497239</v>
      </c>
      <c r="D106" s="400">
        <f t="shared" si="11"/>
        <v>246430169</v>
      </c>
    </row>
    <row r="107" spans="1:4">
      <c r="A107" s="135">
        <f t="shared" si="10"/>
        <v>2008</v>
      </c>
      <c r="B107" s="145">
        <v>137079843</v>
      </c>
      <c r="C107" s="145">
        <v>110241587</v>
      </c>
      <c r="D107" s="400">
        <f t="shared" si="11"/>
        <v>247321430</v>
      </c>
    </row>
    <row r="108" spans="1:4">
      <c r="A108" s="135">
        <f t="shared" si="10"/>
        <v>2009</v>
      </c>
      <c r="B108" s="145">
        <v>134879600</v>
      </c>
      <c r="C108" s="145">
        <v>110561293</v>
      </c>
      <c r="D108" s="400">
        <f t="shared" si="11"/>
        <v>245440893</v>
      </c>
    </row>
    <row r="109" spans="1:4">
      <c r="A109" s="135">
        <f t="shared" si="10"/>
        <v>2010</v>
      </c>
      <c r="B109" s="145">
        <v>130892240</v>
      </c>
      <c r="C109" s="145">
        <v>110322254</v>
      </c>
      <c r="D109" s="400">
        <f t="shared" si="11"/>
        <v>241214494</v>
      </c>
    </row>
    <row r="110" spans="1:4">
      <c r="A110" s="135">
        <f t="shared" si="10"/>
        <v>2011</v>
      </c>
      <c r="B110" s="145">
        <v>125656528</v>
      </c>
      <c r="C110" s="145">
        <v>118455587</v>
      </c>
      <c r="D110" s="400">
        <f t="shared" si="11"/>
        <v>244112115</v>
      </c>
    </row>
    <row r="111" spans="1:4">
      <c r="A111" s="135">
        <f t="shared" si="10"/>
        <v>2012</v>
      </c>
      <c r="B111" s="145">
        <v>111289906</v>
      </c>
      <c r="C111" s="145">
        <v>133130032</v>
      </c>
      <c r="D111" s="400">
        <f t="shared" si="11"/>
        <v>244419938</v>
      </c>
    </row>
    <row r="112" spans="1:4">
      <c r="A112" s="135">
        <f t="shared" si="10"/>
        <v>2013</v>
      </c>
      <c r="B112" s="145">
        <v>113676345</v>
      </c>
      <c r="C112" s="145">
        <v>132931241</v>
      </c>
      <c r="D112" s="400">
        <f t="shared" si="11"/>
        <v>246607586</v>
      </c>
    </row>
    <row r="113" spans="1:7">
      <c r="A113" s="135">
        <f t="shared" si="10"/>
        <v>2014</v>
      </c>
      <c r="B113" s="145">
        <v>113898845</v>
      </c>
      <c r="C113" s="145">
        <v>137162349</v>
      </c>
      <c r="D113" s="400">
        <f t="shared" si="11"/>
        <v>251061194</v>
      </c>
    </row>
    <row r="114" spans="1:7">
      <c r="A114" s="135">
        <f t="shared" si="10"/>
        <v>2015</v>
      </c>
      <c r="B114" s="145">
        <v>112864228</v>
      </c>
      <c r="C114" s="145">
        <v>141256148</v>
      </c>
      <c r="D114" s="400">
        <f t="shared" si="11"/>
        <v>254120376</v>
      </c>
    </row>
    <row r="115" spans="1:7">
      <c r="A115" s="135">
        <f t="shared" si="10"/>
        <v>2016</v>
      </c>
      <c r="B115" s="145">
        <v>112961266</v>
      </c>
      <c r="C115" s="145">
        <v>146182276</v>
      </c>
      <c r="D115" s="400">
        <f t="shared" si="11"/>
        <v>259143542</v>
      </c>
    </row>
    <row r="116" spans="1:7">
      <c r="A116" s="135">
        <f t="shared" si="10"/>
        <v>2017</v>
      </c>
      <c r="B116" s="434">
        <v>111177029</v>
      </c>
      <c r="C116" s="434">
        <v>151605434</v>
      </c>
      <c r="D116" s="400">
        <f t="shared" si="11"/>
        <v>262782463</v>
      </c>
    </row>
    <row r="117" spans="1:7">
      <c r="A117" s="135">
        <f t="shared" si="10"/>
        <v>2018</v>
      </c>
      <c r="B117" s="145">
        <v>111242132</v>
      </c>
      <c r="C117" s="145">
        <v>152701630.85966885</v>
      </c>
      <c r="D117" s="400">
        <f t="shared" si="11"/>
        <v>263943762.85966885</v>
      </c>
    </row>
    <row r="118" spans="1:7">
      <c r="A118" s="135">
        <f t="shared" si="10"/>
        <v>2019</v>
      </c>
      <c r="B118" s="145">
        <v>108547710.00088499</v>
      </c>
      <c r="C118" s="145">
        <v>158352117.15426794</v>
      </c>
      <c r="D118" s="400">
        <f t="shared" si="11"/>
        <v>266899827.15515292</v>
      </c>
    </row>
    <row r="119" spans="1:7">
      <c r="A119" s="135">
        <f t="shared" si="10"/>
        <v>2020</v>
      </c>
      <c r="B119" s="434">
        <v>105135300</v>
      </c>
      <c r="C119" s="434">
        <v>161443328</v>
      </c>
      <c r="D119" s="400">
        <f>SUM(B119:C119)</f>
        <v>266578628</v>
      </c>
      <c r="E119"/>
    </row>
    <row r="120" spans="1:7">
      <c r="A120" s="135">
        <f t="shared" si="10"/>
        <v>2021</v>
      </c>
      <c r="B120" s="434">
        <f>'[16]CY MV-1 Publish'!$D$61</f>
        <v>102973881.03858075</v>
      </c>
      <c r="C120" s="434">
        <f>'[16]CY MV-1 Publish'!$J$61</f>
        <v>168560478.53889334</v>
      </c>
      <c r="D120" s="400">
        <f>SUM(B120:C120)</f>
        <v>271534359.57747412</v>
      </c>
      <c r="E120"/>
    </row>
    <row r="121" spans="1:7">
      <c r="A121" s="135">
        <f>A120+1</f>
        <v>2022</v>
      </c>
      <c r="B121" s="434">
        <f>'[17]CY MV-1 Publish'!$D$61</f>
        <v>99946869.86114414</v>
      </c>
      <c r="C121" s="434">
        <f>'[17]CY MV-1 Publish'!$J$61</f>
        <v>172932333.63224709</v>
      </c>
      <c r="D121" s="400">
        <f>SUM(B121:C121)</f>
        <v>272879203.49339122</v>
      </c>
      <c r="E121"/>
    </row>
    <row r="122" spans="1:7" s="140" customFormat="1" ht="12">
      <c r="A122" s="69" t="s">
        <v>281</v>
      </c>
    </row>
    <row r="123" spans="1:7" s="140" customFormat="1" ht="12">
      <c r="A123" s="69" t="s">
        <v>282</v>
      </c>
    </row>
    <row r="124" spans="1:7">
      <c r="A124" s="42"/>
    </row>
    <row r="125" spans="1:7">
      <c r="A125" s="519" t="s">
        <v>283</v>
      </c>
      <c r="B125" s="120"/>
      <c r="C125" s="120"/>
      <c r="D125" s="120"/>
      <c r="E125" s="120"/>
      <c r="F125" s="120"/>
    </row>
    <row r="126" spans="1:7">
      <c r="A126" s="53">
        <v>1</v>
      </c>
      <c r="B126" s="53">
        <v>2</v>
      </c>
      <c r="C126" s="53">
        <v>3</v>
      </c>
      <c r="D126" s="53">
        <v>4</v>
      </c>
      <c r="E126" s="53">
        <v>5</v>
      </c>
      <c r="F126" s="53">
        <v>6</v>
      </c>
      <c r="G126" s="53">
        <v>7</v>
      </c>
    </row>
    <row r="127" spans="1:7" ht="25.5">
      <c r="A127" s="77" t="s">
        <v>214</v>
      </c>
      <c r="B127" s="142" t="s">
        <v>284</v>
      </c>
      <c r="C127" s="142" t="s">
        <v>285</v>
      </c>
      <c r="D127" s="142" t="s">
        <v>280</v>
      </c>
      <c r="E127" s="77" t="s">
        <v>286</v>
      </c>
      <c r="F127" s="77" t="s">
        <v>287</v>
      </c>
      <c r="G127" s="77" t="s">
        <v>288</v>
      </c>
    </row>
    <row r="128" spans="1:7">
      <c r="A128" s="90">
        <v>1990</v>
      </c>
      <c r="B128" s="82">
        <v>889096</v>
      </c>
      <c r="C128" s="82">
        <v>718204</v>
      </c>
      <c r="D128" s="82">
        <v>152453</v>
      </c>
      <c r="E128" s="80">
        <f t="shared" ref="E128:E155" si="12">SUM(D128,C128)</f>
        <v>870657</v>
      </c>
      <c r="F128" s="114">
        <f t="shared" ref="F128:F153" si="13">C128/B128</f>
        <v>0.80779128463068106</v>
      </c>
      <c r="G128" s="114">
        <f t="shared" ref="G128:G153" si="14">D128/B128</f>
        <v>0.17146967256629206</v>
      </c>
    </row>
    <row r="129" spans="1:7">
      <c r="A129" s="90">
        <v>1991</v>
      </c>
      <c r="B129" s="82">
        <v>897193</v>
      </c>
      <c r="C129" s="82">
        <v>717907</v>
      </c>
      <c r="D129" s="82">
        <v>159831</v>
      </c>
      <c r="E129" s="80">
        <f t="shared" si="12"/>
        <v>877738</v>
      </c>
      <c r="F129" s="114">
        <f t="shared" si="13"/>
        <v>0.80017008603500028</v>
      </c>
      <c r="G129" s="114">
        <f t="shared" si="14"/>
        <v>0.1781456163835429</v>
      </c>
    </row>
    <row r="130" spans="1:7">
      <c r="A130" s="90">
        <v>1992</v>
      </c>
      <c r="B130" s="82">
        <v>885761</v>
      </c>
      <c r="C130" s="82">
        <v>703983</v>
      </c>
      <c r="D130" s="82">
        <v>160952</v>
      </c>
      <c r="E130" s="80">
        <f t="shared" si="12"/>
        <v>864935</v>
      </c>
      <c r="F130" s="114">
        <f t="shared" si="13"/>
        <v>0.7947775980202334</v>
      </c>
      <c r="G130" s="114">
        <f t="shared" si="14"/>
        <v>0.18171041624094988</v>
      </c>
    </row>
    <row r="131" spans="1:7">
      <c r="A131" s="90">
        <v>1993</v>
      </c>
      <c r="B131" s="82">
        <v>880152</v>
      </c>
      <c r="C131" s="82">
        <v>693283</v>
      </c>
      <c r="D131" s="82">
        <v>165209</v>
      </c>
      <c r="E131" s="80">
        <f t="shared" si="12"/>
        <v>858492</v>
      </c>
      <c r="F131" s="114">
        <f t="shared" si="13"/>
        <v>0.78768553613466763</v>
      </c>
      <c r="G131" s="114">
        <f t="shared" si="14"/>
        <v>0.18770507821376309</v>
      </c>
    </row>
    <row r="132" spans="1:7">
      <c r="A132" s="90">
        <v>1994</v>
      </c>
      <c r="B132" s="82">
        <v>875144</v>
      </c>
      <c r="C132" s="82">
        <v>691158</v>
      </c>
      <c r="D132" s="82">
        <v>162348</v>
      </c>
      <c r="E132" s="80">
        <f t="shared" si="12"/>
        <v>853506</v>
      </c>
      <c r="F132" s="114">
        <f t="shared" si="13"/>
        <v>0.78976488440759463</v>
      </c>
      <c r="G132" s="114">
        <f t="shared" si="14"/>
        <v>0.18551004177598202</v>
      </c>
    </row>
    <row r="133" spans="1:7">
      <c r="A133" s="90">
        <v>1995</v>
      </c>
      <c r="B133" s="82">
        <v>877756</v>
      </c>
      <c r="C133" s="82">
        <v>694239</v>
      </c>
      <c r="D133" s="82">
        <v>161609</v>
      </c>
      <c r="E133" s="80">
        <f t="shared" si="12"/>
        <v>855848</v>
      </c>
      <c r="F133" s="114">
        <f t="shared" si="13"/>
        <v>0.79092481281814075</v>
      </c>
      <c r="G133" s="114">
        <f t="shared" si="14"/>
        <v>0.18411608693076437</v>
      </c>
    </row>
    <row r="134" spans="1:7">
      <c r="A134" s="90">
        <v>1996</v>
      </c>
      <c r="B134" s="82">
        <v>884617</v>
      </c>
      <c r="C134" s="82">
        <v>703094</v>
      </c>
      <c r="D134" s="82">
        <v>160013</v>
      </c>
      <c r="E134" s="80">
        <f t="shared" si="12"/>
        <v>863107</v>
      </c>
      <c r="F134" s="114">
        <f t="shared" si="13"/>
        <v>0.7948004616687222</v>
      </c>
      <c r="G134" s="114">
        <f t="shared" si="14"/>
        <v>0.18088393055977897</v>
      </c>
    </row>
    <row r="135" spans="1:7">
      <c r="A135" s="90">
        <v>1997</v>
      </c>
      <c r="B135" s="82">
        <v>884267</v>
      </c>
      <c r="C135" s="82">
        <v>704693</v>
      </c>
      <c r="D135" s="82">
        <v>158457</v>
      </c>
      <c r="E135" s="80">
        <f t="shared" si="12"/>
        <v>863150</v>
      </c>
      <c r="F135" s="114">
        <f t="shared" si="13"/>
        <v>0.79692332745652616</v>
      </c>
      <c r="G135" s="114">
        <f t="shared" si="14"/>
        <v>0.17919587635861114</v>
      </c>
    </row>
    <row r="136" spans="1:7">
      <c r="A136" s="90">
        <v>1998</v>
      </c>
      <c r="B136" s="82">
        <v>893427</v>
      </c>
      <c r="C136" s="82">
        <v>713732</v>
      </c>
      <c r="D136" s="82">
        <v>158977</v>
      </c>
      <c r="E136" s="80">
        <f t="shared" si="12"/>
        <v>872709</v>
      </c>
      <c r="F136" s="114">
        <f t="shared" si="13"/>
        <v>0.79886996923083808</v>
      </c>
      <c r="G136" s="114">
        <f t="shared" si="14"/>
        <v>0.17794067114604775</v>
      </c>
    </row>
    <row r="137" spans="1:7">
      <c r="A137" s="90">
        <v>1999</v>
      </c>
      <c r="B137" s="82">
        <v>906935</v>
      </c>
      <c r="C137" s="82">
        <v>725142</v>
      </c>
      <c r="D137" s="82">
        <v>161067</v>
      </c>
      <c r="E137" s="80">
        <f t="shared" si="12"/>
        <v>886209</v>
      </c>
      <c r="F137" s="114">
        <f t="shared" si="13"/>
        <v>0.79955233837044548</v>
      </c>
      <c r="G137" s="114">
        <f t="shared" si="14"/>
        <v>0.1775948662252532</v>
      </c>
    </row>
    <row r="138" spans="1:7">
      <c r="A138" s="90">
        <v>2000</v>
      </c>
      <c r="B138" s="82">
        <v>941242</v>
      </c>
      <c r="C138" s="82">
        <v>754840</v>
      </c>
      <c r="D138" s="82">
        <v>165104</v>
      </c>
      <c r="E138" s="80">
        <f t="shared" si="12"/>
        <v>919944</v>
      </c>
      <c r="F138" s="114">
        <f t="shared" si="13"/>
        <v>0.8019616634191844</v>
      </c>
      <c r="G138" s="114">
        <f t="shared" si="14"/>
        <v>0.17541078702395346</v>
      </c>
    </row>
    <row r="139" spans="1:7">
      <c r="A139" s="90">
        <v>2001</v>
      </c>
      <c r="B139" s="82">
        <v>967146</v>
      </c>
      <c r="C139" s="82">
        <v>775737</v>
      </c>
      <c r="D139" s="82">
        <v>168414</v>
      </c>
      <c r="E139" s="80">
        <f t="shared" si="12"/>
        <v>944151</v>
      </c>
      <c r="F139" s="114">
        <f t="shared" si="13"/>
        <v>0.80208882629923506</v>
      </c>
      <c r="G139" s="114">
        <f t="shared" si="14"/>
        <v>0.17413503235292294</v>
      </c>
    </row>
    <row r="140" spans="1:7">
      <c r="A140" s="90">
        <v>2002</v>
      </c>
      <c r="B140" s="82">
        <v>987598</v>
      </c>
      <c r="C140" s="82">
        <v>792482</v>
      </c>
      <c r="D140" s="82">
        <v>160941</v>
      </c>
      <c r="E140" s="80">
        <f t="shared" si="12"/>
        <v>953423</v>
      </c>
      <c r="F140" s="114">
        <f t="shared" si="13"/>
        <v>0.80243378378652042</v>
      </c>
      <c r="G140" s="114">
        <f t="shared" si="14"/>
        <v>0.16296205541120981</v>
      </c>
    </row>
    <row r="141" spans="1:7">
      <c r="A141" s="90">
        <v>2003</v>
      </c>
      <c r="B141" s="82">
        <v>1030845</v>
      </c>
      <c r="C141" s="82">
        <v>830672</v>
      </c>
      <c r="D141" s="82">
        <v>174641</v>
      </c>
      <c r="E141" s="80">
        <f t="shared" si="12"/>
        <v>1005313</v>
      </c>
      <c r="F141" s="114">
        <f t="shared" si="13"/>
        <v>0.8058165873627946</v>
      </c>
      <c r="G141" s="114">
        <f t="shared" si="14"/>
        <v>0.16941538252598595</v>
      </c>
    </row>
    <row r="142" spans="1:7">
      <c r="A142" s="90">
        <v>2004</v>
      </c>
      <c r="B142" s="82">
        <v>1072211</v>
      </c>
      <c r="C142" s="82">
        <v>867120</v>
      </c>
      <c r="D142" s="82">
        <v>178596</v>
      </c>
      <c r="E142" s="80">
        <f t="shared" si="12"/>
        <v>1045716</v>
      </c>
      <c r="F142" s="114">
        <f t="shared" si="13"/>
        <v>0.8087214177060299</v>
      </c>
      <c r="G142" s="114">
        <f t="shared" si="14"/>
        <v>0.16656796097036872</v>
      </c>
    </row>
    <row r="143" spans="1:7">
      <c r="A143" s="90">
        <v>2005</v>
      </c>
      <c r="B143" s="82">
        <v>1119838</v>
      </c>
      <c r="C143" s="82">
        <v>906799</v>
      </c>
      <c r="D143" s="82">
        <v>184513</v>
      </c>
      <c r="E143" s="80">
        <f t="shared" si="12"/>
        <v>1091312</v>
      </c>
      <c r="F143" s="114">
        <f t="shared" si="13"/>
        <v>0.80975909015411163</v>
      </c>
      <c r="G143" s="114">
        <f t="shared" si="14"/>
        <v>0.16476758245389064</v>
      </c>
    </row>
    <row r="144" spans="1:7">
      <c r="A144" s="90">
        <v>2006</v>
      </c>
      <c r="B144" s="82">
        <v>1127467</v>
      </c>
      <c r="C144" s="82">
        <v>907659</v>
      </c>
      <c r="D144" s="82">
        <v>189878</v>
      </c>
      <c r="E144" s="80">
        <f t="shared" si="12"/>
        <v>1097537</v>
      </c>
      <c r="F144" s="114">
        <f t="shared" si="13"/>
        <v>0.80504263095948703</v>
      </c>
      <c r="G144" s="114">
        <f t="shared" si="14"/>
        <v>0.16841113753218498</v>
      </c>
    </row>
    <row r="145" spans="1:8">
      <c r="A145" s="90">
        <v>2007</v>
      </c>
      <c r="B145" s="82">
        <v>1134542</v>
      </c>
      <c r="C145" s="82">
        <v>911607</v>
      </c>
      <c r="D145" s="82">
        <v>192175</v>
      </c>
      <c r="E145" s="80">
        <f t="shared" si="12"/>
        <v>1103782</v>
      </c>
      <c r="F145" s="114">
        <f t="shared" si="13"/>
        <v>0.8035022061765893</v>
      </c>
      <c r="G145" s="114">
        <f t="shared" si="14"/>
        <v>0.16938553178286922</v>
      </c>
    </row>
    <row r="146" spans="1:8">
      <c r="A146" s="90">
        <v>2008</v>
      </c>
      <c r="B146" s="82">
        <v>1127567</v>
      </c>
      <c r="C146" s="82">
        <v>903518</v>
      </c>
      <c r="D146" s="82">
        <v>191459</v>
      </c>
      <c r="E146" s="80">
        <f t="shared" si="12"/>
        <v>1094977</v>
      </c>
      <c r="F146" s="114">
        <f t="shared" si="13"/>
        <v>0.80129872548593561</v>
      </c>
      <c r="G146" s="114">
        <f t="shared" si="14"/>
        <v>0.16979833570865413</v>
      </c>
    </row>
    <row r="147" spans="1:8">
      <c r="A147" s="90">
        <v>2009</v>
      </c>
      <c r="B147" s="82">
        <v>1117790</v>
      </c>
      <c r="C147" s="82">
        <v>895770</v>
      </c>
      <c r="D147" s="82">
        <v>188860</v>
      </c>
      <c r="E147" s="80">
        <f t="shared" si="12"/>
        <v>1084630</v>
      </c>
      <c r="F147" s="114">
        <f t="shared" si="13"/>
        <v>0.80137592928904355</v>
      </c>
      <c r="G147" s="114">
        <f t="shared" si="14"/>
        <v>0.16895839111103159</v>
      </c>
    </row>
    <row r="148" spans="1:8">
      <c r="A148" s="90">
        <v>2010</v>
      </c>
      <c r="B148" s="82">
        <v>1120080</v>
      </c>
      <c r="C148" s="82">
        <v>898452</v>
      </c>
      <c r="D148" s="82">
        <v>187733</v>
      </c>
      <c r="E148" s="80">
        <f t="shared" si="12"/>
        <v>1086185</v>
      </c>
      <c r="F148" s="114">
        <f t="shared" si="13"/>
        <v>0.80213199057210194</v>
      </c>
      <c r="G148" s="114">
        <f t="shared" si="14"/>
        <v>0.16760677808727947</v>
      </c>
      <c r="H148"/>
    </row>
    <row r="149" spans="1:8">
      <c r="A149" s="90">
        <v>2011</v>
      </c>
      <c r="B149" s="401">
        <f>'[18]2022'!$C9</f>
        <v>1181148</v>
      </c>
      <c r="C149" s="401">
        <f>'[18]2022'!$D9</f>
        <v>951170</v>
      </c>
      <c r="D149" s="401">
        <f>'[18]2022'!$B25</f>
        <v>191850</v>
      </c>
      <c r="E149" s="80">
        <f>SUM(D149,C149)</f>
        <v>1143020</v>
      </c>
      <c r="F149" s="114">
        <f t="shared" si="13"/>
        <v>0.80529281681889142</v>
      </c>
      <c r="G149" s="114">
        <f t="shared" si="14"/>
        <v>0.16242672383139115</v>
      </c>
    </row>
    <row r="150" spans="1:8">
      <c r="A150" s="90">
        <v>2012</v>
      </c>
      <c r="B150" s="401">
        <f>'[18]2022'!$C10</f>
        <v>1278233</v>
      </c>
      <c r="C150" s="401">
        <f>'[18]2022'!$D10</f>
        <v>1033975</v>
      </c>
      <c r="D150" s="401">
        <f>'[18]2022'!$B26</f>
        <v>200124</v>
      </c>
      <c r="E150" s="80">
        <f t="shared" si="12"/>
        <v>1234099</v>
      </c>
      <c r="F150" s="114">
        <f t="shared" si="13"/>
        <v>0.80890964323405823</v>
      </c>
      <c r="G150" s="114">
        <f t="shared" si="14"/>
        <v>0.15656300533627282</v>
      </c>
    </row>
    <row r="151" spans="1:8">
      <c r="A151" s="90">
        <v>2013</v>
      </c>
      <c r="B151" s="401">
        <f>'[18]2022'!$C11</f>
        <v>1341152</v>
      </c>
      <c r="C151" s="401">
        <f>'[18]2022'!$D11</f>
        <v>1089709</v>
      </c>
      <c r="D151" s="401">
        <f>'[18]2022'!$B27</f>
        <v>203790</v>
      </c>
      <c r="E151" s="80">
        <f t="shared" si="12"/>
        <v>1293499</v>
      </c>
      <c r="F151" s="114">
        <f t="shared" si="13"/>
        <v>0.81251714943570896</v>
      </c>
      <c r="G151" s="114">
        <f t="shared" si="14"/>
        <v>0.15195145665815657</v>
      </c>
    </row>
    <row r="152" spans="1:8">
      <c r="A152" s="90">
        <v>2014</v>
      </c>
      <c r="B152" s="401">
        <f>'[18]2022'!$C12</f>
        <v>1284193</v>
      </c>
      <c r="C152" s="401">
        <f>'[18]2022'!$D12</f>
        <v>1042818</v>
      </c>
      <c r="D152" s="401">
        <f>'[18]2022'!$B28</f>
        <v>196892</v>
      </c>
      <c r="E152" s="80">
        <f t="shared" si="12"/>
        <v>1239710</v>
      </c>
      <c r="F152" s="114">
        <f t="shared" si="13"/>
        <v>0.81204149220561084</v>
      </c>
      <c r="G152" s="114">
        <f t="shared" si="14"/>
        <v>0.15331963341958724</v>
      </c>
    </row>
    <row r="153" spans="1:8">
      <c r="A153" s="90">
        <v>2015</v>
      </c>
      <c r="B153" s="401">
        <f>'[18]2022'!$C13</f>
        <v>1233523</v>
      </c>
      <c r="C153" s="401">
        <f>'[18]2022'!$D13</f>
        <v>1001879</v>
      </c>
      <c r="D153" s="401">
        <f>'[18]2022'!$B29</f>
        <v>191984</v>
      </c>
      <c r="E153" s="80">
        <f t="shared" si="12"/>
        <v>1193863</v>
      </c>
      <c r="F153" s="114">
        <f t="shared" si="13"/>
        <v>0.81220941968654015</v>
      </c>
      <c r="G153" s="114">
        <f t="shared" si="14"/>
        <v>0.15563876798405868</v>
      </c>
    </row>
    <row r="154" spans="1:8">
      <c r="A154" s="90">
        <v>2016</v>
      </c>
      <c r="B154" s="401">
        <f>'[18]2022'!$C14</f>
        <v>1232731</v>
      </c>
      <c r="C154" s="401">
        <f>'[18]2022'!$D14</f>
        <v>1000684</v>
      </c>
      <c r="D154" s="401">
        <f>'[18]2022'!$B30</f>
        <v>194043</v>
      </c>
      <c r="E154" s="80">
        <f>SUM(D154,C154)</f>
        <v>1194727</v>
      </c>
      <c r="F154" s="114">
        <f>C154/B154</f>
        <v>0.81176185234248188</v>
      </c>
      <c r="G154" s="114">
        <f>D154/B154</f>
        <v>0.15740903733255673</v>
      </c>
    </row>
    <row r="155" spans="1:8">
      <c r="A155" s="90">
        <v>2017</v>
      </c>
      <c r="B155" s="401">
        <f>'[18]2022'!$C15</f>
        <v>1259544</v>
      </c>
      <c r="C155" s="401">
        <f>'[18]2022'!$D15</f>
        <v>1016088</v>
      </c>
      <c r="D155" s="401">
        <f>'[18]2022'!$B31</f>
        <v>197005</v>
      </c>
      <c r="E155" s="80">
        <f t="shared" si="12"/>
        <v>1213093</v>
      </c>
      <c r="F155" s="114">
        <f t="shared" ref="F155" si="15">C155/B155</f>
        <v>0.80671100017149067</v>
      </c>
      <c r="G155" s="114">
        <f t="shared" ref="G155" si="16">D155/B155</f>
        <v>0.15640978004738224</v>
      </c>
    </row>
    <row r="156" spans="1:8">
      <c r="A156" s="90">
        <v>2018</v>
      </c>
      <c r="B156" s="401">
        <f>'[18]2022'!$C16</f>
        <v>1267136</v>
      </c>
      <c r="C156" s="401">
        <f>'[18]2022'!$D16</f>
        <v>1023774</v>
      </c>
      <c r="D156" s="401">
        <f>'[18]2022'!$B32</f>
        <v>195849</v>
      </c>
      <c r="E156" s="80">
        <f t="shared" ref="E156" si="17">SUM(D156,C156)</f>
        <v>1219623</v>
      </c>
      <c r="F156" s="114">
        <f t="shared" ref="F156" si="18">C156/B156</f>
        <v>0.80794326733673416</v>
      </c>
      <c r="G156" s="114">
        <f t="shared" ref="G156" si="19">D156/B156</f>
        <v>0.15456036289711603</v>
      </c>
    </row>
    <row r="157" spans="1:8">
      <c r="A157" s="90">
        <v>2019</v>
      </c>
      <c r="B157" s="401">
        <f>'[18]2022'!$C17</f>
        <v>1279843</v>
      </c>
      <c r="C157" s="401">
        <f>'[18]2022'!$D17</f>
        <v>1038642</v>
      </c>
      <c r="D157" s="401">
        <f>'[18]2022'!$B33</f>
        <v>194263</v>
      </c>
      <c r="E157" s="80">
        <f t="shared" ref="E157" si="20">SUM(D157,C157)</f>
        <v>1232905</v>
      </c>
      <c r="F157" s="114">
        <f t="shared" ref="F157" si="21">C157/B157</f>
        <v>0.8115386027817475</v>
      </c>
      <c r="G157" s="114">
        <f t="shared" ref="G157" si="22">D157/B157</f>
        <v>0.15178658632347874</v>
      </c>
    </row>
    <row r="158" spans="1:8">
      <c r="A158" s="90">
        <v>2020</v>
      </c>
      <c r="B158" s="401">
        <f>'[18]2022'!$C18</f>
        <v>1235139</v>
      </c>
      <c r="C158" s="401">
        <f>'[18]2022'!$D18</f>
        <v>1000939</v>
      </c>
      <c r="D158" s="401">
        <f>'[18]2022'!$B34</f>
        <v>189547</v>
      </c>
      <c r="E158" s="80">
        <f t="shared" ref="E158:E159" si="23">SUM(D158,C158)</f>
        <v>1190486</v>
      </c>
      <c r="F158" s="114">
        <f t="shared" ref="F158" si="24">C158/B158</f>
        <v>0.81038571367271217</v>
      </c>
      <c r="G158" s="114">
        <f t="shared" ref="G158" si="25">D158/B158</f>
        <v>0.15346207997642369</v>
      </c>
    </row>
    <row r="159" spans="1:8">
      <c r="A159" s="90">
        <v>2021</v>
      </c>
      <c r="B159" s="401">
        <f>'[18]2022'!$C19</f>
        <v>1233657</v>
      </c>
      <c r="C159" s="401">
        <f>'[18]2022'!$D19</f>
        <v>1000511</v>
      </c>
      <c r="D159" s="401">
        <f>'[18]2022'!$B35</f>
        <v>187927</v>
      </c>
      <c r="E159" s="80">
        <f t="shared" si="23"/>
        <v>1188438</v>
      </c>
      <c r="F159" s="114">
        <f>C159/B159</f>
        <v>0.81101229920472218</v>
      </c>
      <c r="G159" s="114">
        <f>D159/B159</f>
        <v>0.15233326605369241</v>
      </c>
    </row>
    <row r="160" spans="1:8">
      <c r="A160" s="90">
        <v>2022</v>
      </c>
      <c r="B160" s="401">
        <f>'[18]2022'!$C20</f>
        <v>1241543</v>
      </c>
      <c r="C160" s="401">
        <f>'[18]2022'!$D20</f>
        <v>1008471</v>
      </c>
      <c r="D160" s="401">
        <f>'[18]2022'!$B36</f>
        <v>186860</v>
      </c>
      <c r="E160" s="80">
        <f>SUM(D160,C160)</f>
        <v>1195331</v>
      </c>
      <c r="F160" s="114">
        <f>C160/B160</f>
        <v>0.81227230953740626</v>
      </c>
      <c r="G160" s="114">
        <f>D160/B160</f>
        <v>0.15050626518775426</v>
      </c>
    </row>
    <row r="161" spans="1:26" s="42" customFormat="1">
      <c r="A161" s="143" t="s">
        <v>289</v>
      </c>
    </row>
    <row r="162" spans="1:26" s="42" customFormat="1">
      <c r="A162" s="139"/>
      <c r="B162" s="139"/>
      <c r="C162" s="139"/>
      <c r="D162" s="139"/>
      <c r="E162" s="139"/>
      <c r="F162" s="139"/>
      <c r="G162" s="139"/>
    </row>
    <row r="163" spans="1:26" s="42" customFormat="1">
      <c r="A163" s="139"/>
    </row>
    <row r="164" spans="1:26" ht="23.25">
      <c r="A164" s="43" t="s">
        <v>290</v>
      </c>
      <c r="B164" s="43"/>
      <c r="C164" s="43"/>
      <c r="D164" s="43"/>
      <c r="E164" s="43"/>
      <c r="F164" s="581"/>
      <c r="G164" s="582"/>
      <c r="H164" s="582"/>
      <c r="S164" s="582"/>
      <c r="T164" s="582"/>
    </row>
    <row r="165" spans="1:26">
      <c r="A165" s="53">
        <v>1</v>
      </c>
      <c r="B165" s="53">
        <v>2</v>
      </c>
      <c r="C165" s="53">
        <v>3</v>
      </c>
      <c r="D165" s="53">
        <v>4</v>
      </c>
      <c r="E165" s="53">
        <v>5</v>
      </c>
      <c r="F165" s="53">
        <v>6</v>
      </c>
      <c r="G165" s="53">
        <v>7</v>
      </c>
      <c r="H165" s="53">
        <v>8</v>
      </c>
      <c r="I165" s="53">
        <v>9</v>
      </c>
      <c r="J165" s="53">
        <v>10</v>
      </c>
      <c r="K165" s="53">
        <v>11</v>
      </c>
      <c r="L165" s="53">
        <v>12</v>
      </c>
      <c r="M165" s="53">
        <v>13</v>
      </c>
      <c r="N165" s="53">
        <v>14</v>
      </c>
      <c r="O165" s="53">
        <v>15</v>
      </c>
      <c r="P165" s="53">
        <v>16</v>
      </c>
      <c r="Q165" s="53">
        <v>17</v>
      </c>
      <c r="R165" s="53">
        <v>18</v>
      </c>
      <c r="S165" s="53">
        <v>19</v>
      </c>
      <c r="T165" s="53">
        <v>20</v>
      </c>
      <c r="U165" s="53">
        <v>21</v>
      </c>
      <c r="V165" s="53">
        <v>22</v>
      </c>
      <c r="W165" s="53">
        <v>23</v>
      </c>
    </row>
    <row r="166" spans="1:26">
      <c r="A166" s="68" t="s">
        <v>214</v>
      </c>
      <c r="B166" s="68" t="s">
        <v>291</v>
      </c>
      <c r="C166" s="610" t="s">
        <v>292</v>
      </c>
      <c r="D166" s="611"/>
      <c r="E166" s="611"/>
      <c r="F166" s="611"/>
      <c r="G166" s="610" t="s">
        <v>293</v>
      </c>
      <c r="H166" s="611"/>
      <c r="I166" s="611"/>
      <c r="J166" s="612"/>
      <c r="K166" s="610" t="s">
        <v>294</v>
      </c>
      <c r="L166" s="611"/>
      <c r="M166" s="611"/>
      <c r="N166" s="612"/>
      <c r="O166" s="610" t="s">
        <v>295</v>
      </c>
      <c r="P166" s="611"/>
      <c r="Q166" s="611"/>
      <c r="R166" s="612"/>
      <c r="S166" s="123" t="s">
        <v>296</v>
      </c>
      <c r="T166" s="123" t="s">
        <v>297</v>
      </c>
      <c r="U166" s="123" t="s">
        <v>298</v>
      </c>
      <c r="V166" s="123" t="s">
        <v>299</v>
      </c>
      <c r="W166" s="123" t="s">
        <v>300</v>
      </c>
      <c r="X166" s="567" t="s">
        <v>108</v>
      </c>
    </row>
    <row r="167" spans="1:26" ht="25.5">
      <c r="A167" s="68"/>
      <c r="B167" s="121" t="s">
        <v>291</v>
      </c>
      <c r="C167" s="121" t="s">
        <v>49</v>
      </c>
      <c r="D167" s="123" t="s">
        <v>301</v>
      </c>
      <c r="E167" s="123" t="s">
        <v>280</v>
      </c>
      <c r="F167" s="123" t="s">
        <v>286</v>
      </c>
      <c r="G167" s="122" t="s">
        <v>49</v>
      </c>
      <c r="H167" s="123" t="s">
        <v>301</v>
      </c>
      <c r="I167" s="136" t="s">
        <v>280</v>
      </c>
      <c r="J167" s="136" t="s">
        <v>286</v>
      </c>
      <c r="K167" s="121" t="s">
        <v>49</v>
      </c>
      <c r="L167" s="123" t="s">
        <v>301</v>
      </c>
      <c r="M167" s="123" t="s">
        <v>280</v>
      </c>
      <c r="N167" s="123" t="s">
        <v>286</v>
      </c>
      <c r="O167" s="121" t="s">
        <v>49</v>
      </c>
      <c r="P167" s="123" t="s">
        <v>301</v>
      </c>
      <c r="Q167" s="123" t="s">
        <v>280</v>
      </c>
      <c r="R167" s="123" t="s">
        <v>286</v>
      </c>
      <c r="S167" s="123" t="s">
        <v>286</v>
      </c>
      <c r="T167" s="123" t="s">
        <v>286</v>
      </c>
      <c r="U167" s="123" t="s">
        <v>286</v>
      </c>
      <c r="V167" s="123" t="s">
        <v>286</v>
      </c>
      <c r="W167" s="123" t="s">
        <v>286</v>
      </c>
      <c r="X167" s="567" t="s">
        <v>286</v>
      </c>
      <c r="Y167" s="137" t="s">
        <v>302</v>
      </c>
      <c r="Z167" s="137" t="s">
        <v>303</v>
      </c>
    </row>
    <row r="168" spans="1:26">
      <c r="A168" s="90">
        <v>1990</v>
      </c>
      <c r="B168" s="82">
        <v>889096</v>
      </c>
      <c r="C168" s="82">
        <v>612742</v>
      </c>
      <c r="D168" s="280">
        <f t="shared" ref="D168:D194" si="26">C168*F128</f>
        <v>494967.6473271728</v>
      </c>
      <c r="E168" s="280">
        <f t="shared" ref="E168:E194" si="27">C168*G128</f>
        <v>105066.67010761493</v>
      </c>
      <c r="F168" s="280">
        <f>SUM(D168:E168)</f>
        <v>600034.31743478775</v>
      </c>
      <c r="G168" s="82">
        <v>110834</v>
      </c>
      <c r="H168" s="280">
        <f t="shared" ref="H168:H194" si="28">G168*F128</f>
        <v>89530.739240756899</v>
      </c>
      <c r="I168" s="280">
        <f t="shared" ref="I168:I194" si="29">G168*G128</f>
        <v>19004.669689212413</v>
      </c>
      <c r="J168" s="280">
        <f>SUM(H168:I168)</f>
        <v>108535.40892996932</v>
      </c>
      <c r="K168" s="82">
        <v>55927</v>
      </c>
      <c r="L168" s="280">
        <f t="shared" ref="L168:L194" si="30">K168*F128</f>
        <v>45177.343175540096</v>
      </c>
      <c r="M168" s="280">
        <f t="shared" ref="M168:M194" si="31">K168*G128</f>
        <v>9589.7843776150166</v>
      </c>
      <c r="N168" s="280">
        <f>L168+M168</f>
        <v>54767.127553155115</v>
      </c>
      <c r="O168" s="82">
        <v>109593</v>
      </c>
      <c r="P168" s="281">
        <f t="shared" ref="P168:P194" si="32">O168*F128</f>
        <v>88528.270256530232</v>
      </c>
      <c r="Q168" s="281">
        <f t="shared" ref="Q168:Q194" si="33">O168*G128</f>
        <v>18791.875825557647</v>
      </c>
      <c r="R168" s="281">
        <f>P168+Q168</f>
        <v>107320.14608208789</v>
      </c>
      <c r="S168" s="280">
        <f>N168*('[19]Hawaii Pop by County'!R39/SUM('[19]Hawaii Pop by County'!R39:S39))</f>
        <v>54585.008299634625</v>
      </c>
      <c r="T168" s="280">
        <f>N168*('[19]Hawaii Pop by County'!S39/('[19]Hawaii Pop by County'!S39+'[19]Hawaii Pop by County'!R39))</f>
        <v>182.11925352048991</v>
      </c>
      <c r="U168" s="280">
        <f>$R168*('[19]Hawaii Pop by County'!O39/SUM('[19]Hawaii Pop by County'!$O39:$Q39))</f>
        <v>99264.373780073307</v>
      </c>
      <c r="V168" s="280">
        <f>$R168*('[19]Hawaii Pop by County'!P39/SUM('[19]Hawaii Pop by County'!$O39:$Q39))</f>
        <v>2054.9801457399899</v>
      </c>
      <c r="W168" s="280">
        <f>$R168*('[19]Hawaii Pop by County'!Q39/SUM('[19]Hawaii Pop by County'!$O39:$Q39))</f>
        <v>6000.7921562745933</v>
      </c>
      <c r="X168" s="568">
        <f>SUM(F168,J168,N168,R168)</f>
        <v>870657</v>
      </c>
      <c r="Y168" s="138">
        <f t="shared" ref="Y168:Y200" si="34">SUM(U168:W168)-R168</f>
        <v>0</v>
      </c>
      <c r="Z168" s="138">
        <f t="shared" ref="Z168:Z200" si="35">SUM(S168:T168)-N168</f>
        <v>0</v>
      </c>
    </row>
    <row r="169" spans="1:26">
      <c r="A169" s="90">
        <v>1991</v>
      </c>
      <c r="B169" s="82">
        <v>897193</v>
      </c>
      <c r="C169" s="82">
        <v>613119</v>
      </c>
      <c r="D169" s="280">
        <f t="shared" si="26"/>
        <v>490599.48297969333</v>
      </c>
      <c r="E169" s="280">
        <f t="shared" si="27"/>
        <v>109224.46217146143</v>
      </c>
      <c r="F169" s="280">
        <f t="shared" ref="F169:F174" si="36">SUM(D169:E169)</f>
        <v>599823.94515115477</v>
      </c>
      <c r="G169" s="82">
        <v>113265</v>
      </c>
      <c r="H169" s="280">
        <f t="shared" si="28"/>
        <v>90631.264794754301</v>
      </c>
      <c r="I169" s="280">
        <f t="shared" si="29"/>
        <v>20177.663239681988</v>
      </c>
      <c r="J169" s="280">
        <f t="shared" ref="J169:J174" si="37">SUM(H169:I169)</f>
        <v>110808.92803443629</v>
      </c>
      <c r="K169" s="82">
        <v>57751</v>
      </c>
      <c r="L169" s="280">
        <f t="shared" si="30"/>
        <v>46210.622638607303</v>
      </c>
      <c r="M169" s="280">
        <f t="shared" si="31"/>
        <v>10288.087491765986</v>
      </c>
      <c r="N169" s="280">
        <f t="shared" ref="N169:N174" si="38">L169+M169</f>
        <v>56498.710130373292</v>
      </c>
      <c r="O169" s="82">
        <v>113058</v>
      </c>
      <c r="P169" s="281">
        <f t="shared" si="32"/>
        <v>90465.629586945055</v>
      </c>
      <c r="Q169" s="281">
        <f t="shared" si="33"/>
        <v>20140.787097090593</v>
      </c>
      <c r="R169" s="281">
        <f t="shared" ref="R169:R174" si="39">P169+Q169</f>
        <v>110606.41668403565</v>
      </c>
      <c r="S169" s="280">
        <f>N169*('[19]Hawaii Pop by County'!R40/SUM('[19]Hawaii Pop by County'!R40:S40))</f>
        <v>56316.722615208702</v>
      </c>
      <c r="T169" s="280">
        <f>N169*('[19]Hawaii Pop by County'!S40/('[19]Hawaii Pop by County'!S40+'[19]Hawaii Pop by County'!R40))</f>
        <v>181.98751516459262</v>
      </c>
      <c r="U169" s="280">
        <f>$R169*('[19]Hawaii Pop by County'!O40/SUM('[19]Hawaii Pop by County'!$O40:$Q40))</f>
        <v>102272.68629045061</v>
      </c>
      <c r="V169" s="280">
        <f>$R169*('[19]Hawaii Pop by County'!P40/SUM('[19]Hawaii Pop by County'!$O40:$Q40))</f>
        <v>2157.1484003722439</v>
      </c>
      <c r="W169" s="280">
        <f>$R169*('[19]Hawaii Pop by County'!Q40/SUM('[19]Hawaii Pop by County'!$O40:$Q40))</f>
        <v>6176.5819932127906</v>
      </c>
      <c r="X169" s="568">
        <f t="shared" ref="X169:X200" si="40">SUM(F169,J169,N169,R169)</f>
        <v>877738</v>
      </c>
      <c r="Y169" s="138">
        <f t="shared" si="34"/>
        <v>0</v>
      </c>
      <c r="Z169" s="138">
        <f t="shared" si="35"/>
        <v>0</v>
      </c>
    </row>
    <row r="170" spans="1:26">
      <c r="A170" s="90">
        <v>1992</v>
      </c>
      <c r="B170" s="82">
        <v>885761</v>
      </c>
      <c r="C170" s="82">
        <v>611513</v>
      </c>
      <c r="D170" s="280">
        <f t="shared" si="26"/>
        <v>486016.83329814702</v>
      </c>
      <c r="E170" s="280">
        <f t="shared" si="27"/>
        <v>111118.28176675198</v>
      </c>
      <c r="F170" s="280">
        <f t="shared" si="36"/>
        <v>597135.11506489897</v>
      </c>
      <c r="G170" s="82">
        <v>113080</v>
      </c>
      <c r="H170" s="280">
        <f t="shared" si="28"/>
        <v>89873.450784127999</v>
      </c>
      <c r="I170" s="280">
        <f t="shared" si="29"/>
        <v>20547.813868526613</v>
      </c>
      <c r="J170" s="280">
        <f t="shared" si="37"/>
        <v>110421.26465265462</v>
      </c>
      <c r="K170" s="82">
        <v>51165</v>
      </c>
      <c r="L170" s="280">
        <f t="shared" si="30"/>
        <v>40664.795802705245</v>
      </c>
      <c r="M170" s="280">
        <f t="shared" si="31"/>
        <v>9297.2134469682005</v>
      </c>
      <c r="N170" s="280">
        <f t="shared" si="38"/>
        <v>49962.009249673443</v>
      </c>
      <c r="O170" s="82">
        <v>110003</v>
      </c>
      <c r="P170" s="281">
        <f t="shared" si="32"/>
        <v>87427.920115019733</v>
      </c>
      <c r="Q170" s="281">
        <f t="shared" si="33"/>
        <v>19988.690917753211</v>
      </c>
      <c r="R170" s="281">
        <f t="shared" si="39"/>
        <v>107416.61103277294</v>
      </c>
      <c r="S170" s="280">
        <f>N170*('[19]Hawaii Pop by County'!R41/SUM('[19]Hawaii Pop by County'!R41:S41))</f>
        <v>49807.664063062562</v>
      </c>
      <c r="T170" s="280">
        <f>N170*('[19]Hawaii Pop by County'!S41/('[19]Hawaii Pop by County'!S41+'[19]Hawaii Pop by County'!R41))</f>
        <v>154.34518661088009</v>
      </c>
      <c r="U170" s="280">
        <f>$R170*('[19]Hawaii Pop by County'!O41/SUM('[19]Hawaii Pop by County'!$O41:$Q41))</f>
        <v>99340.817693701611</v>
      </c>
      <c r="V170" s="280">
        <f>$R170*('[19]Hawaii Pop by County'!P41/SUM('[19]Hawaii Pop by County'!$O41:$Q41))</f>
        <v>2118.313768522522</v>
      </c>
      <c r="W170" s="280">
        <f>$R170*('[19]Hawaii Pop by County'!Q41/SUM('[19]Hawaii Pop by County'!$O41:$Q41))</f>
        <v>5957.4795705487832</v>
      </c>
      <c r="X170" s="568">
        <f t="shared" si="40"/>
        <v>864935</v>
      </c>
      <c r="Y170" s="138">
        <f t="shared" si="34"/>
        <v>0</v>
      </c>
      <c r="Z170" s="138">
        <f t="shared" si="35"/>
        <v>0</v>
      </c>
    </row>
    <row r="171" spans="1:26">
      <c r="A171" s="90">
        <v>1993</v>
      </c>
      <c r="B171" s="82">
        <v>880152</v>
      </c>
      <c r="C171" s="82">
        <v>604602</v>
      </c>
      <c r="D171" s="280">
        <f t="shared" si="26"/>
        <v>476236.2505180923</v>
      </c>
      <c r="E171" s="280">
        <f t="shared" si="27"/>
        <v>113486.86569819759</v>
      </c>
      <c r="F171" s="280">
        <f t="shared" si="36"/>
        <v>589723.11621628993</v>
      </c>
      <c r="G171" s="82">
        <v>111138</v>
      </c>
      <c r="H171" s="280">
        <f t="shared" si="28"/>
        <v>87541.795114934692</v>
      </c>
      <c r="I171" s="280">
        <f t="shared" si="29"/>
        <v>20861.166982521201</v>
      </c>
      <c r="J171" s="280">
        <f t="shared" si="37"/>
        <v>108402.96209745589</v>
      </c>
      <c r="K171" s="82">
        <v>54068</v>
      </c>
      <c r="L171" s="280">
        <f t="shared" si="30"/>
        <v>42588.581567729212</v>
      </c>
      <c r="M171" s="280">
        <f t="shared" si="31"/>
        <v>10148.838168861743</v>
      </c>
      <c r="N171" s="280">
        <f t="shared" si="38"/>
        <v>52737.419736590957</v>
      </c>
      <c r="O171" s="82">
        <v>110344</v>
      </c>
      <c r="P171" s="281">
        <f t="shared" si="32"/>
        <v>86916.372799243763</v>
      </c>
      <c r="Q171" s="281">
        <f t="shared" si="33"/>
        <v>20712.129150419474</v>
      </c>
      <c r="R171" s="281">
        <f t="shared" si="39"/>
        <v>107628.50194966324</v>
      </c>
      <c r="S171" s="280">
        <f>N171*('[19]Hawaii Pop by County'!R42/SUM('[19]Hawaii Pop by County'!R42:S42))</f>
        <v>52575.750384134866</v>
      </c>
      <c r="T171" s="280">
        <f>N171*('[19]Hawaii Pop by County'!S42/('[19]Hawaii Pop by County'!S42+'[19]Hawaii Pop by County'!R42))</f>
        <v>161.66935245609289</v>
      </c>
      <c r="U171" s="280">
        <f>$R171*('[19]Hawaii Pop by County'!O42/SUM('[19]Hawaii Pop by County'!$O42:$Q42))</f>
        <v>99395.740227551534</v>
      </c>
      <c r="V171" s="280">
        <f>$R171*('[19]Hawaii Pop by County'!P42/SUM('[19]Hawaii Pop by County'!$O42:$Q42))</f>
        <v>2198.9551451260431</v>
      </c>
      <c r="W171" s="280">
        <f>$R171*('[19]Hawaii Pop by County'!Q42/SUM('[19]Hawaii Pop by County'!$O42:$Q42))</f>
        <v>6033.8065769856776</v>
      </c>
      <c r="X171" s="568">
        <f t="shared" si="40"/>
        <v>858492</v>
      </c>
      <c r="Y171" s="138">
        <f t="shared" si="34"/>
        <v>0</v>
      </c>
      <c r="Z171" s="138">
        <f t="shared" si="35"/>
        <v>0</v>
      </c>
    </row>
    <row r="172" spans="1:26">
      <c r="A172" s="90">
        <v>1994</v>
      </c>
      <c r="B172" s="82">
        <v>875144</v>
      </c>
      <c r="C172" s="82">
        <v>600087</v>
      </c>
      <c r="D172" s="280">
        <f t="shared" si="26"/>
        <v>473927.64018950023</v>
      </c>
      <c r="E172" s="280">
        <f t="shared" si="27"/>
        <v>111322.16443922372</v>
      </c>
      <c r="F172" s="280">
        <f t="shared" si="36"/>
        <v>585249.804628724</v>
      </c>
      <c r="G172" s="82">
        <v>111532</v>
      </c>
      <c r="H172" s="280">
        <f t="shared" si="28"/>
        <v>88084.057087747846</v>
      </c>
      <c r="I172" s="280">
        <f t="shared" si="29"/>
        <v>20690.305979358825</v>
      </c>
      <c r="J172" s="280">
        <f t="shared" si="37"/>
        <v>108774.36306710666</v>
      </c>
      <c r="K172" s="82">
        <v>52817</v>
      </c>
      <c r="L172" s="280">
        <f t="shared" si="30"/>
        <v>41713.011899755926</v>
      </c>
      <c r="M172" s="280">
        <f t="shared" si="31"/>
        <v>9798.0838764820419</v>
      </c>
      <c r="N172" s="280">
        <f t="shared" si="38"/>
        <v>51511.095776237969</v>
      </c>
      <c r="O172" s="82">
        <v>110708</v>
      </c>
      <c r="P172" s="281">
        <f t="shared" si="32"/>
        <v>87433.290822995987</v>
      </c>
      <c r="Q172" s="281">
        <f t="shared" si="33"/>
        <v>20537.445704935417</v>
      </c>
      <c r="R172" s="281">
        <f t="shared" si="39"/>
        <v>107970.73652793141</v>
      </c>
      <c r="S172" s="280">
        <f>N172*('[19]Hawaii Pop by County'!R43/SUM('[19]Hawaii Pop by County'!R43:S43))</f>
        <v>51362.901517673359</v>
      </c>
      <c r="T172" s="280">
        <f>N172*('[19]Hawaii Pop by County'!S43/('[19]Hawaii Pop by County'!S43+'[19]Hawaii Pop by County'!R43))</f>
        <v>148.1942585646097</v>
      </c>
      <c r="U172" s="280">
        <f>$R172*('[19]Hawaii Pop by County'!O43/SUM('[19]Hawaii Pop by County'!$O43:$Q43))</f>
        <v>99834.364881575821</v>
      </c>
      <c r="V172" s="280">
        <f>$R172*('[19]Hawaii Pop by County'!P43/SUM('[19]Hawaii Pop by County'!$O43:$Q43))</f>
        <v>2195.586137239146</v>
      </c>
      <c r="W172" s="280">
        <f>$R172*('[19]Hawaii Pop by County'!Q43/SUM('[19]Hawaii Pop by County'!$O43:$Q43))</f>
        <v>5940.7855091164411</v>
      </c>
      <c r="X172" s="568">
        <f t="shared" si="40"/>
        <v>853506.00000000012</v>
      </c>
      <c r="Y172" s="138">
        <f t="shared" si="34"/>
        <v>0</v>
      </c>
      <c r="Z172" s="138">
        <f t="shared" si="35"/>
        <v>0</v>
      </c>
    </row>
    <row r="173" spans="1:26">
      <c r="A173" s="90">
        <v>1995</v>
      </c>
      <c r="B173" s="401">
        <f>'[20]2022'!B9</f>
        <v>877756</v>
      </c>
      <c r="C173" s="401">
        <f>'[20]2022'!C9</f>
        <v>601239</v>
      </c>
      <c r="D173" s="280">
        <f t="shared" si="26"/>
        <v>475534.84353396611</v>
      </c>
      <c r="E173" s="280">
        <f t="shared" si="27"/>
        <v>110697.77199016584</v>
      </c>
      <c r="F173" s="280">
        <f t="shared" si="36"/>
        <v>586232.61552413192</v>
      </c>
      <c r="G173" s="401">
        <f>'[20]2022'!D9</f>
        <v>111624</v>
      </c>
      <c r="H173" s="280">
        <f t="shared" si="28"/>
        <v>88286.191306012144</v>
      </c>
      <c r="I173" s="280">
        <f t="shared" si="29"/>
        <v>20551.774087559643</v>
      </c>
      <c r="J173" s="280">
        <f t="shared" si="37"/>
        <v>108837.96539357179</v>
      </c>
      <c r="K173" s="401">
        <f>'[20]2022'!E9</f>
        <v>52364</v>
      </c>
      <c r="L173" s="280">
        <f t="shared" si="30"/>
        <v>41415.986898409123</v>
      </c>
      <c r="M173" s="280">
        <f t="shared" si="31"/>
        <v>9641.0547760425452</v>
      </c>
      <c r="N173" s="280">
        <f t="shared" si="38"/>
        <v>51057.04167445167</v>
      </c>
      <c r="O173" s="401">
        <f>'[20]2022'!F9</f>
        <v>112529</v>
      </c>
      <c r="P173" s="281">
        <f t="shared" si="32"/>
        <v>89001.978261612559</v>
      </c>
      <c r="Q173" s="281">
        <f t="shared" si="33"/>
        <v>20718.399146231983</v>
      </c>
      <c r="R173" s="281">
        <f t="shared" si="39"/>
        <v>109720.37740784454</v>
      </c>
      <c r="S173" s="280">
        <f>N173*('[19]Hawaii Pop by County'!R44/SUM('[19]Hawaii Pop by County'!R44:S44))</f>
        <v>50916.655724427401</v>
      </c>
      <c r="T173" s="280">
        <f>N173*('[19]Hawaii Pop by County'!S44/('[19]Hawaii Pop by County'!S44+'[19]Hawaii Pop by County'!R44))</f>
        <v>140.3859500242749</v>
      </c>
      <c r="U173" s="280">
        <f>$R173*('[19]Hawaii Pop by County'!O44/SUM('[19]Hawaii Pop by County'!$O44:$Q44))</f>
        <v>101489.24913133988</v>
      </c>
      <c r="V173" s="280">
        <f>$R173*('[19]Hawaii Pop by County'!P44/SUM('[19]Hawaii Pop by County'!$O44:$Q44))</f>
        <v>2249.7867945026082</v>
      </c>
      <c r="W173" s="280">
        <f>$R173*('[19]Hawaii Pop by County'!Q44/SUM('[19]Hawaii Pop by County'!$O44:$Q44))</f>
        <v>5981.3414820020344</v>
      </c>
      <c r="X173" s="568">
        <f t="shared" si="40"/>
        <v>855847.99999999988</v>
      </c>
      <c r="Y173" s="138">
        <f t="shared" si="34"/>
        <v>0</v>
      </c>
      <c r="Z173" s="138">
        <f t="shared" si="35"/>
        <v>0</v>
      </c>
    </row>
    <row r="174" spans="1:26">
      <c r="A174" s="90">
        <v>1996</v>
      </c>
      <c r="B174" s="401">
        <f>'[20]2022'!B10</f>
        <v>884617</v>
      </c>
      <c r="C174" s="401">
        <f>'[20]2022'!C10</f>
        <v>598772</v>
      </c>
      <c r="D174" s="280">
        <f t="shared" si="26"/>
        <v>475904.26203430415</v>
      </c>
      <c r="E174" s="280">
        <f t="shared" si="27"/>
        <v>108308.23286913997</v>
      </c>
      <c r="F174" s="280">
        <f t="shared" si="36"/>
        <v>584212.49490344408</v>
      </c>
      <c r="G174" s="401">
        <f>'[20]2022'!D10</f>
        <v>115647</v>
      </c>
      <c r="H174" s="280">
        <f t="shared" si="28"/>
        <v>91916.288990602712</v>
      </c>
      <c r="I174" s="280">
        <f t="shared" si="29"/>
        <v>20918.68391744676</v>
      </c>
      <c r="J174" s="280">
        <f t="shared" si="37"/>
        <v>112834.97290804947</v>
      </c>
      <c r="K174" s="401">
        <f>'[20]2022'!E10</f>
        <v>52984</v>
      </c>
      <c r="L174" s="280">
        <f t="shared" si="30"/>
        <v>42111.707661055574</v>
      </c>
      <c r="M174" s="280">
        <f t="shared" si="31"/>
        <v>9583.9541767793289</v>
      </c>
      <c r="N174" s="280">
        <f t="shared" si="38"/>
        <v>51695.661837834901</v>
      </c>
      <c r="O174" s="401">
        <f>'[20]2022'!F10</f>
        <v>117214</v>
      </c>
      <c r="P174" s="281">
        <f t="shared" si="32"/>
        <v>93161.741314037601</v>
      </c>
      <c r="Q174" s="281">
        <f t="shared" si="33"/>
        <v>21202.129036633931</v>
      </c>
      <c r="R174" s="281">
        <f t="shared" si="39"/>
        <v>114363.87035067152</v>
      </c>
      <c r="S174" s="280">
        <f>N174*('[19]Hawaii Pop by County'!R45/SUM('[19]Hawaii Pop by County'!R45:S45))</f>
        <v>51559.807021688117</v>
      </c>
      <c r="T174" s="280">
        <f>N174*('[19]Hawaii Pop by County'!S45/('[19]Hawaii Pop by County'!S45+'[19]Hawaii Pop by County'!R45))</f>
        <v>135.85481614678991</v>
      </c>
      <c r="U174" s="280">
        <f>$R174*('[19]Hawaii Pop by County'!O45/SUM('[19]Hawaii Pop by County'!$O45:$Q45))</f>
        <v>105823.07120398221</v>
      </c>
      <c r="V174" s="280">
        <f>$R174*('[19]Hawaii Pop by County'!P45/SUM('[19]Hawaii Pop by County'!$O45:$Q45))</f>
        <v>2364.4922774291945</v>
      </c>
      <c r="W174" s="280">
        <f>$R174*('[19]Hawaii Pop by County'!Q45/SUM('[19]Hawaii Pop by County'!$O45:$Q45))</f>
        <v>6176.3068692601128</v>
      </c>
      <c r="X174" s="568">
        <f t="shared" si="40"/>
        <v>863107</v>
      </c>
      <c r="Y174" s="138">
        <f t="shared" si="34"/>
        <v>0</v>
      </c>
      <c r="Z174" s="138">
        <f t="shared" si="35"/>
        <v>0</v>
      </c>
    </row>
    <row r="175" spans="1:26">
      <c r="A175" s="90">
        <v>1997</v>
      </c>
      <c r="B175" s="401">
        <f>'[20]2022'!B11</f>
        <v>884267</v>
      </c>
      <c r="C175" s="401">
        <f>'[20]2022'!C11</f>
        <v>595121</v>
      </c>
      <c r="D175" s="280">
        <f t="shared" si="26"/>
        <v>474265.80755925534</v>
      </c>
      <c r="E175" s="280">
        <f t="shared" si="27"/>
        <v>106643.22913441302</v>
      </c>
      <c r="F175" s="280">
        <f t="shared" ref="F175:F185" si="41">SUM(D175:E175)</f>
        <v>580909.03669366834</v>
      </c>
      <c r="G175" s="401">
        <f>'[20]2022'!D11</f>
        <v>118364</v>
      </c>
      <c r="H175" s="280">
        <f t="shared" si="28"/>
        <v>94327.032731064261</v>
      </c>
      <c r="I175" s="280">
        <f t="shared" si="29"/>
        <v>21210.340709310651</v>
      </c>
      <c r="J175" s="280">
        <f t="shared" ref="J175:J185" si="42">SUM(H175:I175)</f>
        <v>115537.37344037491</v>
      </c>
      <c r="K175" s="401">
        <f>'[20]2022'!E11</f>
        <v>53904</v>
      </c>
      <c r="L175" s="280">
        <f t="shared" si="30"/>
        <v>42957.355043216587</v>
      </c>
      <c r="M175" s="280">
        <f t="shared" si="31"/>
        <v>9659.3745192345759</v>
      </c>
      <c r="N175" s="280">
        <f t="shared" ref="N175:N185" si="43">L175+M175</f>
        <v>52616.729562451161</v>
      </c>
      <c r="O175" s="401">
        <f>'[20]2022'!F11</f>
        <v>116878</v>
      </c>
      <c r="P175" s="281">
        <f t="shared" si="32"/>
        <v>93142.804666463868</v>
      </c>
      <c r="Q175" s="281">
        <f t="shared" si="33"/>
        <v>20944.055637041754</v>
      </c>
      <c r="R175" s="281">
        <f t="shared" ref="R175:R185" si="44">P175+Q175</f>
        <v>114086.86030350561</v>
      </c>
      <c r="S175" s="280">
        <f>N175*('[19]Hawaii Pop by County'!R46/SUM('[19]Hawaii Pop by County'!R46:S46))</f>
        <v>52489.314209173157</v>
      </c>
      <c r="T175" s="280">
        <f>N175*('[19]Hawaii Pop by County'!S46/('[19]Hawaii Pop by County'!S46+'[19]Hawaii Pop by County'!R46))</f>
        <v>127.41535327800194</v>
      </c>
      <c r="U175" s="280">
        <f>$R175*('[19]Hawaii Pop by County'!O46/SUM('[19]Hawaii Pop by County'!$O46:$Q46))</f>
        <v>105769.44211513489</v>
      </c>
      <c r="V175" s="280">
        <f>$R175*('[19]Hawaii Pop by County'!P46/SUM('[19]Hawaii Pop by County'!$O46:$Q46))</f>
        <v>2319.4271362897312</v>
      </c>
      <c r="W175" s="280">
        <f>$R175*('[19]Hawaii Pop by County'!Q46/SUM('[19]Hawaii Pop by County'!$O46:$Q46))</f>
        <v>5997.9910520809672</v>
      </c>
      <c r="X175" s="568">
        <f t="shared" si="40"/>
        <v>863150</v>
      </c>
      <c r="Y175" s="138">
        <f t="shared" si="34"/>
        <v>0</v>
      </c>
      <c r="Z175" s="138">
        <f t="shared" si="35"/>
        <v>0</v>
      </c>
    </row>
    <row r="176" spans="1:26">
      <c r="A176" s="90">
        <v>1998</v>
      </c>
      <c r="B176" s="401">
        <f>'[20]2022'!B12</f>
        <v>893427</v>
      </c>
      <c r="C176" s="401">
        <f>'[20]2022'!C12</f>
        <v>594096</v>
      </c>
      <c r="D176" s="280">
        <f t="shared" si="26"/>
        <v>474605.45324016397</v>
      </c>
      <c r="E176" s="280">
        <f t="shared" si="27"/>
        <v>105713.84096518239</v>
      </c>
      <c r="F176" s="280">
        <f t="shared" si="41"/>
        <v>580319.29420534638</v>
      </c>
      <c r="G176" s="401">
        <f>'[20]2022'!D12</f>
        <v>121959</v>
      </c>
      <c r="H176" s="280">
        <f t="shared" si="28"/>
        <v>97429.382577423778</v>
      </c>
      <c r="I176" s="280">
        <f t="shared" si="29"/>
        <v>21701.466312300839</v>
      </c>
      <c r="J176" s="280">
        <f t="shared" si="42"/>
        <v>119130.84888972461</v>
      </c>
      <c r="K176" s="401">
        <f>'[20]2022'!E12</f>
        <v>56554</v>
      </c>
      <c r="L176" s="280">
        <f t="shared" si="30"/>
        <v>45179.292239880815</v>
      </c>
      <c r="M176" s="280">
        <f t="shared" si="31"/>
        <v>10063.256715993584</v>
      </c>
      <c r="N176" s="280">
        <f t="shared" si="43"/>
        <v>55242.548955874401</v>
      </c>
      <c r="O176" s="401">
        <f>'[20]2022'!F12</f>
        <v>120818</v>
      </c>
      <c r="P176" s="281">
        <f t="shared" si="32"/>
        <v>96517.87194253139</v>
      </c>
      <c r="Q176" s="281">
        <f t="shared" si="33"/>
        <v>21498.436006523196</v>
      </c>
      <c r="R176" s="281">
        <f t="shared" si="44"/>
        <v>118016.30794905458</v>
      </c>
      <c r="S176" s="280">
        <f>N176*('[19]Hawaii Pop by County'!R47/SUM('[19]Hawaii Pop by County'!R47:S47))</f>
        <v>55115.665517944908</v>
      </c>
      <c r="T176" s="280">
        <f>N176*('[19]Hawaii Pop by County'!S47/('[19]Hawaii Pop by County'!S47+'[19]Hawaii Pop by County'!R47))</f>
        <v>126.88343792949573</v>
      </c>
      <c r="U176" s="280">
        <f>$R176*('[19]Hawaii Pop by County'!O47/SUM('[19]Hawaii Pop by County'!$O47:$Q47))</f>
        <v>109483.21833192804</v>
      </c>
      <c r="V176" s="280">
        <f>$R176*('[19]Hawaii Pop by County'!P47/SUM('[19]Hawaii Pop by County'!$O47:$Q47))</f>
        <v>2407.1309429148068</v>
      </c>
      <c r="W176" s="280">
        <f>$R176*('[19]Hawaii Pop by County'!Q47/SUM('[19]Hawaii Pop by County'!$O47:$Q47))</f>
        <v>6125.9586742117208</v>
      </c>
      <c r="X176" s="568">
        <f t="shared" si="40"/>
        <v>872709</v>
      </c>
      <c r="Y176" s="138">
        <f t="shared" si="34"/>
        <v>0</v>
      </c>
      <c r="Z176" s="138">
        <f t="shared" si="35"/>
        <v>0</v>
      </c>
    </row>
    <row r="177" spans="1:26">
      <c r="A177" s="90">
        <v>1999</v>
      </c>
      <c r="B177" s="401">
        <f>'[20]2022'!B13</f>
        <v>906935</v>
      </c>
      <c r="C177" s="401">
        <f>'[20]2022'!C13</f>
        <v>597610</v>
      </c>
      <c r="D177" s="280">
        <f t="shared" si="26"/>
        <v>477820.47293356195</v>
      </c>
      <c r="E177" s="280">
        <f t="shared" si="27"/>
        <v>106132.46800487356</v>
      </c>
      <c r="F177" s="280">
        <f t="shared" si="41"/>
        <v>583952.94093843549</v>
      </c>
      <c r="G177" s="401">
        <f>'[20]2022'!D13</f>
        <v>126039</v>
      </c>
      <c r="H177" s="280">
        <f t="shared" si="28"/>
        <v>100774.77717587257</v>
      </c>
      <c r="I177" s="280">
        <f t="shared" si="29"/>
        <v>22383.879344164689</v>
      </c>
      <c r="J177" s="280">
        <f t="shared" si="42"/>
        <v>123158.65652003726</v>
      </c>
      <c r="K177" s="401">
        <f>'[20]2022'!E13</f>
        <v>57882</v>
      </c>
      <c r="L177" s="280">
        <f t="shared" si="30"/>
        <v>46279.688449558125</v>
      </c>
      <c r="M177" s="280">
        <f t="shared" si="31"/>
        <v>10279.546046850106</v>
      </c>
      <c r="N177" s="280">
        <f t="shared" si="43"/>
        <v>56559.234496408229</v>
      </c>
      <c r="O177" s="401">
        <f>'[20]2022'!F13</f>
        <v>125404</v>
      </c>
      <c r="P177" s="281">
        <f t="shared" si="32"/>
        <v>100267.06144100735</v>
      </c>
      <c r="Q177" s="281">
        <f t="shared" si="33"/>
        <v>22271.10660411165</v>
      </c>
      <c r="R177" s="281">
        <f t="shared" si="44"/>
        <v>122538.168045119</v>
      </c>
      <c r="S177" s="280">
        <f>N177*('[19]Hawaii Pop by County'!R48/SUM('[19]Hawaii Pop by County'!R48:S48))</f>
        <v>56436.178939605641</v>
      </c>
      <c r="T177" s="280">
        <f>N177*('[19]Hawaii Pop by County'!S48/('[19]Hawaii Pop by County'!S48+'[19]Hawaii Pop by County'!R48))</f>
        <v>123.05555680258867</v>
      </c>
      <c r="U177" s="280">
        <f>$R177*('[19]Hawaii Pop by County'!O48/SUM('[19]Hawaii Pop by County'!$O48:$Q48))</f>
        <v>113755.96187227205</v>
      </c>
      <c r="V177" s="280">
        <f>$R177*('[19]Hawaii Pop by County'!P48/SUM('[19]Hawaii Pop by County'!$O48:$Q48))</f>
        <v>2505.4746462097683</v>
      </c>
      <c r="W177" s="280">
        <f>$R177*('[19]Hawaii Pop by County'!Q48/SUM('[19]Hawaii Pop by County'!$O48:$Q48))</f>
        <v>6276.7315266371861</v>
      </c>
      <c r="X177" s="568">
        <f t="shared" si="40"/>
        <v>886209</v>
      </c>
      <c r="Y177" s="138">
        <f t="shared" si="34"/>
        <v>0</v>
      </c>
      <c r="Z177" s="138">
        <f t="shared" si="35"/>
        <v>0</v>
      </c>
    </row>
    <row r="178" spans="1:26">
      <c r="A178" s="90">
        <v>2000</v>
      </c>
      <c r="B178" s="401">
        <f>'[20]2022'!B14</f>
        <v>941242</v>
      </c>
      <c r="C178" s="401">
        <f>'[20]2022'!C14</f>
        <v>614985</v>
      </c>
      <c r="D178" s="280">
        <f t="shared" si="26"/>
        <v>493194.39357784711</v>
      </c>
      <c r="E178" s="280">
        <f t="shared" si="27"/>
        <v>107875.00285792603</v>
      </c>
      <c r="F178" s="280">
        <f t="shared" si="41"/>
        <v>601069.39643577312</v>
      </c>
      <c r="G178" s="401">
        <f>'[20]2022'!D14</f>
        <v>132305</v>
      </c>
      <c r="H178" s="280">
        <f t="shared" si="28"/>
        <v>106103.5378786752</v>
      </c>
      <c r="I178" s="280">
        <f t="shared" si="29"/>
        <v>23207.724177204163</v>
      </c>
      <c r="J178" s="280">
        <f t="shared" si="42"/>
        <v>129311.26205587936</v>
      </c>
      <c r="K178" s="401">
        <f>'[20]2022'!E14</f>
        <v>61316</v>
      </c>
      <c r="L178" s="280">
        <f t="shared" si="30"/>
        <v>49173.081354210713</v>
      </c>
      <c r="M178" s="280">
        <f t="shared" si="31"/>
        <v>10755.487817160731</v>
      </c>
      <c r="N178" s="280">
        <f t="shared" si="43"/>
        <v>59928.569171371448</v>
      </c>
      <c r="O178" s="401">
        <f>'[20]2022'!F14</f>
        <v>132636</v>
      </c>
      <c r="P178" s="281">
        <f t="shared" si="32"/>
        <v>106368.98718926695</v>
      </c>
      <c r="Q178" s="281">
        <f t="shared" si="33"/>
        <v>23265.785147709092</v>
      </c>
      <c r="R178" s="281">
        <f t="shared" si="44"/>
        <v>129634.77233697604</v>
      </c>
      <c r="S178" s="280">
        <f>N178*('[19]Hawaii Pop by County'!R49/SUM('[19]Hawaii Pop by County'!R49:S49))</f>
        <v>59801.061577389803</v>
      </c>
      <c r="T178" s="280">
        <f>N178*('[19]Hawaii Pop by County'!S49/('[19]Hawaii Pop by County'!S49+'[19]Hawaii Pop by County'!R49))</f>
        <v>127.50759398164135</v>
      </c>
      <c r="U178" s="280">
        <f>$R178*('[19]Hawaii Pop by County'!O49/SUM('[19]Hawaii Pop by County'!$O49:$Q49))</f>
        <v>120117.37229367731</v>
      </c>
      <c r="V178" s="280">
        <f>$R178*('[19]Hawaii Pop by County'!P49/SUM('[19]Hawaii Pop by County'!$O49:$Q49))</f>
        <v>3263.4821709808084</v>
      </c>
      <c r="W178" s="280">
        <f>$R178*('[19]Hawaii Pop by County'!Q49/SUM('[19]Hawaii Pop by County'!$O49:$Q49))</f>
        <v>6253.9178723179239</v>
      </c>
      <c r="X178" s="568">
        <f t="shared" si="40"/>
        <v>919943.99999999988</v>
      </c>
      <c r="Y178" s="138">
        <f t="shared" si="34"/>
        <v>0</v>
      </c>
      <c r="Z178" s="138">
        <f t="shared" si="35"/>
        <v>0</v>
      </c>
    </row>
    <row r="179" spans="1:26">
      <c r="A179" s="90">
        <v>2001</v>
      </c>
      <c r="B179" s="401">
        <f>'[20]2022'!B15</f>
        <v>967146</v>
      </c>
      <c r="C179" s="401">
        <f>'[20]2022'!C15</f>
        <v>631232</v>
      </c>
      <c r="D179" s="280">
        <f t="shared" si="26"/>
        <v>506304.13400251872</v>
      </c>
      <c r="E179" s="280">
        <f t="shared" si="27"/>
        <v>109919.60474220024</v>
      </c>
      <c r="F179" s="280">
        <f t="shared" si="41"/>
        <v>616223.73874471895</v>
      </c>
      <c r="G179" s="401">
        <f>'[20]2022'!D15</f>
        <v>136786</v>
      </c>
      <c r="H179" s="280">
        <f t="shared" si="28"/>
        <v>109714.52219416716</v>
      </c>
      <c r="I179" s="280">
        <f t="shared" si="29"/>
        <v>23819.234535426916</v>
      </c>
      <c r="J179" s="280">
        <f t="shared" si="42"/>
        <v>133533.75672959408</v>
      </c>
      <c r="K179" s="401">
        <f>'[20]2022'!E15</f>
        <v>62655</v>
      </c>
      <c r="L179" s="280">
        <f t="shared" si="30"/>
        <v>50254.875411778572</v>
      </c>
      <c r="M179" s="280">
        <f t="shared" si="31"/>
        <v>10910.430452072387</v>
      </c>
      <c r="N179" s="280">
        <f t="shared" si="43"/>
        <v>61165.305863850961</v>
      </c>
      <c r="O179" s="401">
        <f>'[20]2022'!F15</f>
        <v>136473</v>
      </c>
      <c r="P179" s="281">
        <f t="shared" si="32"/>
        <v>109463.46839153551</v>
      </c>
      <c r="Q179" s="281">
        <f t="shared" si="33"/>
        <v>23764.730270300453</v>
      </c>
      <c r="R179" s="281">
        <f t="shared" si="44"/>
        <v>133228.19866183598</v>
      </c>
      <c r="S179" s="280">
        <f>N179*('[19]Hawaii Pop by County'!R50/SUM('[19]Hawaii Pop by County'!R50:S50))</f>
        <v>61031.405448455283</v>
      </c>
      <c r="T179" s="280">
        <f>N179*('[19]Hawaii Pop by County'!S50/('[19]Hawaii Pop by County'!S50+'[19]Hawaii Pop by County'!R50))</f>
        <v>133.90041539567915</v>
      </c>
      <c r="U179" s="280">
        <f>$R179*('[19]Hawaii Pop by County'!O50/SUM('[19]Hawaii Pop by County'!$O50:$Q50))</f>
        <v>123501.08016654041</v>
      </c>
      <c r="V179" s="280">
        <f>$R179*('[19]Hawaii Pop by County'!P50/SUM('[19]Hawaii Pop by County'!$O50:$Q50))</f>
        <v>3331.2582136865449</v>
      </c>
      <c r="W179" s="280">
        <f>$R179*('[19]Hawaii Pop by County'!Q50/SUM('[19]Hawaii Pop by County'!$O50:$Q50))</f>
        <v>6395.8602816090224</v>
      </c>
      <c r="X179" s="568">
        <f t="shared" si="40"/>
        <v>944151</v>
      </c>
      <c r="Y179" s="138">
        <f t="shared" si="34"/>
        <v>0</v>
      </c>
      <c r="Z179" s="138">
        <f t="shared" si="35"/>
        <v>0</v>
      </c>
    </row>
    <row r="180" spans="1:26">
      <c r="A180" s="90">
        <v>2002</v>
      </c>
      <c r="B180" s="401">
        <f>'[20]2022'!B16</f>
        <v>987598</v>
      </c>
      <c r="C180" s="401">
        <f>'[20]2022'!C16</f>
        <v>643810</v>
      </c>
      <c r="D180" s="280">
        <f t="shared" si="26"/>
        <v>516614.8943395997</v>
      </c>
      <c r="E180" s="280">
        <f t="shared" si="27"/>
        <v>104916.60089429098</v>
      </c>
      <c r="F180" s="280">
        <f t="shared" si="41"/>
        <v>621531.49523389072</v>
      </c>
      <c r="G180" s="401">
        <f>'[20]2022'!D16</f>
        <v>142150</v>
      </c>
      <c r="H180" s="280">
        <f t="shared" si="28"/>
        <v>114065.96236525387</v>
      </c>
      <c r="I180" s="280">
        <f t="shared" si="29"/>
        <v>23165.056176703474</v>
      </c>
      <c r="J180" s="280">
        <f t="shared" si="42"/>
        <v>137231.01854195734</v>
      </c>
      <c r="K180" s="401">
        <f>'[20]2022'!E16</f>
        <v>63580</v>
      </c>
      <c r="L180" s="280">
        <f t="shared" si="30"/>
        <v>51018.73997314697</v>
      </c>
      <c r="M180" s="280">
        <f t="shared" si="31"/>
        <v>10361.12748304472</v>
      </c>
      <c r="N180" s="280">
        <f t="shared" si="43"/>
        <v>61379.867456191692</v>
      </c>
      <c r="O180" s="401">
        <f>'[20]2022'!F16</f>
        <v>138058</v>
      </c>
      <c r="P180" s="281">
        <f t="shared" si="32"/>
        <v>110782.40332199943</v>
      </c>
      <c r="Q180" s="281">
        <f t="shared" si="33"/>
        <v>22498.215445960803</v>
      </c>
      <c r="R180" s="281">
        <f t="shared" si="44"/>
        <v>133280.61876796023</v>
      </c>
      <c r="S180" s="280">
        <f>N180*('[19]Hawaii Pop by County'!R51/SUM('[19]Hawaii Pop by County'!R51:S51))</f>
        <v>61245.629794805209</v>
      </c>
      <c r="T180" s="280">
        <f>N180*('[19]Hawaii Pop by County'!S51/('[19]Hawaii Pop by County'!S51+'[19]Hawaii Pop by County'!R51))</f>
        <v>134.23766138648722</v>
      </c>
      <c r="U180" s="280">
        <f>$R180*('[19]Hawaii Pop by County'!O51/SUM('[19]Hawaii Pop by County'!$O51:$Q51))</f>
        <v>123549.01976414263</v>
      </c>
      <c r="V180" s="280">
        <f>$R180*('[19]Hawaii Pop by County'!P51/SUM('[19]Hawaii Pop by County'!$O51:$Q51))</f>
        <v>3332.5617568161811</v>
      </c>
      <c r="W180" s="280">
        <f>$R180*('[19]Hawaii Pop by County'!Q51/SUM('[19]Hawaii Pop by County'!$O51:$Q51))</f>
        <v>6399.0372470014217</v>
      </c>
      <c r="X180" s="568">
        <f t="shared" si="40"/>
        <v>953423</v>
      </c>
      <c r="Y180" s="138">
        <f t="shared" si="34"/>
        <v>0</v>
      </c>
      <c r="Z180" s="138">
        <f t="shared" si="35"/>
        <v>0</v>
      </c>
    </row>
    <row r="181" spans="1:26">
      <c r="A181" s="90">
        <v>2003</v>
      </c>
      <c r="B181" s="401">
        <f>'[20]2022'!B17</f>
        <v>1030845</v>
      </c>
      <c r="C181" s="401">
        <f>'[20]2022'!C17</f>
        <v>667565</v>
      </c>
      <c r="D181" s="280">
        <f t="shared" si="26"/>
        <v>537934.950142844</v>
      </c>
      <c r="E181" s="280">
        <f t="shared" si="27"/>
        <v>113095.77983595981</v>
      </c>
      <c r="F181" s="280">
        <f t="shared" si="41"/>
        <v>651030.72997880378</v>
      </c>
      <c r="G181" s="401">
        <f>'[20]2022'!D17</f>
        <v>150983</v>
      </c>
      <c r="H181" s="280">
        <f t="shared" si="28"/>
        <v>121664.60580979682</v>
      </c>
      <c r="I181" s="280">
        <f t="shared" si="29"/>
        <v>25578.842699920937</v>
      </c>
      <c r="J181" s="280">
        <f t="shared" si="42"/>
        <v>147243.44850971777</v>
      </c>
      <c r="K181" s="401">
        <f>'[20]2022'!E17</f>
        <v>67312</v>
      </c>
      <c r="L181" s="280">
        <f t="shared" si="30"/>
        <v>54241.126128564429</v>
      </c>
      <c r="M181" s="280">
        <f t="shared" si="31"/>
        <v>11403.688228589166</v>
      </c>
      <c r="N181" s="280">
        <f t="shared" si="43"/>
        <v>65644.814357153591</v>
      </c>
      <c r="O181" s="401">
        <f>'[20]2022'!F17</f>
        <v>144985</v>
      </c>
      <c r="P181" s="281">
        <f t="shared" si="32"/>
        <v>116831.31791879477</v>
      </c>
      <c r="Q181" s="281">
        <f t="shared" si="33"/>
        <v>24562.689235530073</v>
      </c>
      <c r="R181" s="281">
        <f t="shared" si="44"/>
        <v>141394.00715432485</v>
      </c>
      <c r="S181" s="280">
        <f>N181*('[19]Hawaii Pop by County'!R52/SUM('[19]Hawaii Pop by County'!R52:S52))</f>
        <v>65499.452182844354</v>
      </c>
      <c r="T181" s="280">
        <f>N181*('[19]Hawaii Pop by County'!S52/('[19]Hawaii Pop by County'!S52+'[19]Hawaii Pop by County'!R52))</f>
        <v>145.36217430923992</v>
      </c>
      <c r="U181" s="280">
        <f>$R181*('[19]Hawaii Pop by County'!O52/SUM('[19]Hawaii Pop by County'!$O52:$Q52))</f>
        <v>130998.03600532662</v>
      </c>
      <c r="V181" s="280">
        <f>$R181*('[19]Hawaii Pop by County'!P52/SUM('[19]Hawaii Pop by County'!$O52:$Q52))</f>
        <v>3534.63905535715</v>
      </c>
      <c r="W181" s="280">
        <f>$R181*('[19]Hawaii Pop by County'!Q52/SUM('[19]Hawaii Pop by County'!$O52:$Q52))</f>
        <v>6861.3320936410801</v>
      </c>
      <c r="X181" s="568">
        <f t="shared" si="40"/>
        <v>1005313</v>
      </c>
      <c r="Y181" s="138">
        <f t="shared" si="34"/>
        <v>0</v>
      </c>
      <c r="Z181" s="138">
        <f t="shared" si="35"/>
        <v>0</v>
      </c>
    </row>
    <row r="182" spans="1:26">
      <c r="A182" s="90">
        <v>2004</v>
      </c>
      <c r="B182" s="401">
        <f>'[20]2022'!B18</f>
        <v>1072211</v>
      </c>
      <c r="C182" s="401">
        <f>'[20]2022'!C18</f>
        <v>688163</v>
      </c>
      <c r="D182" s="280">
        <f t="shared" si="26"/>
        <v>556532.15697283461</v>
      </c>
      <c r="E182" s="280">
        <f t="shared" si="27"/>
        <v>114625.90772525185</v>
      </c>
      <c r="F182" s="280">
        <f t="shared" si="41"/>
        <v>671158.06469808647</v>
      </c>
      <c r="G182" s="401">
        <f>'[20]2022'!D18</f>
        <v>159627</v>
      </c>
      <c r="H182" s="280">
        <f t="shared" si="28"/>
        <v>129093.77374416044</v>
      </c>
      <c r="I182" s="280">
        <f t="shared" si="29"/>
        <v>26588.743905817046</v>
      </c>
      <c r="J182" s="280">
        <f t="shared" si="42"/>
        <v>155682.5176499775</v>
      </c>
      <c r="K182" s="401">
        <f>'[20]2022'!E18</f>
        <v>71517</v>
      </c>
      <c r="L182" s="280">
        <f t="shared" si="30"/>
        <v>57837.329630082138</v>
      </c>
      <c r="M182" s="280">
        <f t="shared" si="31"/>
        <v>11912.440864717859</v>
      </c>
      <c r="N182" s="280">
        <f t="shared" si="43"/>
        <v>69749.770494800003</v>
      </c>
      <c r="O182" s="401">
        <f>'[20]2022'!F18</f>
        <v>152904</v>
      </c>
      <c r="P182" s="281">
        <f t="shared" si="32"/>
        <v>123656.7396529228</v>
      </c>
      <c r="Q182" s="281">
        <f t="shared" si="33"/>
        <v>25468.907504213257</v>
      </c>
      <c r="R182" s="281">
        <f t="shared" si="44"/>
        <v>149125.64715713606</v>
      </c>
      <c r="S182" s="280">
        <f>N182*('[19]Hawaii Pop by County'!R53/SUM('[19]Hawaii Pop by County'!R53:S53))</f>
        <v>69596.726603360294</v>
      </c>
      <c r="T182" s="280">
        <f>N182*('[19]Hawaii Pop by County'!S53/('[19]Hawaii Pop by County'!S53+'[19]Hawaii Pop by County'!R53))</f>
        <v>153.04389143970155</v>
      </c>
      <c r="U182" s="280">
        <f>$R182*('[19]Hawaii Pop by County'!O53/SUM('[19]Hawaii Pop by County'!$O53:$Q53))</f>
        <v>138206.44678190403</v>
      </c>
      <c r="V182" s="280">
        <f>$R182*('[19]Hawaii Pop by County'!P53/SUM('[19]Hawaii Pop by County'!$O53:$Q53))</f>
        <v>3728.4155283612827</v>
      </c>
      <c r="W182" s="280">
        <f>$R182*('[19]Hawaii Pop by County'!Q53/SUM('[19]Hawaii Pop by County'!$O53:$Q53))</f>
        <v>7190.7848468707434</v>
      </c>
      <c r="X182" s="568">
        <f t="shared" si="40"/>
        <v>1045716</v>
      </c>
      <c r="Y182" s="138">
        <f t="shared" si="34"/>
        <v>0</v>
      </c>
      <c r="Z182" s="138">
        <f t="shared" si="35"/>
        <v>0</v>
      </c>
    </row>
    <row r="183" spans="1:26">
      <c r="A183" s="90">
        <v>2005</v>
      </c>
      <c r="B183" s="401">
        <f>'[20]2022'!B19</f>
        <v>1119838</v>
      </c>
      <c r="C183" s="401">
        <f>'[20]2022'!C19</f>
        <v>714604</v>
      </c>
      <c r="D183" s="280">
        <f t="shared" si="26"/>
        <v>578657.08486048877</v>
      </c>
      <c r="E183" s="280">
        <f t="shared" si="27"/>
        <v>117743.57349188007</v>
      </c>
      <c r="F183" s="280">
        <f t="shared" si="41"/>
        <v>696400.65835236886</v>
      </c>
      <c r="G183" s="401">
        <f>'[20]2022'!D19</f>
        <v>169396</v>
      </c>
      <c r="H183" s="280">
        <f t="shared" si="28"/>
        <v>137169.9508357459</v>
      </c>
      <c r="I183" s="280">
        <f t="shared" si="29"/>
        <v>27910.969397359258</v>
      </c>
      <c r="J183" s="280">
        <f t="shared" si="42"/>
        <v>165080.92023310516</v>
      </c>
      <c r="K183" s="401">
        <f>'[20]2022'!E19</f>
        <v>75561</v>
      </c>
      <c r="L183" s="280">
        <f t="shared" si="30"/>
        <v>61186.206611134832</v>
      </c>
      <c r="M183" s="280">
        <f t="shared" si="31"/>
        <v>12450.00329779843</v>
      </c>
      <c r="N183" s="280">
        <f t="shared" si="43"/>
        <v>73636.209908933262</v>
      </c>
      <c r="O183" s="401">
        <f>'[20]2022'!F19</f>
        <v>160277</v>
      </c>
      <c r="P183" s="281">
        <f t="shared" si="32"/>
        <v>129785.75769263055</v>
      </c>
      <c r="Q183" s="281">
        <f t="shared" si="33"/>
        <v>26408.453812962231</v>
      </c>
      <c r="R183" s="281">
        <f t="shared" si="44"/>
        <v>156194.21150559277</v>
      </c>
      <c r="S183" s="280">
        <f>N183*('[19]Hawaii Pop by County'!R54/SUM('[19]Hawaii Pop by County'!R54:S54))</f>
        <v>73475.892374824529</v>
      </c>
      <c r="T183" s="280">
        <f>N183*('[19]Hawaii Pop by County'!S54/('[19]Hawaii Pop by County'!S54+'[19]Hawaii Pop by County'!R54))</f>
        <v>160.31753410873489</v>
      </c>
      <c r="U183" s="280">
        <f>$R183*('[19]Hawaii Pop by County'!O54/SUM('[19]Hawaii Pop by County'!$O54:$Q54))</f>
        <v>144796.06671865398</v>
      </c>
      <c r="V183" s="280">
        <f>$R183*('[19]Hawaii Pop by County'!P54/SUM('[19]Hawaii Pop by County'!$O54:$Q54))</f>
        <v>3905.5670148984123</v>
      </c>
      <c r="W183" s="280">
        <f>$R183*('[19]Hawaii Pop by County'!Q54/SUM('[19]Hawaii Pop by County'!$O54:$Q54))</f>
        <v>7492.5777720403885</v>
      </c>
      <c r="X183" s="568">
        <f t="shared" si="40"/>
        <v>1091312</v>
      </c>
      <c r="Y183" s="138">
        <f t="shared" si="34"/>
        <v>0</v>
      </c>
      <c r="Z183" s="138">
        <f t="shared" si="35"/>
        <v>0</v>
      </c>
    </row>
    <row r="184" spans="1:26">
      <c r="A184" s="90">
        <v>2006</v>
      </c>
      <c r="B184" s="401">
        <f>'[20]2022'!B20</f>
        <v>1127467</v>
      </c>
      <c r="C184" s="401">
        <f>'[20]2022'!C20</f>
        <v>719606</v>
      </c>
      <c r="D184" s="280">
        <f t="shared" si="26"/>
        <v>579313.50749423262</v>
      </c>
      <c r="E184" s="280">
        <f t="shared" si="27"/>
        <v>121189.6650349855</v>
      </c>
      <c r="F184" s="280">
        <f t="shared" si="41"/>
        <v>700503.17252921814</v>
      </c>
      <c r="G184" s="401">
        <f>'[20]2022'!D20</f>
        <v>173786</v>
      </c>
      <c r="H184" s="280">
        <f t="shared" si="28"/>
        <v>139905.13866392541</v>
      </c>
      <c r="I184" s="280">
        <f t="shared" si="29"/>
        <v>29267.4979471683</v>
      </c>
      <c r="J184" s="280">
        <f t="shared" si="42"/>
        <v>169172.63661109371</v>
      </c>
      <c r="K184" s="401">
        <f>'[20]2022'!E20</f>
        <v>74734</v>
      </c>
      <c r="L184" s="280">
        <f t="shared" si="30"/>
        <v>60164.055982126301</v>
      </c>
      <c r="M184" s="280">
        <f t="shared" si="31"/>
        <v>12586.037952330313</v>
      </c>
      <c r="N184" s="280">
        <f t="shared" si="43"/>
        <v>72750.093934456614</v>
      </c>
      <c r="O184" s="401">
        <f>'[20]2022'!F20</f>
        <v>159341</v>
      </c>
      <c r="P184" s="281">
        <f t="shared" si="32"/>
        <v>128276.29785971562</v>
      </c>
      <c r="Q184" s="281">
        <f t="shared" si="33"/>
        <v>26834.799065515886</v>
      </c>
      <c r="R184" s="281">
        <f t="shared" si="44"/>
        <v>155111.09692523151</v>
      </c>
      <c r="S184" s="280">
        <f>N184*('[19]Hawaii Pop by County'!R55/SUM('[19]Hawaii Pop by County'!R55:S55))</f>
        <v>72591.60462183434</v>
      </c>
      <c r="T184" s="280">
        <f>N184*('[19]Hawaii Pop by County'!S55/('[19]Hawaii Pop by County'!S55+'[19]Hawaii Pop by County'!R55))</f>
        <v>158.48931262227347</v>
      </c>
      <c r="U184" s="280">
        <f>$R184*('[19]Hawaii Pop by County'!O55/SUM('[19]Hawaii Pop by County'!$O55:$Q55))</f>
        <v>143784.88295711356</v>
      </c>
      <c r="V184" s="280">
        <f>$R184*('[19]Hawaii Pop by County'!P55/SUM('[19]Hawaii Pop by County'!$O55:$Q55))</f>
        <v>3878.4061155259333</v>
      </c>
      <c r="W184" s="280">
        <f>$R184*('[19]Hawaii Pop by County'!Q55/SUM('[19]Hawaii Pop by County'!$O55:$Q55))</f>
        <v>7447.8078525920027</v>
      </c>
      <c r="X184" s="568">
        <f t="shared" si="40"/>
        <v>1097537</v>
      </c>
      <c r="Y184" s="138">
        <f t="shared" si="34"/>
        <v>0</v>
      </c>
      <c r="Z184" s="138">
        <f t="shared" si="35"/>
        <v>0</v>
      </c>
    </row>
    <row r="185" spans="1:26">
      <c r="A185" s="90">
        <v>2007</v>
      </c>
      <c r="B185" s="401">
        <f>'[20]2022'!B21</f>
        <v>1134542</v>
      </c>
      <c r="C185" s="401">
        <f>'[20]2022'!C21</f>
        <v>722486</v>
      </c>
      <c r="D185" s="280">
        <f t="shared" si="26"/>
        <v>580519.09493169934</v>
      </c>
      <c r="E185" s="280">
        <f t="shared" si="27"/>
        <v>122378.67531567805</v>
      </c>
      <c r="F185" s="280">
        <f t="shared" si="41"/>
        <v>702897.77024737734</v>
      </c>
      <c r="G185" s="401">
        <f>'[20]2022'!D21</f>
        <v>176386</v>
      </c>
      <c r="H185" s="280">
        <f t="shared" si="28"/>
        <v>141726.54013866387</v>
      </c>
      <c r="I185" s="280">
        <f t="shared" si="29"/>
        <v>29877.23640905317</v>
      </c>
      <c r="J185" s="280">
        <f t="shared" si="42"/>
        <v>171603.77654771705</v>
      </c>
      <c r="K185" s="401">
        <f>'[20]2022'!E21</f>
        <v>75594</v>
      </c>
      <c r="L185" s="280">
        <f t="shared" si="30"/>
        <v>60739.945773713094</v>
      </c>
      <c r="M185" s="280">
        <f t="shared" si="31"/>
        <v>12804.529889594216</v>
      </c>
      <c r="N185" s="280">
        <f t="shared" si="43"/>
        <v>73544.475663307312</v>
      </c>
      <c r="O185" s="401">
        <f>'[20]2022'!F21</f>
        <v>160076</v>
      </c>
      <c r="P185" s="281">
        <f t="shared" si="32"/>
        <v>128621.41915592371</v>
      </c>
      <c r="Q185" s="281">
        <f t="shared" si="33"/>
        <v>27114.558385674572</v>
      </c>
      <c r="R185" s="281">
        <f t="shared" si="44"/>
        <v>155735.97754159829</v>
      </c>
      <c r="S185" s="280">
        <f>N185*('[19]Hawaii Pop by County'!R56/SUM('[19]Hawaii Pop by County'!R56:S56))</f>
        <v>73384.404497610929</v>
      </c>
      <c r="T185" s="280">
        <f>N185*('[19]Hawaii Pop by County'!S56/('[19]Hawaii Pop by County'!S56+'[19]Hawaii Pop by County'!R56))</f>
        <v>160.07116569638563</v>
      </c>
      <c r="U185" s="280">
        <f>$R185*('[19]Hawaii Pop by County'!O56/SUM('[19]Hawaii Pop by County'!$O56:$Q56))</f>
        <v>144365.97788645985</v>
      </c>
      <c r="V185" s="280">
        <f>$R185*('[19]Hawaii Pop by County'!P56/SUM('[19]Hawaii Pop by County'!$O56:$Q56))</f>
        <v>3894.0509131948475</v>
      </c>
      <c r="W185" s="280">
        <f>$R185*('[19]Hawaii Pop by County'!Q56/SUM('[19]Hawaii Pop by County'!$O56:$Q56))</f>
        <v>7475.9487419435745</v>
      </c>
      <c r="X185" s="568">
        <f t="shared" si="40"/>
        <v>1103782</v>
      </c>
      <c r="Y185" s="138">
        <f t="shared" si="34"/>
        <v>0</v>
      </c>
      <c r="Z185" s="138">
        <f t="shared" si="35"/>
        <v>0</v>
      </c>
    </row>
    <row r="186" spans="1:26">
      <c r="A186" s="90">
        <v>2008</v>
      </c>
      <c r="B186" s="401">
        <f>'[20]2022'!B22</f>
        <v>1127567</v>
      </c>
      <c r="C186" s="401">
        <f>'[20]2022'!C22</f>
        <v>719640</v>
      </c>
      <c r="D186" s="280">
        <f t="shared" si="26"/>
        <v>576646.61480869865</v>
      </c>
      <c r="E186" s="280">
        <f t="shared" si="27"/>
        <v>122193.67430937586</v>
      </c>
      <c r="F186" s="280">
        <f t="shared" ref="F186:F193" si="45">SUM(D186:E186)</f>
        <v>698840.28911807446</v>
      </c>
      <c r="G186" s="401">
        <f>'[20]2022'!D22</f>
        <v>175166</v>
      </c>
      <c r="H186" s="280">
        <f t="shared" si="28"/>
        <v>140360.29254846938</v>
      </c>
      <c r="I186" s="280">
        <f t="shared" si="29"/>
        <v>29742.895272742109</v>
      </c>
      <c r="J186" s="280">
        <f t="shared" ref="J186:J193" si="46">SUM(H186:I186)</f>
        <v>170103.1878212115</v>
      </c>
      <c r="K186" s="401">
        <f>'[20]2022'!E22</f>
        <v>74344</v>
      </c>
      <c r="L186" s="280">
        <f t="shared" si="30"/>
        <v>59571.7524475264</v>
      </c>
      <c r="M186" s="280">
        <f t="shared" si="31"/>
        <v>12623.487469924183</v>
      </c>
      <c r="N186" s="280">
        <f t="shared" ref="N186:N193" si="47">L186+M186</f>
        <v>72195.239917450584</v>
      </c>
      <c r="O186" s="401">
        <f>'[20]2022'!F22</f>
        <v>158417</v>
      </c>
      <c r="P186" s="281">
        <f t="shared" si="32"/>
        <v>126939.34019530546</v>
      </c>
      <c r="Q186" s="281">
        <f t="shared" si="33"/>
        <v>26898.942947957861</v>
      </c>
      <c r="R186" s="281">
        <f t="shared" ref="R186:R193" si="48">P186+Q186</f>
        <v>153838.28314326331</v>
      </c>
      <c r="S186" s="280">
        <f>N186*('[19]Hawaii Pop by County'!R57/SUM('[19]Hawaii Pop by County'!R57:S57))</f>
        <v>72031.21664324282</v>
      </c>
      <c r="T186" s="280">
        <f>N186*('[19]Hawaii Pop by County'!S57/('[19]Hawaii Pop by County'!S57+'[19]Hawaii Pop by County'!R57))</f>
        <v>164.0232742077564</v>
      </c>
      <c r="U186" s="280">
        <f>$R186*('[19]Hawaii Pop by County'!O57/SUM('[19]Hawaii Pop by County'!$O57:$Q57))</f>
        <v>142253.86846874221</v>
      </c>
      <c r="V186" s="280">
        <f>$R186*('[19]Hawaii Pop by County'!P57/SUM('[19]Hawaii Pop by County'!$O57:$Q57))</f>
        <v>3845.8189604628215</v>
      </c>
      <c r="W186" s="280">
        <f>$R186*('[19]Hawaii Pop by County'!Q57/SUM('[19]Hawaii Pop by County'!$O57:$Q57))</f>
        <v>7738.5957140582832</v>
      </c>
      <c r="X186" s="568">
        <f t="shared" si="40"/>
        <v>1094977</v>
      </c>
      <c r="Y186" s="138">
        <f t="shared" si="34"/>
        <v>0</v>
      </c>
      <c r="Z186" s="138">
        <f t="shared" si="35"/>
        <v>0</v>
      </c>
    </row>
    <row r="187" spans="1:26">
      <c r="A187" s="90">
        <v>2009</v>
      </c>
      <c r="B187" s="401">
        <f>'[20]2022'!B23</f>
        <v>1117790</v>
      </c>
      <c r="C187" s="401">
        <f>'[20]2022'!C23</f>
        <v>718253</v>
      </c>
      <c r="D187" s="280">
        <f t="shared" si="26"/>
        <v>575590.66533964337</v>
      </c>
      <c r="E187" s="280">
        <f t="shared" si="27"/>
        <v>121354.87129067177</v>
      </c>
      <c r="F187" s="280">
        <f t="shared" si="45"/>
        <v>696945.53663031512</v>
      </c>
      <c r="G187" s="401">
        <f>'[20]2022'!D23</f>
        <v>172209</v>
      </c>
      <c r="H187" s="280">
        <f t="shared" si="28"/>
        <v>138004.14740693691</v>
      </c>
      <c r="I187" s="280">
        <f t="shared" si="29"/>
        <v>29096.155574839639</v>
      </c>
      <c r="J187" s="280">
        <f t="shared" si="46"/>
        <v>167100.30298177656</v>
      </c>
      <c r="K187" s="401">
        <f>'[20]2022'!E23</f>
        <v>73847</v>
      </c>
      <c r="L187" s="280">
        <f t="shared" si="30"/>
        <v>59179.208250208001</v>
      </c>
      <c r="M187" s="280">
        <f t="shared" si="31"/>
        <v>12477.070308376349</v>
      </c>
      <c r="N187" s="280">
        <f t="shared" si="47"/>
        <v>71656.278558584352</v>
      </c>
      <c r="O187" s="401">
        <f>'[20]2022'!F23</f>
        <v>153481</v>
      </c>
      <c r="P187" s="281">
        <f t="shared" si="32"/>
        <v>122995.97900321169</v>
      </c>
      <c r="Q187" s="281">
        <f t="shared" si="33"/>
        <v>25931.90282611224</v>
      </c>
      <c r="R187" s="281">
        <f t="shared" si="48"/>
        <v>148927.88182932392</v>
      </c>
      <c r="S187" s="280">
        <f>N187*('[19]Hawaii Pop by County'!R58/SUM('[19]Hawaii Pop by County'!R58:S58))</f>
        <v>71493.47977240177</v>
      </c>
      <c r="T187" s="280">
        <f>N187*('[19]Hawaii Pop by County'!S58/('[19]Hawaii Pop by County'!S58+'[19]Hawaii Pop by County'!R58))</f>
        <v>162.7987861825932</v>
      </c>
      <c r="U187" s="280">
        <f>$R187*('[19]Hawaii Pop by County'!O58/SUM('[19]Hawaii Pop by County'!$O58:$Q58))</f>
        <v>137713.23288461153</v>
      </c>
      <c r="V187" s="280">
        <f>$R187*('[19]Hawaii Pop by County'!P58/SUM('[19]Hawaii Pop by County'!$O58:$Q58))</f>
        <v>3723.0633362399244</v>
      </c>
      <c r="W187" s="280">
        <f>$R187*('[19]Hawaii Pop by County'!Q58/SUM('[19]Hawaii Pop by County'!$O58:$Q58))</f>
        <v>7491.5856084724646</v>
      </c>
      <c r="X187" s="568">
        <f t="shared" si="40"/>
        <v>1084630</v>
      </c>
      <c r="Y187" s="138">
        <f t="shared" si="34"/>
        <v>0</v>
      </c>
      <c r="Z187" s="138">
        <f t="shared" si="35"/>
        <v>0</v>
      </c>
    </row>
    <row r="188" spans="1:26">
      <c r="A188" s="90">
        <v>2010</v>
      </c>
      <c r="B188" s="401">
        <f>'[20]2022'!B24</f>
        <v>1120080</v>
      </c>
      <c r="C188" s="401">
        <f>'[20]2022'!C24</f>
        <v>720267</v>
      </c>
      <c r="D188" s="280">
        <f t="shared" si="26"/>
        <v>577749.20245339617</v>
      </c>
      <c r="E188" s="280">
        <f t="shared" si="27"/>
        <v>120721.63123259053</v>
      </c>
      <c r="F188" s="280">
        <f t="shared" si="45"/>
        <v>698470.8336859867</v>
      </c>
      <c r="G188" s="401">
        <f>'[20]2022'!D24</f>
        <v>171974</v>
      </c>
      <c r="H188" s="280">
        <f t="shared" si="28"/>
        <v>137945.84694664666</v>
      </c>
      <c r="I188" s="280">
        <f t="shared" si="29"/>
        <v>28824.0080547818</v>
      </c>
      <c r="J188" s="280">
        <f t="shared" si="46"/>
        <v>166769.85500142846</v>
      </c>
      <c r="K188" s="401">
        <f>'[20]2022'!E24</f>
        <v>73563</v>
      </c>
      <c r="L188" s="280">
        <f t="shared" si="30"/>
        <v>59007.235622455533</v>
      </c>
      <c r="M188" s="280">
        <f t="shared" si="31"/>
        <v>12329.65741643454</v>
      </c>
      <c r="N188" s="280">
        <f t="shared" si="47"/>
        <v>71336.893038890077</v>
      </c>
      <c r="O188" s="401">
        <f>'[20]2022'!F24</f>
        <v>154276</v>
      </c>
      <c r="P188" s="281">
        <f t="shared" si="32"/>
        <v>123749.7149775016</v>
      </c>
      <c r="Q188" s="281">
        <f t="shared" si="33"/>
        <v>25857.703296193129</v>
      </c>
      <c r="R188" s="281">
        <f t="shared" si="48"/>
        <v>149607.41827369473</v>
      </c>
      <c r="S188" s="280">
        <f>N188*('[19]Hawaii Pop by County'!R59/SUM('[19]Hawaii Pop by County'!R59:S59))</f>
        <v>71174.819877537258</v>
      </c>
      <c r="T188" s="280">
        <f>N188*('[19]Hawaii Pop by County'!S59/('[19]Hawaii Pop by County'!S59+'[19]Hawaii Pop by County'!R59))</f>
        <v>162.07316135283031</v>
      </c>
      <c r="U188" s="280">
        <f>$R188*('[19]Hawaii Pop by County'!O59/SUM('[19]Hawaii Pop by County'!$O59:$Q59))</f>
        <v>138341.59850337773</v>
      </c>
      <c r="V188" s="280">
        <f>$R188*('[19]Hawaii Pop by County'!P59/SUM('[19]Hawaii Pop by County'!$O59:$Q59))</f>
        <v>3740.0511372520623</v>
      </c>
      <c r="W188" s="280">
        <f>$R188*('[19]Hawaii Pop by County'!Q59/SUM('[19]Hawaii Pop by County'!$O59:$Q59))</f>
        <v>7525.7686330649558</v>
      </c>
      <c r="X188" s="568">
        <f t="shared" si="40"/>
        <v>1086185</v>
      </c>
      <c r="Y188" s="138">
        <f t="shared" si="34"/>
        <v>0</v>
      </c>
      <c r="Z188" s="138">
        <f t="shared" si="35"/>
        <v>0</v>
      </c>
    </row>
    <row r="189" spans="1:26">
      <c r="A189" s="90">
        <v>2011</v>
      </c>
      <c r="B189" s="401">
        <f>'[20]2022'!B25</f>
        <v>1181148</v>
      </c>
      <c r="C189" s="401">
        <f>'[20]2022'!C25</f>
        <v>755425</v>
      </c>
      <c r="D189" s="280">
        <f t="shared" si="26"/>
        <v>608338.326145411</v>
      </c>
      <c r="E189" s="280">
        <f t="shared" si="27"/>
        <v>122701.20785032866</v>
      </c>
      <c r="F189" s="280">
        <f t="shared" si="45"/>
        <v>731039.53399573965</v>
      </c>
      <c r="G189" s="401">
        <f>'[20]2022'!D25</f>
        <v>181931</v>
      </c>
      <c r="H189" s="280">
        <f t="shared" si="28"/>
        <v>146507.72745667773</v>
      </c>
      <c r="I189" s="280">
        <f t="shared" si="29"/>
        <v>29550.456293368821</v>
      </c>
      <c r="J189" s="280">
        <f t="shared" si="46"/>
        <v>176058.18375004656</v>
      </c>
      <c r="K189" s="401">
        <f>'[20]2022'!E25</f>
        <v>78373</v>
      </c>
      <c r="L189" s="280">
        <f t="shared" si="30"/>
        <v>63113.213932546976</v>
      </c>
      <c r="M189" s="280">
        <f t="shared" si="31"/>
        <v>12729.869626837619</v>
      </c>
      <c r="N189" s="280">
        <f t="shared" si="47"/>
        <v>75843.083559384599</v>
      </c>
      <c r="O189" s="401">
        <f>'[20]2022'!F25</f>
        <v>165419</v>
      </c>
      <c r="P189" s="281">
        <f t="shared" si="32"/>
        <v>133210.73246536421</v>
      </c>
      <c r="Q189" s="281">
        <f t="shared" si="33"/>
        <v>26868.466229464892</v>
      </c>
      <c r="R189" s="281">
        <f t="shared" si="48"/>
        <v>160079.1986948291</v>
      </c>
      <c r="S189" s="280">
        <f>N189*('[19]Hawaii Pop by County'!R60/SUM('[19]Hawaii Pop by County'!R60:S60))</f>
        <v>75670.772602240511</v>
      </c>
      <c r="T189" s="280">
        <f>N189*('[19]Hawaii Pop by County'!S60/('[19]Hawaii Pop by County'!S60+'[19]Hawaii Pop by County'!R60))</f>
        <v>172.31095714408426</v>
      </c>
      <c r="U189" s="280">
        <f>$R189*('[19]Hawaii Pop by County'!O60/SUM('[19]Hawaii Pop by County'!$O60:$Q60))</f>
        <v>148024.82717848162</v>
      </c>
      <c r="V189" s="280">
        <f>$R189*('[19]Hawaii Pop by County'!P60/SUM('[19]Hawaii Pop by County'!$O60:$Q60))</f>
        <v>4001.836246072457</v>
      </c>
      <c r="W189" s="280">
        <f>$R189*('[19]Hawaii Pop by County'!Q60/SUM('[19]Hawaii Pop by County'!$O60:$Q60))</f>
        <v>8052.5352702750524</v>
      </c>
      <c r="X189" s="568">
        <f t="shared" si="40"/>
        <v>1143019.9999999998</v>
      </c>
      <c r="Y189" s="138">
        <f t="shared" si="34"/>
        <v>0</v>
      </c>
      <c r="Z189" s="138">
        <f t="shared" si="35"/>
        <v>0</v>
      </c>
    </row>
    <row r="190" spans="1:26">
      <c r="A190" s="90">
        <v>2012</v>
      </c>
      <c r="B190" s="401">
        <f>'[20]2022'!B26</f>
        <v>1278233</v>
      </c>
      <c r="C190" s="401">
        <f>'[20]2022'!C26</f>
        <v>814361</v>
      </c>
      <c r="D190" s="280">
        <f t="shared" si="26"/>
        <v>658744.4659737309</v>
      </c>
      <c r="E190" s="280">
        <f t="shared" si="27"/>
        <v>127498.80558865247</v>
      </c>
      <c r="F190" s="280">
        <f t="shared" si="45"/>
        <v>786243.27156238339</v>
      </c>
      <c r="G190" s="401">
        <f>'[20]2022'!D26</f>
        <v>197273</v>
      </c>
      <c r="H190" s="280">
        <f t="shared" si="28"/>
        <v>159576.03204971238</v>
      </c>
      <c r="I190" s="280">
        <f t="shared" si="29"/>
        <v>30885.653751702546</v>
      </c>
      <c r="J190" s="280">
        <f t="shared" si="46"/>
        <v>190461.68580141492</v>
      </c>
      <c r="K190" s="401">
        <f>'[20]2022'!E26</f>
        <v>85292</v>
      </c>
      <c r="L190" s="280">
        <f t="shared" si="30"/>
        <v>68993.521290719291</v>
      </c>
      <c r="M190" s="280">
        <f t="shared" si="31"/>
        <v>13353.571851141382</v>
      </c>
      <c r="N190" s="280">
        <f t="shared" si="47"/>
        <v>82347.093141860678</v>
      </c>
      <c r="O190" s="401">
        <f>'[20]2022'!F26</f>
        <v>181307</v>
      </c>
      <c r="P190" s="281">
        <f t="shared" si="32"/>
        <v>146660.98068583739</v>
      </c>
      <c r="Q190" s="281">
        <f t="shared" si="33"/>
        <v>28385.968808503618</v>
      </c>
      <c r="R190" s="281">
        <f t="shared" si="48"/>
        <v>175046.94949434101</v>
      </c>
      <c r="S190" s="280">
        <f>N190*('[19]Hawaii Pop by County'!R61/SUM('[19]Hawaii Pop by County'!R61:S61))</f>
        <v>82160.005463309237</v>
      </c>
      <c r="T190" s="280">
        <f>N190*('[19]Hawaii Pop by County'!S61/('[19]Hawaii Pop by County'!S61+'[19]Hawaii Pop by County'!R61))</f>
        <v>187.08767855142577</v>
      </c>
      <c r="U190" s="280">
        <f>$R190*('[19]Hawaii Pop by County'!O61/SUM('[19]Hawaii Pop by County'!$O61:$Q61))</f>
        <v>161865.46820750181</v>
      </c>
      <c r="V190" s="280">
        <f>$R190*('[19]Hawaii Pop by County'!P61/SUM('[19]Hawaii Pop by County'!$O61:$Q61))</f>
        <v>4376.0165778084729</v>
      </c>
      <c r="W190" s="280">
        <f>$R190*('[19]Hawaii Pop by County'!Q61/SUM('[19]Hawaii Pop by County'!$O61:$Q61))</f>
        <v>8805.4647090307317</v>
      </c>
      <c r="X190" s="568">
        <f t="shared" si="40"/>
        <v>1234099</v>
      </c>
      <c r="Y190" s="138">
        <f t="shared" si="34"/>
        <v>0</v>
      </c>
      <c r="Z190" s="138">
        <f t="shared" si="35"/>
        <v>0</v>
      </c>
    </row>
    <row r="191" spans="1:26">
      <c r="A191" s="90">
        <v>2013</v>
      </c>
      <c r="B191" s="401">
        <f>'[20]2022'!B27</f>
        <v>1341152</v>
      </c>
      <c r="C191" s="401">
        <f>'[20]2022'!C27</f>
        <v>848567</v>
      </c>
      <c r="D191" s="280">
        <f t="shared" si="26"/>
        <v>689475.23994521121</v>
      </c>
      <c r="E191" s="280">
        <f t="shared" si="27"/>
        <v>128940.99172204194</v>
      </c>
      <c r="F191" s="280">
        <f t="shared" si="45"/>
        <v>818416.23166725319</v>
      </c>
      <c r="G191" s="401">
        <f>'[20]2022'!D27</f>
        <v>208624</v>
      </c>
      <c r="H191" s="280">
        <f t="shared" si="28"/>
        <v>169510.57778387534</v>
      </c>
      <c r="I191" s="280">
        <f t="shared" si="29"/>
        <v>31700.720693851257</v>
      </c>
      <c r="J191" s="280">
        <f t="shared" si="46"/>
        <v>201211.29847772661</v>
      </c>
      <c r="K191" s="401">
        <f>'[20]2022'!E27</f>
        <v>90351</v>
      </c>
      <c r="L191" s="280">
        <f t="shared" si="30"/>
        <v>73411.736968665748</v>
      </c>
      <c r="M191" s="280">
        <f t="shared" si="31"/>
        <v>13728.966060521105</v>
      </c>
      <c r="N191" s="280">
        <f t="shared" si="47"/>
        <v>87140.703029186858</v>
      </c>
      <c r="O191" s="401">
        <f>'[20]2022'!F27</f>
        <v>193610</v>
      </c>
      <c r="P191" s="281">
        <f t="shared" si="32"/>
        <v>157311.44530224762</v>
      </c>
      <c r="Q191" s="281">
        <f t="shared" si="33"/>
        <v>29419.321523585695</v>
      </c>
      <c r="R191" s="281">
        <f t="shared" si="48"/>
        <v>186730.76682583333</v>
      </c>
      <c r="S191" s="280">
        <f>N191*('[19]Hawaii Pop by County'!R62/SUM('[19]Hawaii Pop by County'!R62:S62))</f>
        <v>86942.724555204972</v>
      </c>
      <c r="T191" s="280">
        <f>N191*('[19]Hawaii Pop by County'!S62/('[19]Hawaii Pop by County'!S62+'[19]Hawaii Pop by County'!R62))</f>
        <v>197.97847398188557</v>
      </c>
      <c r="U191" s="280">
        <f>$R191*('[19]Hawaii Pop by County'!O62/SUM('[19]Hawaii Pop by County'!$O62:$Q62))</f>
        <v>172669.46432554937</v>
      </c>
      <c r="V191" s="280">
        <f>$R191*('[19]Hawaii Pop by County'!P62/SUM('[19]Hawaii Pop by County'!$O62:$Q62))</f>
        <v>4668.1015212044704</v>
      </c>
      <c r="W191" s="280">
        <f>$R191*('[19]Hawaii Pop by County'!Q62/SUM('[19]Hawaii Pop by County'!$O62:$Q62))</f>
        <v>9393.2009790794873</v>
      </c>
      <c r="X191" s="568">
        <f t="shared" si="40"/>
        <v>1293499</v>
      </c>
      <c r="Y191" s="138">
        <f t="shared" si="34"/>
        <v>0</v>
      </c>
      <c r="Z191" s="138">
        <f t="shared" si="35"/>
        <v>0</v>
      </c>
    </row>
    <row r="192" spans="1:26">
      <c r="A192" s="90">
        <v>2014</v>
      </c>
      <c r="B192" s="401">
        <f>'[20]2022'!B28</f>
        <v>1284193</v>
      </c>
      <c r="C192" s="401">
        <f>'[20]2022'!C28</f>
        <v>816738</v>
      </c>
      <c r="D192" s="280">
        <f t="shared" si="26"/>
        <v>663225.14426102617</v>
      </c>
      <c r="E192" s="280">
        <f t="shared" si="27"/>
        <v>125221.97075984684</v>
      </c>
      <c r="F192" s="280">
        <f t="shared" si="45"/>
        <v>788447.11502087303</v>
      </c>
      <c r="G192" s="401">
        <f>'[20]2022'!D28</f>
        <v>199336</v>
      </c>
      <c r="H192" s="280">
        <f t="shared" si="28"/>
        <v>161869.10289029765</v>
      </c>
      <c r="I192" s="280">
        <f t="shared" si="29"/>
        <v>30562.122447326841</v>
      </c>
      <c r="J192" s="280">
        <f t="shared" si="46"/>
        <v>192431.22533762449</v>
      </c>
      <c r="K192" s="401">
        <f>'[20]2022'!E28</f>
        <v>85652</v>
      </c>
      <c r="L192" s="280">
        <f t="shared" si="30"/>
        <v>69552.977890394977</v>
      </c>
      <c r="M192" s="280">
        <f t="shared" si="31"/>
        <v>13132.133241654486</v>
      </c>
      <c r="N192" s="280">
        <f t="shared" si="47"/>
        <v>82685.111132049467</v>
      </c>
      <c r="O192" s="401">
        <f>'[20]2022'!F28</f>
        <v>182467</v>
      </c>
      <c r="P192" s="281">
        <f t="shared" si="32"/>
        <v>148170.7749582812</v>
      </c>
      <c r="Q192" s="281">
        <f t="shared" si="33"/>
        <v>27975.773551171824</v>
      </c>
      <c r="R192" s="281">
        <f t="shared" si="48"/>
        <v>176146.54850945302</v>
      </c>
      <c r="S192" s="280">
        <f>N192*('[19]Hawaii Pop by County'!R63/SUM('[19]Hawaii Pop by County'!R63:S63))</f>
        <v>82497.255496807891</v>
      </c>
      <c r="T192" s="280">
        <f>N192*('[19]Hawaii Pop by County'!S63/('[19]Hawaii Pop by County'!S63+'[19]Hawaii Pop by County'!R63))</f>
        <v>187.85563524157999</v>
      </c>
      <c r="U192" s="280">
        <f>$R192*('[19]Hawaii Pop by County'!O63/SUM('[19]Hawaii Pop by County'!$O63:$Q63))</f>
        <v>162882.26461518422</v>
      </c>
      <c r="V192" s="280">
        <f>$R192*('[19]Hawaii Pop by County'!P63/SUM('[19]Hawaii Pop by County'!$O63:$Q63))</f>
        <v>4403.5055659512072</v>
      </c>
      <c r="W192" s="280">
        <f>$R192*('[19]Hawaii Pop by County'!Q63/SUM('[19]Hawaii Pop by County'!$O63:$Q63))</f>
        <v>8860.7783283175704</v>
      </c>
      <c r="X192" s="568">
        <f t="shared" si="40"/>
        <v>1239710</v>
      </c>
      <c r="Y192" s="138">
        <f t="shared" si="34"/>
        <v>0</v>
      </c>
      <c r="Z192" s="138">
        <f t="shared" si="35"/>
        <v>0</v>
      </c>
    </row>
    <row r="193" spans="1:26">
      <c r="A193" s="90">
        <v>2015</v>
      </c>
      <c r="B193" s="401">
        <f>'[20]2022'!B29</f>
        <v>1233523</v>
      </c>
      <c r="C193" s="401">
        <f>'[20]2022'!C29</f>
        <v>780909</v>
      </c>
      <c r="D193" s="280">
        <f t="shared" si="26"/>
        <v>634261.64571799641</v>
      </c>
      <c r="E193" s="280">
        <f t="shared" si="27"/>
        <v>121539.71466766328</v>
      </c>
      <c r="F193" s="280">
        <f t="shared" si="45"/>
        <v>755801.36038565973</v>
      </c>
      <c r="G193" s="401">
        <f>'[20]2022'!D29</f>
        <v>194633</v>
      </c>
      <c r="H193" s="280">
        <f t="shared" si="28"/>
        <v>158082.75598185038</v>
      </c>
      <c r="I193" s="280">
        <f t="shared" si="29"/>
        <v>30292.440329041292</v>
      </c>
      <c r="J193" s="280">
        <f t="shared" si="46"/>
        <v>188375.19631089168</v>
      </c>
      <c r="K193" s="401">
        <f>'[20]2022'!E29</f>
        <v>81947</v>
      </c>
      <c r="L193" s="280">
        <f t="shared" si="30"/>
        <v>66558.125315052908</v>
      </c>
      <c r="M193" s="280">
        <f t="shared" si="31"/>
        <v>12754.130119989657</v>
      </c>
      <c r="N193" s="280">
        <f t="shared" si="47"/>
        <v>79312.255435042563</v>
      </c>
      <c r="O193" s="401">
        <f>'[20]2022'!F29</f>
        <v>176034</v>
      </c>
      <c r="P193" s="281">
        <f t="shared" si="32"/>
        <v>142976.47298510041</v>
      </c>
      <c r="Q193" s="281">
        <f t="shared" si="33"/>
        <v>27397.714883305787</v>
      </c>
      <c r="R193" s="281">
        <f t="shared" si="48"/>
        <v>170374.18786840618</v>
      </c>
      <c r="S193" s="280">
        <f>N193*('[19]Hawaii Pop by County'!R64/SUM('[19]Hawaii Pop by County'!R64:S64))</f>
        <v>79132.06272654637</v>
      </c>
      <c r="T193" s="280">
        <f>N193*('[19]Hawaii Pop by County'!S64/('[19]Hawaii Pop by County'!S64+'[19]Hawaii Pop by County'!R64))</f>
        <v>180.19270849618911</v>
      </c>
      <c r="U193" s="280">
        <f>$R193*('[19]Hawaii Pop by County'!O64/SUM('[19]Hawaii Pop by County'!$O64:$Q64))</f>
        <v>157544.57743740335</v>
      </c>
      <c r="V193" s="280">
        <f>$R193*('[19]Hawaii Pop by County'!P64/SUM('[19]Hawaii Pop by County'!$O64:$Q64))</f>
        <v>4259.2017324295248</v>
      </c>
      <c r="W193" s="280">
        <f>$R193*('[19]Hawaii Pop by County'!Q64/SUM('[19]Hawaii Pop by County'!$O64:$Q64))</f>
        <v>8570.4086985732993</v>
      </c>
      <c r="X193" s="568">
        <f t="shared" si="40"/>
        <v>1193863</v>
      </c>
      <c r="Y193" s="138">
        <f t="shared" si="34"/>
        <v>0</v>
      </c>
      <c r="Z193" s="138">
        <f t="shared" si="35"/>
        <v>0</v>
      </c>
    </row>
    <row r="194" spans="1:26">
      <c r="A194" s="90">
        <v>2016</v>
      </c>
      <c r="B194" s="401">
        <f>'[20]2022'!B30</f>
        <v>1232731</v>
      </c>
      <c r="C194" s="401">
        <f>'[20]2022'!C30</f>
        <v>776653</v>
      </c>
      <c r="D194" s="280">
        <f t="shared" si="26"/>
        <v>630457.27790734556</v>
      </c>
      <c r="E194" s="280">
        <f t="shared" si="27"/>
        <v>122252.20107144219</v>
      </c>
      <c r="F194" s="280">
        <f>SUM(D194:E194)</f>
        <v>752709.47897878778</v>
      </c>
      <c r="G194" s="401">
        <f>'[20]2022'!D30</f>
        <v>196647</v>
      </c>
      <c r="H194" s="280">
        <f t="shared" si="28"/>
        <v>159630.53297759203</v>
      </c>
      <c r="I194" s="280">
        <f t="shared" si="29"/>
        <v>30954.014964335285</v>
      </c>
      <c r="J194" s="280">
        <f>SUM(H194:I194)</f>
        <v>190584.5479419273</v>
      </c>
      <c r="K194" s="401">
        <f>'[20]2022'!E30</f>
        <v>81751</v>
      </c>
      <c r="L194" s="280">
        <f t="shared" si="30"/>
        <v>66362.343190850239</v>
      </c>
      <c r="M194" s="280">
        <f t="shared" si="31"/>
        <v>12868.346210973845</v>
      </c>
      <c r="N194" s="280">
        <f>L194+M194</f>
        <v>79230.689401824086</v>
      </c>
      <c r="O194" s="401">
        <f>'[20]2022'!F30</f>
        <v>177680</v>
      </c>
      <c r="P194" s="281">
        <f t="shared" si="32"/>
        <v>144233.84592421219</v>
      </c>
      <c r="Q194" s="281">
        <f t="shared" si="33"/>
        <v>27968.43775324868</v>
      </c>
      <c r="R194" s="281">
        <f>P194+Q194</f>
        <v>172202.28367746086</v>
      </c>
      <c r="S194" s="280">
        <f>N194*('[19]Hawaii Pop by County'!R65/SUM('[19]Hawaii Pop by County'!R65:S65))</f>
        <v>79050.682006484945</v>
      </c>
      <c r="T194" s="280">
        <f>N194*('[19]Hawaii Pop by County'!S65/('[19]Hawaii Pop by County'!S65+'[19]Hawaii Pop by County'!R65))</f>
        <v>180.00739533914557</v>
      </c>
      <c r="U194" s="280">
        <f>$R194*('[19]Hawaii Pop by County'!O65/SUM('[19]Hawaii Pop by County'!$O65:$Q65))</f>
        <v>159235.0129743584</v>
      </c>
      <c r="V194" s="280">
        <f>$R194*('[19]Hawaii Pop by County'!P65/SUM('[19]Hawaii Pop by County'!$O65:$Q65))</f>
        <v>4304.9024863664217</v>
      </c>
      <c r="W194" s="280">
        <f>$R194*('[19]Hawaii Pop by County'!Q65/SUM('[19]Hawaii Pop by County'!$O65:$Q65))</f>
        <v>8662.3682167360421</v>
      </c>
      <c r="X194" s="568">
        <f t="shared" si="40"/>
        <v>1194727</v>
      </c>
      <c r="Y194" s="138">
        <f t="shared" si="34"/>
        <v>0</v>
      </c>
      <c r="Z194" s="138">
        <f t="shared" si="35"/>
        <v>0</v>
      </c>
    </row>
    <row r="195" spans="1:26">
      <c r="A195" s="90">
        <v>2017</v>
      </c>
      <c r="B195" s="401">
        <f>'[20]2022'!B31</f>
        <v>1259544</v>
      </c>
      <c r="C195" s="401">
        <f>'[20]2022'!C31</f>
        <v>791739</v>
      </c>
      <c r="D195" s="280">
        <f t="shared" ref="D195" si="49">C195*F155</f>
        <v>638704.56056477583</v>
      </c>
      <c r="E195" s="280">
        <f t="shared" ref="E195" si="50">C195*G155</f>
        <v>123835.72284493437</v>
      </c>
      <c r="F195" s="280">
        <f t="shared" ref="F195" si="51">SUM(D195:E195)</f>
        <v>762540.28340971016</v>
      </c>
      <c r="G195" s="401">
        <f>'[20]2022'!D31</f>
        <v>202744</v>
      </c>
      <c r="H195" s="280">
        <f t="shared" ref="H195" si="52">G195*F155</f>
        <v>163555.81501876871</v>
      </c>
      <c r="I195" s="280">
        <f t="shared" ref="I195" si="53">G195*G155</f>
        <v>31711.144445926464</v>
      </c>
      <c r="J195" s="280">
        <f t="shared" ref="J195" si="54">SUM(H195:I195)</f>
        <v>195266.95946469519</v>
      </c>
      <c r="K195" s="401">
        <f>'[20]2022'!E31</f>
        <v>84259</v>
      </c>
      <c r="L195" s="280">
        <f t="shared" ref="L195" si="55">K195*F155</f>
        <v>67972.662163449626</v>
      </c>
      <c r="M195" s="280">
        <f t="shared" ref="M195" si="56">K195*G155</f>
        <v>13178.931657012379</v>
      </c>
      <c r="N195" s="280">
        <f t="shared" ref="N195" si="57">L195+M195</f>
        <v>81151.593820462003</v>
      </c>
      <c r="O195" s="401">
        <f>'[20]2022'!F31</f>
        <v>180802</v>
      </c>
      <c r="P195" s="281">
        <f t="shared" ref="P195" si="58">O195*F155</f>
        <v>145854.96225300586</v>
      </c>
      <c r="Q195" s="281">
        <f t="shared" ref="Q195" si="59">O195*G155</f>
        <v>28279.201052126802</v>
      </c>
      <c r="R195" s="281">
        <f>P195+Q195</f>
        <v>174134.16330513265</v>
      </c>
      <c r="S195" s="280">
        <f>N195*('[19]Hawaii Pop by County'!R66/SUM('[19]Hawaii Pop by County'!R66:S66))</f>
        <v>80967.222244983757</v>
      </c>
      <c r="T195" s="280">
        <f>N195*('[19]Hawaii Pop by County'!S66/('[19]Hawaii Pop by County'!S66+'[19]Hawaii Pop by County'!R66))</f>
        <v>184.37157547824341</v>
      </c>
      <c r="U195" s="280">
        <f>$R195*('[19]Hawaii Pop by County'!O66/SUM('[19]Hawaii Pop by County'!$O66:$Q66))</f>
        <v>161021.41714396511</v>
      </c>
      <c r="V195" s="280">
        <f>$R195*('[19]Hawaii Pop by County'!P66/SUM('[19]Hawaii Pop by County'!$O66:$Q66))</f>
        <v>4353.1977425902141</v>
      </c>
      <c r="W195" s="280">
        <f>$R195*('[19]Hawaii Pop by County'!Q66/SUM('[19]Hawaii Pop by County'!$O66:$Q66))</f>
        <v>8759.5484185773112</v>
      </c>
      <c r="X195" s="568">
        <f t="shared" si="40"/>
        <v>1213093</v>
      </c>
      <c r="Y195" s="138">
        <f t="shared" si="34"/>
        <v>0</v>
      </c>
      <c r="Z195" s="138">
        <f t="shared" si="35"/>
        <v>0</v>
      </c>
    </row>
    <row r="196" spans="1:26">
      <c r="A196" s="90">
        <v>2018</v>
      </c>
      <c r="B196" s="401">
        <f>'[20]2022'!B32</f>
        <v>1267136</v>
      </c>
      <c r="C196" s="401">
        <f>'[20]2022'!C32</f>
        <v>793379</v>
      </c>
      <c r="D196" s="280">
        <f t="shared" ref="D196" si="60">C196*F156</f>
        <v>641005.22149635083</v>
      </c>
      <c r="E196" s="280">
        <f t="shared" ref="E196" si="61">C196*G156</f>
        <v>122624.94615495102</v>
      </c>
      <c r="F196" s="280">
        <f t="shared" ref="F196:F197" si="62">SUM(D196:E196)</f>
        <v>763630.16765130183</v>
      </c>
      <c r="G196" s="401">
        <f>'[20]2022'!D32</f>
        <v>205682</v>
      </c>
      <c r="H196" s="280">
        <f t="shared" ref="H196" si="63">G196*F156</f>
        <v>166179.38711235416</v>
      </c>
      <c r="I196" s="280">
        <f t="shared" ref="I196" si="64">G196*G156</f>
        <v>31790.28456140462</v>
      </c>
      <c r="J196" s="280">
        <f t="shared" ref="J196:J197" si="65">SUM(H196:I196)</f>
        <v>197969.67167375877</v>
      </c>
      <c r="K196" s="401">
        <f>'[20]2022'!E32</f>
        <v>85748</v>
      </c>
      <c r="L196" s="280">
        <f t="shared" ref="L196" si="66">K196*F156</f>
        <v>69279.519287590287</v>
      </c>
      <c r="M196" s="280">
        <f t="shared" ref="M196" si="67">K196*G156</f>
        <v>13253.241997701905</v>
      </c>
      <c r="N196" s="280">
        <f t="shared" ref="N196" si="68">L196+M196</f>
        <v>82532.761285292188</v>
      </c>
      <c r="O196" s="401">
        <f>'[20]2022'!F32</f>
        <v>182327</v>
      </c>
      <c r="P196" s="281">
        <f t="shared" ref="P196" si="69">O196*F156</f>
        <v>147309.87210370472</v>
      </c>
      <c r="Q196" s="281">
        <f t="shared" ref="Q196" si="70">O196*G156</f>
        <v>28180.527285942473</v>
      </c>
      <c r="R196" s="281">
        <f>P196+Q196</f>
        <v>175490.39938964718</v>
      </c>
      <c r="S196" s="280">
        <f>N196*('[19]Hawaii Pop by County'!R67/SUM('[19]Hawaii Pop by County'!R67:S67))</f>
        <v>82345.251779805403</v>
      </c>
      <c r="T196" s="280">
        <f>N196*('[19]Hawaii Pop by County'!S67/('[19]Hawaii Pop by County'!S67+'[19]Hawaii Pop by County'!R67))</f>
        <v>187.50950548678287</v>
      </c>
      <c r="U196" s="280">
        <f>$R196*('[19]Hawaii Pop by County'!O67/SUM('[19]Hawaii Pop by County'!$O67:$Q67))</f>
        <v>162275.5251958564</v>
      </c>
      <c r="V196" s="280">
        <f>$R196*('[19]Hawaii Pop by County'!P67/SUM('[19]Hawaii Pop by County'!$O67:$Q67))</f>
        <v>4387.1024270557355</v>
      </c>
      <c r="W196" s="280">
        <f>$R196*('[19]Hawaii Pop by County'!Q67/SUM('[19]Hawaii Pop by County'!$O67:$Q67))</f>
        <v>8827.7717667350753</v>
      </c>
      <c r="X196" s="568">
        <f t="shared" si="40"/>
        <v>1219623</v>
      </c>
      <c r="Y196" s="138">
        <f t="shared" si="34"/>
        <v>0</v>
      </c>
      <c r="Z196" s="138">
        <f t="shared" si="35"/>
        <v>0</v>
      </c>
    </row>
    <row r="197" spans="1:26">
      <c r="A197" s="90">
        <v>2019</v>
      </c>
      <c r="B197" s="401">
        <f>'[20]2022'!B33</f>
        <v>1279843</v>
      </c>
      <c r="C197" s="401">
        <f>'[20]2022'!C33</f>
        <v>795949</v>
      </c>
      <c r="D197" s="280">
        <f t="shared" ref="D197" si="71">C197*F157</f>
        <v>645943.33934552909</v>
      </c>
      <c r="E197" s="280">
        <f t="shared" ref="E197" si="72">C197*G157</f>
        <v>120814.38159758659</v>
      </c>
      <c r="F197" s="280">
        <f t="shared" si="62"/>
        <v>766757.72094311565</v>
      </c>
      <c r="G197" s="401">
        <f>'[20]2022'!D33</f>
        <v>210358</v>
      </c>
      <c r="H197" s="280">
        <f t="shared" ref="H197" si="73">G197*F157</f>
        <v>170713.63740396284</v>
      </c>
      <c r="I197" s="280">
        <f t="shared" ref="I197" si="74">G197*G157</f>
        <v>31929.52272583434</v>
      </c>
      <c r="J197" s="280">
        <f t="shared" si="65"/>
        <v>202643.16012979718</v>
      </c>
      <c r="K197" s="401">
        <f>'[20]2022'!E33</f>
        <v>86650</v>
      </c>
      <c r="L197" s="280">
        <f t="shared" ref="L197" si="75">K197*F157</f>
        <v>70319.819931038423</v>
      </c>
      <c r="M197" s="280">
        <f t="shared" ref="M197" si="76">K197*G157</f>
        <v>13152.307704929433</v>
      </c>
      <c r="N197" s="280">
        <f t="shared" ref="N197" si="77">L197+M197</f>
        <v>83472.12763596786</v>
      </c>
      <c r="O197" s="401">
        <f>'[20]2022'!F33</f>
        <v>186886</v>
      </c>
      <c r="P197" s="281">
        <f t="shared" ref="P197" si="78">O197*F157</f>
        <v>151665.20331946967</v>
      </c>
      <c r="Q197" s="281">
        <f t="shared" ref="Q197" si="79">O197*G157</f>
        <v>28366.78797164965</v>
      </c>
      <c r="R197" s="281">
        <f>P197+Q197</f>
        <v>180031.99129111931</v>
      </c>
      <c r="S197" s="280">
        <f>N197*('[19]Hawaii Pop by County'!R68/SUM('[19]Hawaii Pop by County'!R68:S68))</f>
        <v>83282.483946223292</v>
      </c>
      <c r="T197" s="280">
        <f>N197*('[19]Hawaii Pop by County'!S68/('[19]Hawaii Pop by County'!S68+'[19]Hawaii Pop by County'!R68))</f>
        <v>189.64368974456207</v>
      </c>
      <c r="U197" s="280">
        <f>$R197*('[19]Hawaii Pop by County'!O68/SUM('[19]Hawaii Pop by County'!$O68:$Q68))</f>
        <v>166475.12365594239</v>
      </c>
      <c r="V197" s="280">
        <f>$R197*('[19]Hawaii Pop by County'!P68/SUM('[19]Hawaii Pop by County'!$O68:$Q68))</f>
        <v>4500.6381470890929</v>
      </c>
      <c r="W197" s="280">
        <f>$R197*('[19]Hawaii Pop by County'!Q68/SUM('[19]Hawaii Pop by County'!$O68:$Q68))</f>
        <v>9056.2294880878562</v>
      </c>
      <c r="X197" s="568">
        <f t="shared" si="40"/>
        <v>1232905</v>
      </c>
      <c r="Y197" s="138">
        <f t="shared" si="34"/>
        <v>0</v>
      </c>
      <c r="Z197" s="138">
        <f t="shared" si="35"/>
        <v>0</v>
      </c>
    </row>
    <row r="198" spans="1:26">
      <c r="A198" s="90">
        <v>2020</v>
      </c>
      <c r="B198" s="401">
        <f>'[20]2022'!B34</f>
        <v>1235139</v>
      </c>
      <c r="C198" s="401">
        <f>'[20]2022'!C34</f>
        <v>769543</v>
      </c>
      <c r="D198" s="280">
        <f>C198*F158</f>
        <v>623626.65325683996</v>
      </c>
      <c r="E198" s="280">
        <f>C198*G158</f>
        <v>118095.66941129701</v>
      </c>
      <c r="F198" s="280">
        <f t="shared" ref="F198" si="80">SUM(D198:E198)</f>
        <v>741722.32266813703</v>
      </c>
      <c r="G198" s="401">
        <f>'[20]2022'!D34</f>
        <v>204983</v>
      </c>
      <c r="H198" s="280">
        <f>G198*F158</f>
        <v>166115.29474577357</v>
      </c>
      <c r="I198" s="280">
        <f>G198*G158</f>
        <v>31457.117539807259</v>
      </c>
      <c r="J198" s="280">
        <f t="shared" ref="J198:J200" si="81">SUM(H198:I198)</f>
        <v>197572.41228558082</v>
      </c>
      <c r="K198" s="401">
        <f>'[20]2022'!E34</f>
        <v>82656</v>
      </c>
      <c r="L198" s="280">
        <f>K198*F158</f>
        <v>66983.241549331695</v>
      </c>
      <c r="M198" s="280">
        <f>K198*G158</f>
        <v>12684.561682531277</v>
      </c>
      <c r="N198" s="280">
        <f t="shared" ref="N198:N199" si="82">L198+M198</f>
        <v>79667.80323186297</v>
      </c>
      <c r="O198" s="401">
        <f>'[20]2022'!F34</f>
        <v>177957</v>
      </c>
      <c r="P198" s="281">
        <f>O198*F158</f>
        <v>144213.81044805484</v>
      </c>
      <c r="Q198" s="281">
        <f>O198*G158</f>
        <v>27309.651366364433</v>
      </c>
      <c r="R198" s="281">
        <f t="shared" ref="R198:R199" si="83">P198+Q198</f>
        <v>171523.46181441928</v>
      </c>
      <c r="S198" s="280">
        <f>N198*('[19]Hawaii Pop by County'!R69/SUM('[19]Hawaii Pop by County'!R69:S69))</f>
        <v>79486.802740002677</v>
      </c>
      <c r="T198" s="280">
        <f>N198*('[19]Hawaii Pop by County'!S69/('[19]Hawaii Pop by County'!S69+'[19]Hawaii Pop by County'!R69))</f>
        <v>181.00049186027982</v>
      </c>
      <c r="U198" s="280">
        <f>$R198*('[19]Hawaii Pop by County'!O69/SUM('[19]Hawaii Pop by County'!$O69:$Q69))</f>
        <v>158607.30812712671</v>
      </c>
      <c r="V198" s="280">
        <f>$R198*('[19]Hawaii Pop by County'!P69/SUM('[19]Hawaii Pop by County'!$O69:$Q69))</f>
        <v>4287.9325492459539</v>
      </c>
      <c r="W198" s="280">
        <f>$R198*('[19]Hawaii Pop by County'!Q69/SUM('[19]Hawaii Pop by County'!$O69:$Q69))</f>
        <v>8628.2211380465887</v>
      </c>
      <c r="X198" s="568">
        <f t="shared" si="40"/>
        <v>1190486</v>
      </c>
      <c r="Y198" s="138">
        <f t="shared" si="34"/>
        <v>0</v>
      </c>
      <c r="Z198" s="138">
        <f t="shared" si="35"/>
        <v>0</v>
      </c>
    </row>
    <row r="199" spans="1:26">
      <c r="A199" s="90">
        <v>2021</v>
      </c>
      <c r="B199" s="401">
        <f>'[20]2022'!B35</f>
        <v>1233657</v>
      </c>
      <c r="C199" s="401">
        <f>'[20]2022'!C35</f>
        <v>770201</v>
      </c>
      <c r="D199" s="280">
        <f>C199*F159</f>
        <v>624642.48385977617</v>
      </c>
      <c r="E199" s="280">
        <f>C199*G159</f>
        <v>117327.23384781994</v>
      </c>
      <c r="F199" s="280">
        <f>SUM(D199:E199)</f>
        <v>741969.71770759614</v>
      </c>
      <c r="G199" s="401">
        <f>'[20]2022'!D35</f>
        <v>204633</v>
      </c>
      <c r="H199" s="280">
        <f>G199*F159</f>
        <v>165959.87982315992</v>
      </c>
      <c r="I199" s="280">
        <f>G199*G159</f>
        <v>31172.413232365237</v>
      </c>
      <c r="J199" s="280">
        <f t="shared" si="81"/>
        <v>197132.29305552517</v>
      </c>
      <c r="K199" s="401">
        <f>'[20]2022'!E35</f>
        <v>81644</v>
      </c>
      <c r="L199" s="280">
        <f>K199*F159</f>
        <v>66214.288156270341</v>
      </c>
      <c r="M199" s="280">
        <f>K199*G159</f>
        <v>12437.097173687664</v>
      </c>
      <c r="N199" s="280">
        <f t="shared" si="82"/>
        <v>78651.385329958008</v>
      </c>
      <c r="O199" s="401">
        <f>'[20]2022'!F35</f>
        <v>177179</v>
      </c>
      <c r="P199" s="281">
        <f>O199*F159</f>
        <v>143694.34816079348</v>
      </c>
      <c r="Q199" s="281">
        <f>O199*G159</f>
        <v>26990.255746127168</v>
      </c>
      <c r="R199" s="281">
        <f t="shared" si="83"/>
        <v>170684.60390692065</v>
      </c>
      <c r="S199" s="280">
        <f>N199*('[19]Hawaii Pop by County'!R70/SUM('[19]Hawaii Pop by County'!R70:S70))</f>
        <v>78472.694078879038</v>
      </c>
      <c r="T199" s="280">
        <f>N199*('[19]Hawaii Pop by County'!S70/('[19]Hawaii Pop by County'!S70+'[19]Hawaii Pop by County'!R70))</f>
        <v>178.69125107896991</v>
      </c>
      <c r="U199" s="280">
        <f>$R199*('[19]Hawaii Pop by County'!O70/SUM('[19]Hawaii Pop by County'!$O70:$Q70))</f>
        <v>157831.6183573303</v>
      </c>
      <c r="V199" s="280">
        <f>$R199*('[19]Hawaii Pop by County'!P70/SUM('[19]Hawaii Pop by County'!$O70:$Q70))</f>
        <v>4266.961854696613</v>
      </c>
      <c r="W199" s="280">
        <f>$R199*('[19]Hawaii Pop by County'!Q70/SUM('[19]Hawaii Pop by County'!$O70:$Q70))</f>
        <v>8586.0236948937199</v>
      </c>
      <c r="X199" s="568">
        <f t="shared" si="40"/>
        <v>1188438</v>
      </c>
      <c r="Y199" s="138">
        <f t="shared" si="34"/>
        <v>0</v>
      </c>
      <c r="Z199" s="138">
        <f t="shared" si="35"/>
        <v>0</v>
      </c>
    </row>
    <row r="200" spans="1:26">
      <c r="A200" s="90">
        <v>2022</v>
      </c>
      <c r="B200" s="401">
        <f>'[20]2022'!B36</f>
        <v>1254446</v>
      </c>
      <c r="C200" s="401">
        <f>'[20]2022'!C36</f>
        <v>776485</v>
      </c>
      <c r="D200" s="280">
        <f>C200*F160</f>
        <v>630717.2642711529</v>
      </c>
      <c r="E200" s="280">
        <f>C200*G160</f>
        <v>116865.85732431336</v>
      </c>
      <c r="F200" s="280">
        <f>SUM(D200:E200)</f>
        <v>747583.12159546628</v>
      </c>
      <c r="G200" s="401">
        <f>'[20]2022'!D36</f>
        <v>210791</v>
      </c>
      <c r="H200" s="280">
        <f>G200*F160</f>
        <v>171219.69239969942</v>
      </c>
      <c r="I200" s="280">
        <f>G200*G160</f>
        <v>31725.366145191907</v>
      </c>
      <c r="J200" s="280">
        <f t="shared" si="81"/>
        <v>202945.05854489133</v>
      </c>
      <c r="K200" s="401">
        <f>'[20]2022'!E36</f>
        <v>84104</v>
      </c>
      <c r="L200" s="280">
        <f>K200*F160</f>
        <v>68315.350321334015</v>
      </c>
      <c r="M200" s="280">
        <f>K200*G160</f>
        <v>12658.178927350884</v>
      </c>
      <c r="N200" s="280">
        <f>L200+M200</f>
        <v>80973.529248684907</v>
      </c>
      <c r="O200" s="401">
        <f>'[20]2022'!F36</f>
        <v>183066</v>
      </c>
      <c r="P200" s="281">
        <f>O200*F160</f>
        <v>148699.44261777482</v>
      </c>
      <c r="Q200" s="281">
        <f>O200*G160</f>
        <v>27552.579942861419</v>
      </c>
      <c r="R200" s="281">
        <f t="shared" ref="R200" si="84">P200+Q200</f>
        <v>176252.02256063625</v>
      </c>
      <c r="S200" s="280">
        <f>N200*('[19]Hawaii Pop by County'!R71/SUM('[19]Hawaii Pop by County'!R71:S71))</f>
        <v>80789.562225281246</v>
      </c>
      <c r="T200" s="280">
        <f>N200*('[19]Hawaii Pop by County'!S71/('[19]Hawaii Pop by County'!S71+'[19]Hawaii Pop by County'!R71))</f>
        <v>183.96702340366511</v>
      </c>
      <c r="U200" s="280">
        <f>$R200*('[19]Hawaii Pop by County'!O71/SUM('[19]Hawaii Pop by County'!$O71:$Q71))</f>
        <v>162979.79620158341</v>
      </c>
      <c r="V200" s="280">
        <f>$R200*('[19]Hawaii Pop by County'!P71/SUM('[19]Hawaii Pop by County'!$O71:$Q71))</f>
        <v>4406.1423225347407</v>
      </c>
      <c r="W200" s="280">
        <f>$R200*('[19]Hawaii Pop by County'!Q71/SUM('[19]Hawaii Pop by County'!$O71:$Q71))</f>
        <v>8866.0840365181084</v>
      </c>
      <c r="X200" s="568">
        <f t="shared" si="40"/>
        <v>1207753.7319496786</v>
      </c>
      <c r="Y200" s="138">
        <f t="shared" si="34"/>
        <v>0</v>
      </c>
      <c r="Z200" s="138">
        <f t="shared" si="35"/>
        <v>0</v>
      </c>
    </row>
    <row r="201" spans="1:26" s="42" customFormat="1">
      <c r="A201" s="143" t="s">
        <v>304</v>
      </c>
    </row>
    <row r="202" spans="1:26" s="42" customFormat="1">
      <c r="A202" s="139"/>
    </row>
    <row r="203" spans="1:26">
      <c r="A203" s="412" t="s">
        <v>305</v>
      </c>
      <c r="B203" s="42"/>
    </row>
    <row r="204" spans="1:26">
      <c r="A204" s="53">
        <v>1</v>
      </c>
      <c r="B204" s="53">
        <v>2</v>
      </c>
      <c r="C204" s="53">
        <v>3</v>
      </c>
      <c r="D204" s="53">
        <v>4</v>
      </c>
      <c r="E204" s="53">
        <v>5</v>
      </c>
      <c r="F204" s="53">
        <v>6</v>
      </c>
      <c r="G204" s="53">
        <v>7</v>
      </c>
      <c r="H204" s="53">
        <v>8</v>
      </c>
      <c r="I204" s="53">
        <v>9</v>
      </c>
      <c r="J204" s="53">
        <v>10</v>
      </c>
      <c r="K204" s="53">
        <v>11</v>
      </c>
      <c r="L204" s="53">
        <v>12</v>
      </c>
      <c r="M204" s="53">
        <v>13</v>
      </c>
      <c r="N204" s="53">
        <v>14</v>
      </c>
    </row>
    <row r="205" spans="1:26" ht="51">
      <c r="A205" s="68" t="s">
        <v>214</v>
      </c>
      <c r="B205" s="68" t="s">
        <v>306</v>
      </c>
      <c r="C205" s="68" t="s">
        <v>307</v>
      </c>
      <c r="D205" s="68" t="s">
        <v>308</v>
      </c>
      <c r="E205" s="68" t="s">
        <v>148</v>
      </c>
      <c r="F205" s="68" t="s">
        <v>309</v>
      </c>
      <c r="G205" s="68" t="s">
        <v>310</v>
      </c>
      <c r="H205" s="68" t="s">
        <v>311</v>
      </c>
      <c r="I205" s="68" t="s">
        <v>312</v>
      </c>
      <c r="J205" s="123" t="s">
        <v>296</v>
      </c>
      <c r="K205" s="123" t="s">
        <v>297</v>
      </c>
      <c r="L205" s="123" t="s">
        <v>298</v>
      </c>
      <c r="M205" s="123" t="s">
        <v>299</v>
      </c>
      <c r="N205" s="123" t="s">
        <v>300</v>
      </c>
      <c r="O205" s="137" t="s">
        <v>302</v>
      </c>
      <c r="P205" s="137" t="s">
        <v>303</v>
      </c>
    </row>
    <row r="206" spans="1:26">
      <c r="A206" s="90">
        <v>1990</v>
      </c>
      <c r="B206" s="436">
        <f>B207-10*((B$222-B$216)/(ROW(B$222)-ROW(B$216)))</f>
        <v>66133333.333333284</v>
      </c>
      <c r="C206" s="436">
        <f>SUM(C216,C222,C227)/(SUM(B216,B222,B227))*B206</f>
        <v>13111151.816476941</v>
      </c>
      <c r="D206" s="432">
        <f>D207-10*SLOPE(D207:D227,A207:A227)</f>
        <v>38582291.727272727</v>
      </c>
      <c r="E206" s="432">
        <f t="shared" ref="E206:E228" si="85">SUM(F206:I206)</f>
        <v>1257319</v>
      </c>
      <c r="F206" s="144">
        <f>INDEX('[19]Hawaii Pop by County'!$D:$D,MATCH($A206,'[19]Hawaii Pop by County'!$B:$B,0))</f>
        <v>913268</v>
      </c>
      <c r="G206" s="144">
        <f>INDEX('[19]Hawaii Pop by County'!$C:$C,MATCH($A206,'[19]Hawaii Pop by County'!$B:$B,0))</f>
        <v>137103</v>
      </c>
      <c r="H206" s="144">
        <f>INDEX('[19]Hawaii Pop by County'!$E:$E,MATCH($A206,'[19]Hawaii Pop by County'!$B:$B,0))</f>
        <v>68558</v>
      </c>
      <c r="I206" s="144">
        <f>INDEX('[19]Hawaii Pop by County'!$F:$F,MATCH($A206,'[19]Hawaii Pop by County'!$B:$B,0))</f>
        <v>138390</v>
      </c>
      <c r="J206" s="280">
        <f>H206*INDEX('[19]Hawaii Pop by County'!$L:$L,MATCH($A206,'[19]Hawaii Pop by County'!$B:$B,0))</f>
        <v>68330.021423421567</v>
      </c>
      <c r="K206" s="280">
        <f>H206*INDEX('[19]Hawaii Pop by County'!$M:$M,MATCH($A206,'[19]Hawaii Pop by County'!$B:$B,0))</f>
        <v>227.97857657843238</v>
      </c>
      <c r="L206" s="280">
        <f>I206*INDEX('[19]Hawaii Pop by County'!$I:$I,MATCH($A206,'[19]Hawaii Pop by County'!$B:$B,0))</f>
        <v>128002.03120220246</v>
      </c>
      <c r="M206" s="280">
        <f>I206*INDEX('[19]Hawaii Pop by County'!$J:$J,MATCH($A206,'[19]Hawaii Pop by County'!$B:$B,0))</f>
        <v>2649.9097583358825</v>
      </c>
      <c r="N206" s="280">
        <f>I206*INDEX('[19]Hawaii Pop by County'!$K:$K,MATCH($A206,'[19]Hawaii Pop by County'!$B:$B,0))</f>
        <v>7738.0590394616092</v>
      </c>
      <c r="O206" s="138">
        <f t="shared" ref="O206" si="86">SUM(L206:N206)-I206</f>
        <v>0</v>
      </c>
      <c r="P206" s="138">
        <f t="shared" ref="P206" si="87">SUM(J206:K206)-H206</f>
        <v>0</v>
      </c>
    </row>
    <row r="207" spans="1:26">
      <c r="A207" s="90">
        <v>2000</v>
      </c>
      <c r="B207" s="436">
        <f>B208-(B$222-B$216)/(ROW(B$222)-ROW(B$216))</f>
        <v>80799999.999999955</v>
      </c>
      <c r="C207" s="432">
        <f t="shared" ref="C207" si="88">C206+(C$216-C$206)/(ROW(C$216)-ROW(C$206))</f>
        <v>13630036.634829247</v>
      </c>
      <c r="D207" s="144" cm="1">
        <f t="array" ref="D207:D229">TRANSPOSE('[21]Reformat with Pop.'!$F$3128:$AB$3128)</f>
        <v>46321931</v>
      </c>
      <c r="E207" s="432">
        <f t="shared" si="85"/>
        <v>1336005</v>
      </c>
      <c r="F207" s="144">
        <f>INDEX('[19]Hawaii Pop by County'!$D:$D,MATCH($A207,'[19]Hawaii Pop by County'!$B:$B,0))</f>
        <v>926192</v>
      </c>
      <c r="G207" s="144">
        <f>INDEX('[19]Hawaii Pop by County'!$C:$C,MATCH($A207,'[19]Hawaii Pop by County'!$B:$B,0))</f>
        <v>166429</v>
      </c>
      <c r="H207" s="144">
        <f>INDEX('[19]Hawaii Pop by County'!$E:$E,MATCH($A207,'[19]Hawaii Pop by County'!$B:$B,0))</f>
        <v>74734</v>
      </c>
      <c r="I207" s="144">
        <f>INDEX('[19]Hawaii Pop by County'!$F:$F,MATCH($A207,'[19]Hawaii Pop by County'!$B:$B,0))</f>
        <v>168650</v>
      </c>
      <c r="J207" s="280">
        <f>H207*INDEX('[19]Hawaii Pop by County'!$L:$L,MATCH($A207,'[19]Hawaii Pop by County'!$B:$B,0))</f>
        <v>74574.99148936171</v>
      </c>
      <c r="K207" s="280">
        <f>H207*INDEX('[19]Hawaii Pop by County'!$M:$M,MATCH($A207,'[19]Hawaii Pop by County'!$B:$B,0))</f>
        <v>159.00851063829788</v>
      </c>
      <c r="L207" s="280">
        <f>I207*INDEX('[19]Hawaii Pop by County'!$I:$I,MATCH($A207,'[19]Hawaii Pop by County'!$B:$B,0))</f>
        <v>156268.21779475984</v>
      </c>
      <c r="M207" s="280">
        <f>I207*INDEX('[19]Hawaii Pop by County'!$J:$J,MATCH($A207,'[19]Hawaii Pop by County'!$B:$B,0))</f>
        <v>4245.6684901272074</v>
      </c>
      <c r="N207" s="280">
        <f>I207*INDEX('[19]Hawaii Pop by County'!$K:$K,MATCH($A207,'[19]Hawaii Pop by County'!$B:$B,0))</f>
        <v>8136.1137151129669</v>
      </c>
      <c r="O207" s="138">
        <f t="shared" ref="O207:O227" si="89">SUM(L207:N207)-I207</f>
        <v>0</v>
      </c>
      <c r="P207" s="138">
        <f t="shared" ref="P207:P227" si="90">SUM(J207:K207)-H207</f>
        <v>0</v>
      </c>
    </row>
    <row r="208" spans="1:26">
      <c r="A208" s="90">
        <v>2001</v>
      </c>
      <c r="B208" s="436">
        <f t="shared" ref="B208:B215" si="91">B209-(B$222-B$216)/(ROW(B$222)-ROW(B$216))</f>
        <v>82266666.666666627</v>
      </c>
      <c r="C208" s="432">
        <f>C207+(C$216-C$206)/(ROW(C$216)-ROW(C$206))</f>
        <v>14148921.453181554</v>
      </c>
      <c r="D208" s="144">
        <v>47220067</v>
      </c>
      <c r="E208" s="432">
        <f t="shared" si="85"/>
        <v>1337629</v>
      </c>
      <c r="F208" s="144">
        <f>INDEX('[19]Hawaii Pop by County'!$D:$D,MATCH($A208,'[19]Hawaii Pop by County'!$B:$B,0))</f>
        <v>926713</v>
      </c>
      <c r="G208" s="144">
        <f>INDEX('[19]Hawaii Pop by County'!$C:$C,MATCH($A208,'[19]Hawaii Pop by County'!$B:$B,0))</f>
        <v>168131</v>
      </c>
      <c r="H208" s="144">
        <f>INDEX('[19]Hawaii Pop by County'!$E:$E,MATCH($A208,'[19]Hawaii Pop by County'!$B:$B,0))</f>
        <v>73940</v>
      </c>
      <c r="I208" s="144">
        <f>INDEX('[19]Hawaii Pop by County'!$F:$F,MATCH($A208,'[19]Hawaii Pop by County'!$B:$B,0))</f>
        <v>168845</v>
      </c>
      <c r="J208" s="280">
        <f>H208*INDEX('[19]Hawaii Pop by County'!$L:$L,MATCH($A208,'[19]Hawaii Pop by County'!$B:$B,0))</f>
        <v>73778.133782304722</v>
      </c>
      <c r="K208" s="280">
        <f>H208*INDEX('[19]Hawaii Pop by County'!$M:$M,MATCH($A208,'[19]Hawaii Pop by County'!$B:$B,0))</f>
        <v>161.86621769528048</v>
      </c>
      <c r="L208" s="280">
        <f>I208*INDEX('[19]Hawaii Pop by County'!$I:$I,MATCH($A208,'[19]Hawaii Pop by County'!$B:$B,0))</f>
        <v>156517.46469715537</v>
      </c>
      <c r="M208" s="280">
        <f>I208*INDEX('[19]Hawaii Pop by County'!$J:$J,MATCH($A208,'[19]Hawaii Pop by County'!$B:$B,0))</f>
        <v>4221.8261504651455</v>
      </c>
      <c r="N208" s="280">
        <f>I208*INDEX('[19]Hawaii Pop by County'!$K:$K,MATCH($A208,'[19]Hawaii Pop by County'!$B:$B,0))</f>
        <v>8105.7091523794797</v>
      </c>
      <c r="O208" s="138">
        <f t="shared" si="89"/>
        <v>0</v>
      </c>
      <c r="P208" s="138">
        <f t="shared" si="90"/>
        <v>0</v>
      </c>
    </row>
    <row r="209" spans="1:16">
      <c r="A209" s="90">
        <v>2002</v>
      </c>
      <c r="B209" s="436">
        <f t="shared" si="91"/>
        <v>83733333.333333299</v>
      </c>
      <c r="C209" s="432">
        <f t="shared" ref="C209:C215" si="92">C208+(C$216-C$206)/(ROW(C$216)-ROW(C$206))</f>
        <v>14667806.27153386</v>
      </c>
      <c r="D209" s="144">
        <v>47994348</v>
      </c>
      <c r="E209" s="432">
        <f t="shared" si="85"/>
        <v>1353051</v>
      </c>
      <c r="F209" s="144">
        <f>INDEX('[19]Hawaii Pop by County'!$D:$D,MATCH($A209,'[19]Hawaii Pop by County'!$B:$B,0))</f>
        <v>934070</v>
      </c>
      <c r="G209" s="144">
        <f>INDEX('[19]Hawaii Pop by County'!$C:$C,MATCH($A209,'[19]Hawaii Pop by County'!$B:$B,0))</f>
        <v>171784</v>
      </c>
      <c r="H209" s="144">
        <f>INDEX('[19]Hawaii Pop by County'!$E:$E,MATCH($A209,'[19]Hawaii Pop by County'!$B:$B,0))</f>
        <v>74895</v>
      </c>
      <c r="I209" s="144">
        <f>INDEX('[19]Hawaii Pop by County'!$F:$F,MATCH($A209,'[19]Hawaii Pop by County'!$B:$B,0))</f>
        <v>172302</v>
      </c>
      <c r="J209" s="280">
        <f>H209*INDEX('[19]Hawaii Pop by County'!$L:$L,MATCH($A209,'[19]Hawaii Pop by County'!$B:$B,0))</f>
        <v>74731.204767683535</v>
      </c>
      <c r="K209" s="280">
        <f>H209*INDEX('[19]Hawaii Pop by County'!$M:$M,MATCH($A209,'[19]Hawaii Pop by County'!$B:$B,0))</f>
        <v>163.79523231646846</v>
      </c>
      <c r="L209" s="280">
        <f>I209*INDEX('[19]Hawaii Pop by County'!$I:$I,MATCH($A209,'[19]Hawaii Pop by County'!$B:$B,0))</f>
        <v>159721.22128621701</v>
      </c>
      <c r="M209" s="280">
        <f>I209*INDEX('[19]Hawaii Pop by County'!$J:$J,MATCH($A209,'[19]Hawaii Pop by County'!$B:$B,0))</f>
        <v>4308.2562275812088</v>
      </c>
      <c r="N209" s="280">
        <f>I209*INDEX('[19]Hawaii Pop by County'!$K:$K,MATCH($A209,'[19]Hawaii Pop by County'!$B:$B,0))</f>
        <v>8272.5224862017876</v>
      </c>
      <c r="O209" s="138">
        <f t="shared" si="89"/>
        <v>0</v>
      </c>
      <c r="P209" s="138">
        <f t="shared" si="90"/>
        <v>0</v>
      </c>
    </row>
    <row r="210" spans="1:16">
      <c r="A210" s="90">
        <v>2003</v>
      </c>
      <c r="B210" s="436">
        <f t="shared" si="91"/>
        <v>85199999.99999997</v>
      </c>
      <c r="C210" s="432">
        <f t="shared" si="92"/>
        <v>15186691.089886166</v>
      </c>
      <c r="D210" s="144">
        <v>48698918</v>
      </c>
      <c r="E210" s="432">
        <f t="shared" si="85"/>
        <v>1358755</v>
      </c>
      <c r="F210" s="144">
        <f>INDEX('[19]Hawaii Pop by County'!$D:$D,MATCH($A210,'[19]Hawaii Pop by County'!$B:$B,0))</f>
        <v>931880</v>
      </c>
      <c r="G210" s="144">
        <f>INDEX('[19]Hawaii Pop by County'!$C:$C,MATCH($A210,'[19]Hawaii Pop by County'!$B:$B,0))</f>
        <v>174683</v>
      </c>
      <c r="H210" s="144">
        <f>INDEX('[19]Hawaii Pop by County'!$E:$E,MATCH($A210,'[19]Hawaii Pop by County'!$B:$B,0))</f>
        <v>76148</v>
      </c>
      <c r="I210" s="144">
        <f>INDEX('[19]Hawaii Pop by County'!$F:$F,MATCH($A210,'[19]Hawaii Pop by County'!$B:$B,0))</f>
        <v>176044</v>
      </c>
      <c r="J210" s="280">
        <f>H210*INDEX('[19]Hawaii Pop by County'!$L:$L,MATCH($A210,'[19]Hawaii Pop by County'!$B:$B,0))</f>
        <v>75979.379843820163</v>
      </c>
      <c r="K210" s="280">
        <f>H210*INDEX('[19]Hawaii Pop by County'!$M:$M,MATCH($A210,'[19]Hawaii Pop by County'!$B:$B,0))</f>
        <v>168.62015617984244</v>
      </c>
      <c r="L210" s="280">
        <f>I210*INDEX('[19]Hawaii Pop by County'!$I:$I,MATCH($A210,'[19]Hawaii Pop by County'!$B:$B,0))</f>
        <v>163100.39381903416</v>
      </c>
      <c r="M210" s="280">
        <f>I210*INDEX('[19]Hawaii Pop by County'!$J:$J,MATCH($A210,'[19]Hawaii Pop by County'!$B:$B,0))</f>
        <v>4400.8371386075469</v>
      </c>
      <c r="N210" s="280">
        <f>I210*INDEX('[19]Hawaii Pop by County'!$K:$K,MATCH($A210,'[19]Hawaii Pop by County'!$B:$B,0))</f>
        <v>8542.7690423582699</v>
      </c>
      <c r="O210" s="138">
        <f t="shared" si="89"/>
        <v>0</v>
      </c>
      <c r="P210" s="138">
        <f t="shared" si="90"/>
        <v>0</v>
      </c>
    </row>
    <row r="211" spans="1:16">
      <c r="A211" s="90">
        <v>2004</v>
      </c>
      <c r="B211" s="436">
        <f t="shared" si="91"/>
        <v>86666666.666666642</v>
      </c>
      <c r="C211" s="432">
        <f t="shared" si="92"/>
        <v>15705575.908238472</v>
      </c>
      <c r="D211" s="144">
        <v>49603112</v>
      </c>
      <c r="E211" s="432">
        <f t="shared" si="85"/>
        <v>1387569</v>
      </c>
      <c r="F211" s="144">
        <f>INDEX('[19]Hawaii Pop by County'!$D:$D,MATCH($A211,'[19]Hawaii Pop by County'!$B:$B,0))</f>
        <v>949262</v>
      </c>
      <c r="G211" s="144">
        <f>INDEX('[19]Hawaii Pop by County'!$C:$C,MATCH($A211,'[19]Hawaii Pop by County'!$B:$B,0))</f>
        <v>180107</v>
      </c>
      <c r="H211" s="144">
        <f>INDEX('[19]Hawaii Pop by County'!$E:$E,MATCH($A211,'[19]Hawaii Pop by County'!$B:$B,0))</f>
        <v>78167</v>
      </c>
      <c r="I211" s="144">
        <f>INDEX('[19]Hawaii Pop by County'!$F:$F,MATCH($A211,'[19]Hawaii Pop by County'!$B:$B,0))</f>
        <v>180033</v>
      </c>
      <c r="J211" s="280">
        <f>H211*INDEX('[19]Hawaii Pop by County'!$L:$L,MATCH($A211,'[19]Hawaii Pop by County'!$B:$B,0))</f>
        <v>77995.487150892368</v>
      </c>
      <c r="K211" s="280">
        <f>H211*INDEX('[19]Hawaii Pop by County'!$M:$M,MATCH($A211,'[19]Hawaii Pop by County'!$B:$B,0))</f>
        <v>171.51284910763999</v>
      </c>
      <c r="L211" s="280">
        <f>I211*INDEX('[19]Hawaii Pop by County'!$I:$I,MATCH($A211,'[19]Hawaii Pop by County'!$B:$B,0))</f>
        <v>166850.71755140994</v>
      </c>
      <c r="M211" s="280">
        <f>I211*INDEX('[19]Hawaii Pop by County'!$J:$J,MATCH($A211,'[19]Hawaii Pop by County'!$B:$B,0))</f>
        <v>4501.1562103074921</v>
      </c>
      <c r="N211" s="280">
        <f>I211*INDEX('[19]Hawaii Pop by County'!$K:$K,MATCH($A211,'[19]Hawaii Pop by County'!$B:$B,0))</f>
        <v>8681.1262382825571</v>
      </c>
      <c r="O211" s="138">
        <f t="shared" si="89"/>
        <v>0</v>
      </c>
      <c r="P211" s="138">
        <f t="shared" si="90"/>
        <v>0</v>
      </c>
    </row>
    <row r="212" spans="1:16">
      <c r="A212" s="90">
        <v>2005</v>
      </c>
      <c r="B212" s="436">
        <f t="shared" si="91"/>
        <v>88133333.333333313</v>
      </c>
      <c r="C212" s="432">
        <f t="shared" si="92"/>
        <v>16224460.726590779</v>
      </c>
      <c r="D212" s="144">
        <v>50522761</v>
      </c>
      <c r="E212" s="432">
        <f t="shared" si="85"/>
        <v>1412500</v>
      </c>
      <c r="F212" s="144">
        <f>INDEX('[19]Hawaii Pop by County'!$D:$D,MATCH($A212,'[19]Hawaii Pop by County'!$B:$B,0))</f>
        <v>959340</v>
      </c>
      <c r="G212" s="144">
        <f>INDEX('[19]Hawaii Pop by County'!$C:$C,MATCH($A212,'[19]Hawaii Pop by County'!$B:$B,0))</f>
        <v>188612</v>
      </c>
      <c r="H212" s="144">
        <f>INDEX('[19]Hawaii Pop by County'!$E:$E,MATCH($A212,'[19]Hawaii Pop by County'!$B:$B,0))</f>
        <v>79561</v>
      </c>
      <c r="I212" s="144">
        <f>INDEX('[19]Hawaii Pop by County'!$F:$F,MATCH($A212,'[19]Hawaii Pop by County'!$B:$B,0))</f>
        <v>184987</v>
      </c>
      <c r="J212" s="280">
        <f>H212*INDEX('[19]Hawaii Pop by County'!$L:$L,MATCH($A212,'[19]Hawaii Pop by County'!$B:$B,0))</f>
        <v>79387.783272156463</v>
      </c>
      <c r="K212" s="280">
        <f>H212*INDEX('[19]Hawaii Pop by County'!$M:$M,MATCH($A212,'[19]Hawaii Pop by County'!$B:$B,0))</f>
        <v>173.2167278435343</v>
      </c>
      <c r="L212" s="280">
        <f>I212*INDEX('[19]Hawaii Pop by County'!$I:$I,MATCH($A212,'[19]Hawaii Pop by County'!$B:$B,0))</f>
        <v>171487.7250308636</v>
      </c>
      <c r="M212" s="280">
        <f>I212*INDEX('[19]Hawaii Pop by County'!$J:$J,MATCH($A212,'[19]Hawaii Pop by County'!$B:$B,0))</f>
        <v>4625.5179268224238</v>
      </c>
      <c r="N212" s="280">
        <f>I212*INDEX('[19]Hawaii Pop by County'!$K:$K,MATCH($A212,'[19]Hawaii Pop by County'!$B:$B,0))</f>
        <v>8873.7570423139932</v>
      </c>
      <c r="O212" s="138">
        <f t="shared" si="89"/>
        <v>0</v>
      </c>
      <c r="P212" s="138">
        <f t="shared" si="90"/>
        <v>0</v>
      </c>
    </row>
    <row r="213" spans="1:16">
      <c r="A213" s="90">
        <v>2006</v>
      </c>
      <c r="B213" s="436">
        <f t="shared" si="91"/>
        <v>89599999.999999985</v>
      </c>
      <c r="C213" s="432">
        <f t="shared" si="92"/>
        <v>16743345.544943085</v>
      </c>
      <c r="D213" s="144">
        <v>51223063</v>
      </c>
      <c r="E213" s="432">
        <f t="shared" si="85"/>
        <v>1430516</v>
      </c>
      <c r="F213" s="144">
        <f>INDEX('[19]Hawaii Pop by County'!$D:$D,MATCH($A213,'[19]Hawaii Pop by County'!$B:$B,0))</f>
        <v>967400</v>
      </c>
      <c r="G213" s="144">
        <f>INDEX('[19]Hawaii Pop by County'!$C:$C,MATCH($A213,'[19]Hawaii Pop by County'!$B:$B,0))</f>
        <v>194008</v>
      </c>
      <c r="H213" s="144">
        <f>INDEX('[19]Hawaii Pop by County'!$E:$E,MATCH($A213,'[19]Hawaii Pop by County'!$B:$B,0))</f>
        <v>80887</v>
      </c>
      <c r="I213" s="144">
        <f>INDEX('[19]Hawaii Pop by County'!$F:$F,MATCH($A213,'[19]Hawaii Pop by County'!$B:$B,0))</f>
        <v>188221</v>
      </c>
      <c r="J213" s="280">
        <f>H213*INDEX('[19]Hawaii Pop by County'!$L:$L,MATCH($A213,'[19]Hawaii Pop by County'!$B:$B,0))</f>
        <v>80710.784075912976</v>
      </c>
      <c r="K213" s="280">
        <f>H213*INDEX('[19]Hawaii Pop by County'!$M:$M,MATCH($A213,'[19]Hawaii Pop by County'!$B:$B,0))</f>
        <v>176.21592408702074</v>
      </c>
      <c r="L213" s="280">
        <f>I213*INDEX('[19]Hawaii Pop by County'!$I:$I,MATCH($A213,'[19]Hawaii Pop by County'!$B:$B,0))</f>
        <v>174477.10055274938</v>
      </c>
      <c r="M213" s="280">
        <f>I213*INDEX('[19]Hawaii Pop by County'!$J:$J,MATCH($A213,'[19]Hawaii Pop by County'!$B:$B,0))</f>
        <v>4706.2878926211752</v>
      </c>
      <c r="N213" s="280">
        <f>I213*INDEX('[19]Hawaii Pop by County'!$K:$K,MATCH($A213,'[19]Hawaii Pop by County'!$B:$B,0))</f>
        <v>9037.6115546294404</v>
      </c>
      <c r="O213" s="138">
        <f t="shared" si="89"/>
        <v>0</v>
      </c>
      <c r="P213" s="138">
        <f t="shared" si="90"/>
        <v>0</v>
      </c>
    </row>
    <row r="214" spans="1:16">
      <c r="A214" s="90">
        <v>2007</v>
      </c>
      <c r="B214" s="436">
        <f t="shared" si="91"/>
        <v>91066666.666666657</v>
      </c>
      <c r="C214" s="432">
        <f t="shared" si="92"/>
        <v>17262230.363295391</v>
      </c>
      <c r="D214" s="144">
        <v>52046059</v>
      </c>
      <c r="E214" s="432">
        <f t="shared" si="85"/>
        <v>1433461</v>
      </c>
      <c r="F214" s="144">
        <f>INDEX('[19]Hawaii Pop by County'!$D:$D,MATCH($A214,'[19]Hawaii Pop by County'!$B:$B,0))</f>
        <v>963577</v>
      </c>
      <c r="G214" s="144">
        <f>INDEX('[19]Hawaii Pop by County'!$C:$C,MATCH($A214,'[19]Hawaii Pop by County'!$B:$B,0))</f>
        <v>196723</v>
      </c>
      <c r="H214" s="144">
        <f>INDEX('[19]Hawaii Pop by County'!$E:$E,MATCH($A214,'[19]Hawaii Pop by County'!$B:$B,0))</f>
        <v>83286</v>
      </c>
      <c r="I214" s="144">
        <f>INDEX('[19]Hawaii Pop by County'!$F:$F,MATCH($A214,'[19]Hawaii Pop by County'!$B:$B,0))</f>
        <v>189875</v>
      </c>
      <c r="J214" s="280">
        <f>H214*INDEX('[19]Hawaii Pop by County'!$L:$L,MATCH($A214,'[19]Hawaii Pop by County'!$B:$B,0))</f>
        <v>83104.726192743256</v>
      </c>
      <c r="K214" s="280">
        <f>H214*INDEX('[19]Hawaii Pop by County'!$M:$M,MATCH($A214,'[19]Hawaii Pop by County'!$B:$B,0))</f>
        <v>181.27380725675087</v>
      </c>
      <c r="L214" s="280">
        <f>I214*INDEX('[19]Hawaii Pop by County'!$I:$I,MATCH($A214,'[19]Hawaii Pop by County'!$B:$B,0))</f>
        <v>176012.5725853536</v>
      </c>
      <c r="M214" s="280">
        <f>I214*INDEX('[19]Hawaii Pop by County'!$J:$J,MATCH($A214,'[19]Hawaii Pop by County'!$B:$B,0))</f>
        <v>4747.6692849947067</v>
      </c>
      <c r="N214" s="280">
        <f>I214*INDEX('[19]Hawaii Pop by County'!$K:$K,MATCH($A214,'[19]Hawaii Pop by County'!$B:$B,0))</f>
        <v>9114.758129651691</v>
      </c>
      <c r="O214" s="138">
        <f t="shared" si="89"/>
        <v>0</v>
      </c>
      <c r="P214" s="138">
        <f t="shared" si="90"/>
        <v>0</v>
      </c>
    </row>
    <row r="215" spans="1:16">
      <c r="A215" s="90">
        <v>2008</v>
      </c>
      <c r="B215" s="436">
        <f t="shared" si="91"/>
        <v>92533333.333333328</v>
      </c>
      <c r="C215" s="432">
        <f t="shared" si="92"/>
        <v>17781115.181647696</v>
      </c>
      <c r="D215" s="144">
        <v>52801744</v>
      </c>
      <c r="E215" s="432">
        <f t="shared" si="85"/>
        <v>1432620</v>
      </c>
      <c r="F215" s="144">
        <f>INDEX('[19]Hawaii Pop by County'!$D:$D,MATCH($A215,'[19]Hawaii Pop by County'!$B:$B,0))</f>
        <v>962908</v>
      </c>
      <c r="G215" s="144">
        <f>INDEX('[19]Hawaii Pop by County'!$C:$C,MATCH($A215,'[19]Hawaii Pop by County'!$B:$B,0))</f>
        <v>198413</v>
      </c>
      <c r="H215" s="144">
        <f>INDEX('[19]Hawaii Pop by County'!$E:$E,MATCH($A215,'[19]Hawaii Pop by County'!$B:$B,0))</f>
        <v>81968</v>
      </c>
      <c r="I215" s="144">
        <f>INDEX('[19]Hawaii Pop by County'!$F:$F,MATCH($A215,'[19]Hawaii Pop by County'!$B:$B,0))</f>
        <v>189331</v>
      </c>
      <c r="J215" s="280">
        <f>H215*INDEX('[19]Hawaii Pop by County'!$L:$L,MATCH($A215,'[19]Hawaii Pop by County'!$B:$B,0))</f>
        <v>81781.773598430664</v>
      </c>
      <c r="K215" s="280">
        <f>H215*INDEX('[19]Hawaii Pop by County'!$M:$M,MATCH($A215,'[19]Hawaii Pop by County'!$B:$B,0))</f>
        <v>186.22640156933139</v>
      </c>
      <c r="L215" s="280">
        <f>I215*INDEX('[19]Hawaii Pop by County'!$I:$I,MATCH($A215,'[19]Hawaii Pop by County'!$B:$B,0))</f>
        <v>175073.89331674849</v>
      </c>
      <c r="M215" s="280">
        <f>I215*INDEX('[19]Hawaii Pop by County'!$J:$J,MATCH($A215,'[19]Hawaii Pop by County'!$B:$B,0))</f>
        <v>4733.1050160336627</v>
      </c>
      <c r="N215" s="280">
        <f>I215*INDEX('[19]Hawaii Pop by County'!$K:$K,MATCH($A215,'[19]Hawaii Pop by County'!$B:$B,0))</f>
        <v>9524.0016672178335</v>
      </c>
      <c r="O215" s="138">
        <f t="shared" si="89"/>
        <v>0</v>
      </c>
      <c r="P215" s="138">
        <f t="shared" si="90"/>
        <v>0</v>
      </c>
    </row>
    <row r="216" spans="1:16">
      <c r="A216" s="90">
        <v>2009</v>
      </c>
      <c r="B216" s="144">
        <v>94000000</v>
      </c>
      <c r="C216" s="144">
        <v>18300000</v>
      </c>
      <c r="D216" s="144">
        <v>53518052</v>
      </c>
      <c r="E216" s="432">
        <f t="shared" si="85"/>
        <v>1442556</v>
      </c>
      <c r="F216" s="144">
        <f>INDEX('[19]Hawaii Pop by County'!$D:$D,MATCH($A216,'[19]Hawaii Pop by County'!$B:$B,0))</f>
        <v>972202</v>
      </c>
      <c r="G216" s="144">
        <f>INDEX('[19]Hawaii Pop by County'!$C:$C,MATCH($A216,'[19]Hawaii Pop by County'!$B:$B,0))</f>
        <v>199047</v>
      </c>
      <c r="H216" s="144">
        <f>INDEX('[19]Hawaii Pop by County'!$E:$E,MATCH($A216,'[19]Hawaii Pop by County'!$B:$B,0))</f>
        <v>82101</v>
      </c>
      <c r="I216" s="144">
        <f>INDEX('[19]Hawaii Pop by County'!$F:$F,MATCH($A216,'[19]Hawaii Pop by County'!$B:$B,0))</f>
        <v>189206</v>
      </c>
      <c r="J216" s="280">
        <f>H216*INDEX('[19]Hawaii Pop by County'!$L:$L,MATCH($A216,'[19]Hawaii Pop by County'!$B:$B,0))</f>
        <v>81914.471430372287</v>
      </c>
      <c r="K216" s="280">
        <f>H216*INDEX('[19]Hawaii Pop by County'!$M:$M,MATCH($A216,'[19]Hawaii Pop by County'!$B:$B,0))</f>
        <v>186.5285696277044</v>
      </c>
      <c r="L216" s="280">
        <f>I216*INDEX('[19]Hawaii Pop by County'!$I:$I,MATCH($A216,'[19]Hawaii Pop by County'!$B:$B,0))</f>
        <v>174958.30613522732</v>
      </c>
      <c r="M216" s="280">
        <f>I216*INDEX('[19]Hawaii Pop by County'!$J:$J,MATCH($A216,'[19]Hawaii Pop by County'!$B:$B,0))</f>
        <v>4729.980128260373</v>
      </c>
      <c r="N216" s="280">
        <f>I216*INDEX('[19]Hawaii Pop by County'!$K:$K,MATCH($A216,'[19]Hawaii Pop by County'!$B:$B,0))</f>
        <v>9517.7137365123308</v>
      </c>
      <c r="O216" s="138">
        <f>SUM(L216:N216)-I216</f>
        <v>0</v>
      </c>
      <c r="P216" s="138">
        <f>SUM(J216:K216)-H216</f>
        <v>0</v>
      </c>
    </row>
    <row r="217" spans="1:16">
      <c r="A217" s="90">
        <v>2010</v>
      </c>
      <c r="B217" s="432">
        <f>B216+(B$222-B$216)/(ROW(B$222)-ROW(B$216))</f>
        <v>95466666.666666672</v>
      </c>
      <c r="C217" s="432">
        <f>C216+(C$222-C$216)/(ROW(C$222)-ROW(C$216))</f>
        <v>18816666.666666668</v>
      </c>
      <c r="D217" s="144">
        <v>54099533</v>
      </c>
      <c r="E217" s="432">
        <f t="shared" si="85"/>
        <v>1468736</v>
      </c>
      <c r="F217" s="144">
        <f>INDEX('[19]Hawaii Pop by County'!$D:$D,MATCH($A217,'[19]Hawaii Pop by County'!$B:$B,0))</f>
        <v>988402</v>
      </c>
      <c r="G217" s="144">
        <f>INDEX('[19]Hawaii Pop by County'!$C:$C,MATCH($A217,'[19]Hawaii Pop by County'!$B:$B,0))</f>
        <v>202410</v>
      </c>
      <c r="H217" s="144">
        <f>INDEX('[19]Hawaii Pop by County'!$E:$E,MATCH($A217,'[19]Hawaii Pop by County'!$B:$B,0))</f>
        <v>83189</v>
      </c>
      <c r="I217" s="144">
        <f>INDEX('[19]Hawaii Pop by County'!$F:$F,MATCH($A217,'[19]Hawaii Pop by County'!$B:$B,0))</f>
        <v>194735</v>
      </c>
      <c r="J217" s="280">
        <f>H217*INDEX('[19]Hawaii Pop by County'!$L:$L,MATCH($A217,'[19]Hawaii Pop by County'!$B:$B,0))</f>
        <v>82999.999559338379</v>
      </c>
      <c r="K217" s="280">
        <f>H217*INDEX('[19]Hawaii Pop by County'!$M:$M,MATCH($A217,'[19]Hawaii Pop by County'!$B:$B,0))</f>
        <v>189.00044066161328</v>
      </c>
      <c r="L217" s="280">
        <f>I217*INDEX('[19]Hawaii Pop by County'!$I:$I,MATCH($A217,'[19]Hawaii Pop by County'!$B:$B,0))</f>
        <v>180070.95834827382</v>
      </c>
      <c r="M217" s="280">
        <f>I217*INDEX('[19]Hawaii Pop by County'!$J:$J,MATCH($A217,'[19]Hawaii Pop by County'!$B:$B,0))</f>
        <v>4868.2001642484047</v>
      </c>
      <c r="N217" s="280">
        <f>I217*INDEX('[19]Hawaii Pop by County'!$K:$K,MATCH($A217,'[19]Hawaii Pop by County'!$B:$B,0))</f>
        <v>9795.8414874778082</v>
      </c>
      <c r="O217" s="138">
        <f t="shared" si="89"/>
        <v>0</v>
      </c>
      <c r="P217" s="138">
        <f t="shared" si="90"/>
        <v>0</v>
      </c>
    </row>
    <row r="218" spans="1:16">
      <c r="A218" s="90">
        <v>2011</v>
      </c>
      <c r="B218" s="432">
        <f t="shared" ref="B218:C221" si="93">B217+(B$222-B$216)/(ROW(B$222)-ROW(B$216))</f>
        <v>96933333.333333343</v>
      </c>
      <c r="C218" s="432">
        <f t="shared" si="93"/>
        <v>19333333.333333336</v>
      </c>
      <c r="D218" s="144">
        <v>54963000</v>
      </c>
      <c r="E218" s="432">
        <f t="shared" si="85"/>
        <v>1495947</v>
      </c>
      <c r="F218" s="144">
        <f>INDEX('[19]Hawaii Pop by County'!$D:$D,MATCH($A218,'[19]Hawaii Pop by County'!$B:$B,0))</f>
        <v>1006527</v>
      </c>
      <c r="G218" s="144">
        <f>INDEX('[19]Hawaii Pop by County'!$C:$C,MATCH($A218,'[19]Hawaii Pop by County'!$B:$B,0))</f>
        <v>205498</v>
      </c>
      <c r="H218" s="144">
        <f>INDEX('[19]Hawaii Pop by County'!$E:$E,MATCH($A218,'[19]Hawaii Pop by County'!$B:$B,0))</f>
        <v>85327</v>
      </c>
      <c r="I218" s="144">
        <f>INDEX('[19]Hawaii Pop by County'!$F:$F,MATCH($A218,'[19]Hawaii Pop by County'!$B:$B,0))</f>
        <v>198595</v>
      </c>
      <c r="J218" s="280">
        <f>H218*INDEX('[19]Hawaii Pop by County'!$L:$L,MATCH($A218,'[19]Hawaii Pop by County'!$B:$B,0))</f>
        <v>85133.142151001521</v>
      </c>
      <c r="K218" s="280">
        <f>H218*INDEX('[19]Hawaii Pop by County'!$M:$M,MATCH($A218,'[19]Hawaii Pop by County'!$B:$B,0))</f>
        <v>193.85784899846675</v>
      </c>
      <c r="L218" s="280">
        <f>I218*INDEX('[19]Hawaii Pop by County'!$I:$I,MATCH($A218,'[19]Hawaii Pop by County'!$B:$B,0))</f>
        <v>183640.29051364897</v>
      </c>
      <c r="M218" s="280">
        <f>I218*INDEX('[19]Hawaii Pop by County'!$J:$J,MATCH($A218,'[19]Hawaii Pop by County'!$B:$B,0))</f>
        <v>4964.6966986875077</v>
      </c>
      <c r="N218" s="280">
        <f>I218*INDEX('[19]Hawaii Pop by County'!$K:$K,MATCH($A218,'[19]Hawaii Pop by County'!$B:$B,0))</f>
        <v>9990.0127876635306</v>
      </c>
      <c r="O218" s="138">
        <f t="shared" si="89"/>
        <v>0</v>
      </c>
      <c r="P218" s="138">
        <f t="shared" si="90"/>
        <v>0</v>
      </c>
    </row>
    <row r="219" spans="1:16">
      <c r="A219" s="90">
        <v>2012</v>
      </c>
      <c r="B219" s="432">
        <f t="shared" si="93"/>
        <v>98400000.000000015</v>
      </c>
      <c r="C219" s="432">
        <f t="shared" si="93"/>
        <v>19850000.000000004</v>
      </c>
      <c r="D219" s="144">
        <v>55726407</v>
      </c>
      <c r="E219" s="432">
        <f t="shared" si="85"/>
        <v>1529466</v>
      </c>
      <c r="F219" s="144">
        <f>INDEX('[19]Hawaii Pop by County'!$D:$D,MATCH($A219,'[19]Hawaii Pop by County'!$B:$B,0))</f>
        <v>1030914</v>
      </c>
      <c r="G219" s="144">
        <f>INDEX('[19]Hawaii Pop by County'!$C:$C,MATCH($A219,'[19]Hawaii Pop by County'!$B:$B,0))</f>
        <v>209047</v>
      </c>
      <c r="H219" s="144">
        <f>INDEX('[19]Hawaii Pop by County'!$E:$E,MATCH($A219,'[19]Hawaii Pop by County'!$B:$B,0))</f>
        <v>87547</v>
      </c>
      <c r="I219" s="144">
        <f>INDEX('[19]Hawaii Pop by County'!$F:$F,MATCH($A219,'[19]Hawaii Pop by County'!$B:$B,0))</f>
        <v>201958</v>
      </c>
      <c r="J219" s="280">
        <f>H219*INDEX('[19]Hawaii Pop by County'!$L:$L,MATCH($A219,'[19]Hawaii Pop by County'!$B:$B,0))</f>
        <v>87348.098443561015</v>
      </c>
      <c r="K219" s="280">
        <f>H219*INDEX('[19]Hawaii Pop by County'!$M:$M,MATCH($A219,'[19]Hawaii Pop by County'!$B:$B,0))</f>
        <v>198.90155643897913</v>
      </c>
      <c r="L219" s="280">
        <f>I219*INDEX('[19]Hawaii Pop by County'!$I:$I,MATCH($A219,'[19]Hawaii Pop by County'!$B:$B,0))</f>
        <v>186750.04804529579</v>
      </c>
      <c r="M219" s="280">
        <f>I219*INDEX('[19]Hawaii Pop by County'!$J:$J,MATCH($A219,'[19]Hawaii Pop by County'!$B:$B,0))</f>
        <v>5048.7686793400217</v>
      </c>
      <c r="N219" s="280">
        <f>I219*INDEX('[19]Hawaii Pop by County'!$K:$K,MATCH($A219,'[19]Hawaii Pop by County'!$B:$B,0))</f>
        <v>10159.183275364187</v>
      </c>
      <c r="O219" s="138">
        <f t="shared" si="89"/>
        <v>0</v>
      </c>
      <c r="P219" s="138">
        <f t="shared" si="90"/>
        <v>0</v>
      </c>
    </row>
    <row r="220" spans="1:16">
      <c r="A220" s="90">
        <v>2013</v>
      </c>
      <c r="B220" s="432">
        <f t="shared" si="93"/>
        <v>99866666.666666687</v>
      </c>
      <c r="C220" s="432">
        <f t="shared" si="93"/>
        <v>20366666.666666672</v>
      </c>
      <c r="D220" s="144">
        <v>56440752</v>
      </c>
      <c r="E220" s="432">
        <f t="shared" si="85"/>
        <v>1556370</v>
      </c>
      <c r="F220" s="144">
        <f>INDEX('[19]Hawaii Pop by County'!$D:$D,MATCH($A220,'[19]Hawaii Pop by County'!$B:$B,0))</f>
        <v>1047769</v>
      </c>
      <c r="G220" s="144">
        <f>INDEX('[19]Hawaii Pop by County'!$C:$C,MATCH($A220,'[19]Hawaii Pop by County'!$B:$B,0))</f>
        <v>212011</v>
      </c>
      <c r="H220" s="144">
        <f>INDEX('[19]Hawaii Pop by County'!$E:$E,MATCH($A220,'[19]Hawaii Pop by County'!$B:$B,0))</f>
        <v>89986</v>
      </c>
      <c r="I220" s="144">
        <f>INDEX('[19]Hawaii Pop by County'!$F:$F,MATCH($A220,'[19]Hawaii Pop by County'!$B:$B,0))</f>
        <v>206604</v>
      </c>
      <c r="J220" s="280">
        <f>H220*INDEX('[19]Hawaii Pop by County'!$L:$L,MATCH($A220,'[19]Hawaii Pop by County'!$B:$B,0))</f>
        <v>89781.55718119732</v>
      </c>
      <c r="K220" s="280">
        <f>H220*INDEX('[19]Hawaii Pop by County'!$M:$M,MATCH($A220,'[19]Hawaii Pop by County'!$B:$B,0))</f>
        <v>204.44281880267721</v>
      </c>
      <c r="L220" s="280">
        <f>I220*INDEX('[19]Hawaii Pop by County'!$I:$I,MATCH($A220,'[19]Hawaii Pop by County'!$B:$B,0))</f>
        <v>191046.19240807637</v>
      </c>
      <c r="M220" s="280">
        <f>I220*INDEX('[19]Hawaii Pop by County'!$J:$J,MATCH($A220,'[19]Hawaii Pop by County'!$B:$B,0))</f>
        <v>5164.9145080975559</v>
      </c>
      <c r="N220" s="280">
        <f>I220*INDEX('[19]Hawaii Pop by County'!$K:$K,MATCH($A220,'[19]Hawaii Pop by County'!$B:$B,0))</f>
        <v>10392.893083826051</v>
      </c>
      <c r="O220" s="138">
        <f t="shared" si="89"/>
        <v>0</v>
      </c>
      <c r="P220" s="138">
        <f t="shared" si="90"/>
        <v>0</v>
      </c>
    </row>
    <row r="221" spans="1:16">
      <c r="A221" s="90">
        <v>2014</v>
      </c>
      <c r="B221" s="432">
        <f t="shared" si="93"/>
        <v>101333333.33333336</v>
      </c>
      <c r="C221" s="432">
        <f t="shared" si="93"/>
        <v>20883333.33333334</v>
      </c>
      <c r="D221" s="144">
        <v>57285825</v>
      </c>
      <c r="E221" s="432">
        <f t="shared" si="85"/>
        <v>1574866</v>
      </c>
      <c r="F221" s="144">
        <f>INDEX('[19]Hawaii Pop by County'!$D:$D,MATCH($A221,'[19]Hawaii Pop by County'!$B:$B,0))</f>
        <v>1058783</v>
      </c>
      <c r="G221" s="144">
        <f>INDEX('[19]Hawaii Pop by County'!$C:$C,MATCH($A221,'[19]Hawaii Pop by County'!$B:$B,0))</f>
        <v>215042</v>
      </c>
      <c r="H221" s="144">
        <f>INDEX('[19]Hawaii Pop by County'!$E:$E,MATCH($A221,'[19]Hawaii Pop by County'!$B:$B,0))</f>
        <v>90942</v>
      </c>
      <c r="I221" s="144">
        <f>INDEX('[19]Hawaii Pop by County'!$F:$F,MATCH($A221,'[19]Hawaii Pop by County'!$B:$B,0))</f>
        <v>210099</v>
      </c>
      <c r="J221" s="280">
        <f>H221*INDEX('[19]Hawaii Pop by County'!$L:$L,MATCH($A221,'[19]Hawaii Pop by County'!$B:$B,0))</f>
        <v>90735.385206281513</v>
      </c>
      <c r="K221" s="280">
        <f>H221*INDEX('[19]Hawaii Pop by County'!$M:$M,MATCH($A221,'[19]Hawaii Pop by County'!$B:$B,0))</f>
        <v>206.61479371850149</v>
      </c>
      <c r="L221" s="280">
        <f>I221*INDEX('[19]Hawaii Pop by County'!$I:$I,MATCH($A221,'[19]Hawaii Pop by County'!$B:$B,0))</f>
        <v>194278.01000340964</v>
      </c>
      <c r="M221" s="280">
        <f>I221*INDEX('[19]Hawaii Pop by County'!$J:$J,MATCH($A221,'[19]Hawaii Pop by County'!$B:$B,0))</f>
        <v>5252.2863702386594</v>
      </c>
      <c r="N221" s="280">
        <f>I221*INDEX('[19]Hawaii Pop by County'!$K:$K,MATCH($A221,'[19]Hawaii Pop by County'!$B:$B,0))</f>
        <v>10568.703626351711</v>
      </c>
      <c r="O221" s="138">
        <f t="shared" si="89"/>
        <v>0</v>
      </c>
      <c r="P221" s="138">
        <f t="shared" si="90"/>
        <v>0</v>
      </c>
    </row>
    <row r="222" spans="1:16">
      <c r="A222" s="90">
        <v>2015</v>
      </c>
      <c r="B222" s="144">
        <v>102800000</v>
      </c>
      <c r="C222" s="144">
        <v>21400000</v>
      </c>
      <c r="D222" s="144">
        <v>58230809</v>
      </c>
      <c r="E222" s="432">
        <f t="shared" si="85"/>
        <v>1597450</v>
      </c>
      <c r="F222" s="144">
        <f>INDEX('[19]Hawaii Pop by County'!$D:$D,MATCH($A222,'[19]Hawaii Pop by County'!$B:$B,0))</f>
        <v>1072517</v>
      </c>
      <c r="G222" s="144">
        <f>INDEX('[19]Hawaii Pop by County'!$C:$C,MATCH($A222,'[19]Hawaii Pop by County'!$B:$B,0))</f>
        <v>218770</v>
      </c>
      <c r="H222" s="144">
        <f>INDEX('[19]Hawaii Pop by County'!$E:$E,MATCH($A222,'[19]Hawaii Pop by County'!$B:$B,0))</f>
        <v>92964</v>
      </c>
      <c r="I222" s="144">
        <f>INDEX('[19]Hawaii Pop by County'!$F:$F,MATCH($A222,'[19]Hawaii Pop by County'!$B:$B,0))</f>
        <v>213199</v>
      </c>
      <c r="J222" s="280">
        <f>H222*INDEX('[19]Hawaii Pop by County'!$L:$L,MATCH($A222,'[19]Hawaii Pop by County'!$B:$B,0))</f>
        <v>92752.791343018107</v>
      </c>
      <c r="K222" s="280">
        <f>H222*INDEX('[19]Hawaii Pop by County'!$M:$M,MATCH($A222,'[19]Hawaii Pop by County'!$B:$B,0))</f>
        <v>211.2086569818872</v>
      </c>
      <c r="L222" s="280">
        <f>I222*INDEX('[19]Hawaii Pop by County'!$I:$I,MATCH($A222,'[19]Hawaii Pop by County'!$B:$B,0))</f>
        <v>197144.5721051358</v>
      </c>
      <c r="M222" s="280">
        <f>I222*INDEX('[19]Hawaii Pop by County'!$J:$J,MATCH($A222,'[19]Hawaii Pop by County'!$B:$B,0))</f>
        <v>5329.783587016178</v>
      </c>
      <c r="N222" s="280">
        <f>I222*INDEX('[19]Hawaii Pop by County'!$K:$K,MATCH($A222,'[19]Hawaii Pop by County'!$B:$B,0))</f>
        <v>10724.644307848004</v>
      </c>
      <c r="O222" s="138">
        <f t="shared" si="89"/>
        <v>0</v>
      </c>
      <c r="P222" s="138">
        <f t="shared" si="90"/>
        <v>0</v>
      </c>
    </row>
    <row r="223" spans="1:16">
      <c r="A223" s="90">
        <v>2016</v>
      </c>
      <c r="B223" s="432">
        <f>B222+(B$227-B$222)/(ROW(B$227)-ROW(B$222))</f>
        <v>104024000</v>
      </c>
      <c r="C223" s="432">
        <f>C222+(C$227-C$222)/(ROW(C$227)-ROW(C$222))</f>
        <v>21302000</v>
      </c>
      <c r="D223" s="144">
        <v>59155345</v>
      </c>
      <c r="E223" s="432">
        <f t="shared" si="85"/>
        <v>1611051</v>
      </c>
      <c r="F223" s="144">
        <f>INDEX('[19]Hawaii Pop by County'!$D:$D,MATCH($A223,'[19]Hawaii Pop by County'!$B:$B,0))</f>
        <v>1079640</v>
      </c>
      <c r="G223" s="144">
        <f>INDEX('[19]Hawaii Pop by County'!$C:$C,MATCH($A223,'[19]Hawaii Pop by County'!$B:$B,0))</f>
        <v>221095</v>
      </c>
      <c r="H223" s="144">
        <f>INDEX('[19]Hawaii Pop by County'!$E:$E,MATCH($A223,'[19]Hawaii Pop by County'!$B:$B,0))</f>
        <v>93979</v>
      </c>
      <c r="I223" s="144">
        <f>INDEX('[19]Hawaii Pop by County'!$F:$F,MATCH($A223,'[19]Hawaii Pop by County'!$B:$B,0))</f>
        <v>216337</v>
      </c>
      <c r="J223" s="280">
        <f>H223*INDEX('[19]Hawaii Pop by County'!$L:$L,MATCH($A223,'[19]Hawaii Pop by County'!$B:$B,0))</f>
        <v>93765.485323625282</v>
      </c>
      <c r="K223" s="280">
        <f>H223*INDEX('[19]Hawaii Pop by County'!$M:$M,MATCH($A223,'[19]Hawaii Pop by County'!$B:$B,0))</f>
        <v>213.51467637473436</v>
      </c>
      <c r="L223" s="280">
        <f>I223*INDEX('[19]Hawaii Pop by County'!$I:$I,MATCH($A223,'[19]Hawaii Pop by County'!$B:$B,0))</f>
        <v>200046.27271004446</v>
      </c>
      <c r="M223" s="280">
        <f>I223*INDEX('[19]Hawaii Pop by County'!$J:$J,MATCH($A223,'[19]Hawaii Pop by County'!$B:$B,0))</f>
        <v>5408.2307696767757</v>
      </c>
      <c r="N223" s="280">
        <f>I223*INDEX('[19]Hawaii Pop by County'!$K:$K,MATCH($A223,'[19]Hawaii Pop by County'!$B:$B,0))</f>
        <v>10882.496520278768</v>
      </c>
      <c r="O223" s="138">
        <f t="shared" si="89"/>
        <v>0</v>
      </c>
      <c r="P223" s="138">
        <f t="shared" si="90"/>
        <v>0</v>
      </c>
    </row>
    <row r="224" spans="1:16">
      <c r="A224" s="90">
        <v>2017</v>
      </c>
      <c r="B224" s="432">
        <f t="shared" ref="B224:C229" si="94">B223+(B$227-B$222)/(ROW(B$227)-ROW(B$222))</f>
        <v>105248000</v>
      </c>
      <c r="C224" s="432">
        <f t="shared" si="94"/>
        <v>21204000</v>
      </c>
      <c r="D224" s="144">
        <v>59929232</v>
      </c>
      <c r="E224" s="432">
        <f t="shared" si="85"/>
        <v>1624163</v>
      </c>
      <c r="F224" s="144">
        <f>INDEX('[19]Hawaii Pop by County'!$D:$D,MATCH($A224,'[19]Hawaii Pop by County'!$B:$B,0))</f>
        <v>1082858</v>
      </c>
      <c r="G224" s="144">
        <f>INDEX('[19]Hawaii Pop by County'!$C:$C,MATCH($A224,'[19]Hawaii Pop by County'!$B:$B,0))</f>
        <v>226372</v>
      </c>
      <c r="H224" s="144">
        <f>INDEX('[19]Hawaii Pop by County'!$E:$E,MATCH($A224,'[19]Hawaii Pop by County'!$B:$B,0))</f>
        <v>95964</v>
      </c>
      <c r="I224" s="144">
        <f>INDEX('[19]Hawaii Pop by County'!$F:$F,MATCH($A224,'[19]Hawaii Pop by County'!$B:$B,0))</f>
        <v>218969</v>
      </c>
      <c r="J224" s="280">
        <f>H224*INDEX('[19]Hawaii Pop by County'!$L:$L,MATCH($A224,'[19]Hawaii Pop by County'!$B:$B,0))</f>
        <v>95745.975522152556</v>
      </c>
      <c r="K224" s="280">
        <f>H224*INDEX('[19]Hawaii Pop by County'!$M:$M,MATCH($A224,'[19]Hawaii Pop by County'!$B:$B,0))</f>
        <v>218.02447784744473</v>
      </c>
      <c r="L224" s="280">
        <f>I224*INDEX('[19]Hawaii Pop by County'!$I:$I,MATCH($A224,'[19]Hawaii Pop by County'!$B:$B,0))</f>
        <v>202480.0764041552</v>
      </c>
      <c r="M224" s="280">
        <f>I224*INDEX('[19]Hawaii Pop by County'!$J:$J,MATCH($A224,'[19]Hawaii Pop by County'!$B:$B,0))</f>
        <v>5474.0284066311087</v>
      </c>
      <c r="N224" s="280">
        <f>I224*INDEX('[19]Hawaii Pop by County'!$K:$K,MATCH($A224,'[19]Hawaii Pop by County'!$B:$B,0))</f>
        <v>11014.895189213683</v>
      </c>
      <c r="O224" s="138">
        <f t="shared" si="89"/>
        <v>0</v>
      </c>
      <c r="P224" s="138">
        <f t="shared" si="90"/>
        <v>0</v>
      </c>
    </row>
    <row r="225" spans="1:16">
      <c r="A225" s="90">
        <v>2018</v>
      </c>
      <c r="B225" s="432">
        <f t="shared" si="94"/>
        <v>106472000</v>
      </c>
      <c r="C225" s="432">
        <f t="shared" si="94"/>
        <v>21106000</v>
      </c>
      <c r="D225" s="144">
        <v>60567077</v>
      </c>
      <c r="E225" s="432">
        <f t="shared" si="85"/>
        <v>1634237</v>
      </c>
      <c r="F225" s="144">
        <f>INDEX('[19]Hawaii Pop by County'!$D:$D,MATCH($A225,'[19]Hawaii Pop by County'!$B:$B,0))</f>
        <v>1085816</v>
      </c>
      <c r="G225" s="144">
        <f>INDEX('[19]Hawaii Pop by County'!$C:$C,MATCH($A225,'[19]Hawaii Pop by County'!$B:$B,0))</f>
        <v>226774</v>
      </c>
      <c r="H225" s="144">
        <f>INDEX('[19]Hawaii Pop by County'!$E:$E,MATCH($A225,'[19]Hawaii Pop by County'!$B:$B,0))</f>
        <v>98348</v>
      </c>
      <c r="I225" s="144">
        <f>INDEX('[19]Hawaii Pop by County'!$F:$F,MATCH($A225,'[19]Hawaii Pop by County'!$B:$B,0))</f>
        <v>223299</v>
      </c>
      <c r="J225" s="280">
        <f>H225*INDEX('[19]Hawaii Pop by County'!$L:$L,MATCH($A225,'[19]Hawaii Pop by County'!$B:$B,0))</f>
        <v>98124.559216504727</v>
      </c>
      <c r="K225" s="280">
        <f>H225*INDEX('[19]Hawaii Pop by County'!$M:$M,MATCH($A225,'[19]Hawaii Pop by County'!$B:$B,0))</f>
        <v>223.44078349527419</v>
      </c>
      <c r="L225" s="280">
        <f>I225*INDEX('[19]Hawaii Pop by County'!$I:$I,MATCH($A225,'[19]Hawaii Pop by County'!$B:$B,0))</f>
        <v>206484.01637205016</v>
      </c>
      <c r="M225" s="280">
        <f>I225*INDEX('[19]Hawaii Pop by County'!$J:$J,MATCH($A225,'[19]Hawaii Pop by County'!$B:$B,0))</f>
        <v>5582.2745190977712</v>
      </c>
      <c r="N225" s="280">
        <f>I225*INDEX('[19]Hawaii Pop by County'!$K:$K,MATCH($A225,'[19]Hawaii Pop by County'!$B:$B,0))</f>
        <v>11232.709108852057</v>
      </c>
      <c r="O225" s="138">
        <f t="shared" si="89"/>
        <v>0</v>
      </c>
      <c r="P225" s="138">
        <f t="shared" si="90"/>
        <v>0</v>
      </c>
    </row>
    <row r="226" spans="1:16">
      <c r="A226" s="90">
        <v>2019</v>
      </c>
      <c r="B226" s="432">
        <f t="shared" si="94"/>
        <v>107696000</v>
      </c>
      <c r="C226" s="432">
        <f t="shared" si="94"/>
        <v>21008000</v>
      </c>
      <c r="D226" s="144">
        <v>61191402</v>
      </c>
      <c r="E226" s="432">
        <f t="shared" si="85"/>
        <v>1632588</v>
      </c>
      <c r="F226" s="144">
        <f>INDEX('[19]Hawaii Pop by County'!$D:$D,MATCH($A226,'[19]Hawaii Pop by County'!$B:$B,0))</f>
        <v>1083883</v>
      </c>
      <c r="G226" s="144">
        <f>INDEX('[19]Hawaii Pop by County'!$C:$C,MATCH($A226,'[19]Hawaii Pop by County'!$B:$B,0))</f>
        <v>226688</v>
      </c>
      <c r="H226" s="144">
        <f>INDEX('[19]Hawaii Pop by County'!$E:$E,MATCH($A226,'[19]Hawaii Pop by County'!$B:$B,0))</f>
        <v>97463</v>
      </c>
      <c r="I226" s="144">
        <f>INDEX('[19]Hawaii Pop by County'!$F:$F,MATCH($A226,'[19]Hawaii Pop by County'!$B:$B,0))</f>
        <v>224554</v>
      </c>
      <c r="J226" s="280">
        <f>H226*INDEX('[19]Hawaii Pop by County'!$L:$L,MATCH($A226,'[19]Hawaii Pop by County'!$B:$B,0))</f>
        <v>97241.569883660064</v>
      </c>
      <c r="K226" s="280">
        <f>H226*INDEX('[19]Hawaii Pop by County'!$M:$M,MATCH($A226,'[19]Hawaii Pop by County'!$B:$B,0))</f>
        <v>221.43011633993481</v>
      </c>
      <c r="L226" s="280">
        <f>I226*INDEX('[19]Hawaii Pop by County'!$I:$I,MATCH($A226,'[19]Hawaii Pop by County'!$B:$B,0))</f>
        <v>207644.51167452318</v>
      </c>
      <c r="M226" s="280">
        <f>I226*INDEX('[19]Hawaii Pop by County'!$J:$J,MATCH($A226,'[19]Hawaii Pop by County'!$B:$B,0))</f>
        <v>5613.6483923415735</v>
      </c>
      <c r="N226" s="280">
        <f>I226*INDEX('[19]Hawaii Pop by County'!$K:$K,MATCH($A226,'[19]Hawaii Pop by County'!$B:$B,0))</f>
        <v>11295.839933135236</v>
      </c>
      <c r="O226" s="138">
        <f t="shared" si="89"/>
        <v>0</v>
      </c>
      <c r="P226" s="138">
        <f t="shared" si="90"/>
        <v>0</v>
      </c>
    </row>
    <row r="227" spans="1:16">
      <c r="A227" s="90">
        <v>2020</v>
      </c>
      <c r="B227" s="144">
        <v>108920000</v>
      </c>
      <c r="C227" s="144">
        <v>20910000</v>
      </c>
      <c r="D227" s="144">
        <v>61365245</v>
      </c>
      <c r="E227" s="432">
        <f t="shared" si="85"/>
        <v>1482790</v>
      </c>
      <c r="F227" s="144">
        <f>INDEX('[19]Hawaii Pop by County'!$D:$D,MATCH($A227,'[19]Hawaii Pop by County'!$B:$B,0))</f>
        <v>1015488</v>
      </c>
      <c r="G227" s="144">
        <f>INDEX('[19]Hawaii Pop by County'!$C:$C,MATCH($A227,'[19]Hawaii Pop by County'!$B:$B,0))</f>
        <v>207869</v>
      </c>
      <c r="H227" s="144">
        <f>INDEX('[19]Hawaii Pop by County'!$E:$E,MATCH($A227,'[19]Hawaii Pop by County'!$B:$B,0))</f>
        <v>78951</v>
      </c>
      <c r="I227" s="144">
        <f>INDEX('[19]Hawaii Pop by County'!$F:$F,MATCH($A227,'[19]Hawaii Pop by County'!$B:$B,0))</f>
        <v>180482</v>
      </c>
      <c r="J227" s="280">
        <f>H227*INDEX('[19]Hawaii Pop by County'!$L:$L,MATCH($A227,'[19]Hawaii Pop by County'!$B:$B,0))</f>
        <v>78771.628042281125</v>
      </c>
      <c r="K227" s="280">
        <f>H227*INDEX('[19]Hawaii Pop by County'!$M:$M,MATCH($A227,'[19]Hawaii Pop by County'!$B:$B,0))</f>
        <v>179.37195771886965</v>
      </c>
      <c r="L227" s="280">
        <f>I227*INDEX('[19]Hawaii Pop by County'!$I:$I,MATCH($A227,'[19]Hawaii Pop by County'!$B:$B,0))</f>
        <v>166891.24556249852</v>
      </c>
      <c r="M227" s="280">
        <f>I227*INDEX('[19]Hawaii Pop by County'!$J:$J,MATCH($A227,'[19]Hawaii Pop by County'!$B:$B,0))</f>
        <v>4511.887960787124</v>
      </c>
      <c r="N227" s="280">
        <f>I227*INDEX('[19]Hawaii Pop by County'!$K:$K,MATCH($A227,'[19]Hawaii Pop by County'!$B:$B,0))</f>
        <v>9078.8664767143473</v>
      </c>
      <c r="O227" s="138">
        <f t="shared" si="89"/>
        <v>0</v>
      </c>
      <c r="P227" s="138">
        <f t="shared" si="90"/>
        <v>0</v>
      </c>
    </row>
    <row r="228" spans="1:16">
      <c r="A228" s="90">
        <v>2021</v>
      </c>
      <c r="B228" s="432">
        <f t="shared" si="94"/>
        <v>110144000</v>
      </c>
      <c r="C228" s="432">
        <f t="shared" si="94"/>
        <v>20812000</v>
      </c>
      <c r="D228" s="144">
        <v>62027174</v>
      </c>
      <c r="E228" s="432">
        <f t="shared" si="85"/>
        <v>1565043</v>
      </c>
      <c r="F228" s="144">
        <f>INDEX('[19]Hawaii Pop by County'!$D:$D,MATCH($A228,'[19]Hawaii Pop by County'!$B:$B,0))</f>
        <v>1036974</v>
      </c>
      <c r="G228" s="144">
        <f>INDEX('[19]Hawaii Pop by County'!$C:$C,MATCH($A228,'[19]Hawaii Pop by County'!$B:$B,0))</f>
        <v>225471</v>
      </c>
      <c r="H228" s="144">
        <f>INDEX('[19]Hawaii Pop by County'!$E:$E,MATCH($A228,'[19]Hawaii Pop by County'!$B:$B,0))</f>
        <v>89625</v>
      </c>
      <c r="I228" s="144">
        <f>INDEX('[19]Hawaii Pop by County'!$F:$F,MATCH($A228,'[19]Hawaii Pop by County'!$B:$B,0))</f>
        <v>212973</v>
      </c>
      <c r="J228" s="280">
        <f>H228*INDEX('[19]Hawaii Pop by County'!$L:$L,MATCH($A228,'[19]Hawaii Pop by County'!$B:$B,0))</f>
        <v>89421.37735164148</v>
      </c>
      <c r="K228" s="280">
        <f>H228*INDEX('[19]Hawaii Pop by County'!$M:$M,MATCH($A228,'[19]Hawaii Pop by County'!$B:$B,0))</f>
        <v>203.6226483585223</v>
      </c>
      <c r="L228" s="280">
        <f>I228*INDEX('[19]Hawaii Pop by County'!$I:$I,MATCH($A228,'[19]Hawaii Pop by County'!$B:$B,0))</f>
        <v>196935.59048094545</v>
      </c>
      <c r="M228" s="280">
        <f>I228*INDEX('[19]Hawaii Pop by County'!$J:$J,MATCH($A228,'[19]Hawaii Pop by County'!$B:$B,0))</f>
        <v>5324.1337899220762</v>
      </c>
      <c r="N228" s="280">
        <f>I228*INDEX('[19]Hawaii Pop by County'!$K:$K,MATCH($A228,'[19]Hawaii Pop by County'!$B:$B,0))</f>
        <v>10713.27572913246</v>
      </c>
      <c r="O228" s="138">
        <f t="shared" ref="O228" si="95">SUM(L228:N228)-I228</f>
        <v>0</v>
      </c>
      <c r="P228" s="138">
        <f t="shared" ref="P228" si="96">SUM(J228:K228)-H228</f>
        <v>0</v>
      </c>
    </row>
    <row r="229" spans="1:16">
      <c r="A229" s="90">
        <v>2022</v>
      </c>
      <c r="B229" s="432">
        <f t="shared" si="94"/>
        <v>111368000</v>
      </c>
      <c r="C229" s="432">
        <f t="shared" si="94"/>
        <v>20714000</v>
      </c>
      <c r="D229" s="144">
        <v>62974091</v>
      </c>
      <c r="E229" s="432">
        <f>SUM(F229:I229)</f>
        <v>1597575</v>
      </c>
      <c r="F229" s="144">
        <f>INDEX('[19]Hawaii Pop by County'!$D:$D,MATCH($A229,'[19]Hawaii Pop by County'!$B:$B,0))</f>
        <v>1045329</v>
      </c>
      <c r="G229" s="144">
        <f>INDEX('[19]Hawaii Pop by County'!$C:$C,MATCH($A229,'[19]Hawaii Pop by County'!$B:$B,0))</f>
        <v>233808</v>
      </c>
      <c r="H229" s="144">
        <f>INDEX('[19]Hawaii Pop by County'!$E:$E,MATCH($A229,'[19]Hawaii Pop by County'!$B:$B,0))</f>
        <v>98182</v>
      </c>
      <c r="I229" s="144">
        <f>INDEX('[19]Hawaii Pop by County'!$F:$F,MATCH($A229,'[19]Hawaii Pop by County'!$B:$B,0))</f>
        <v>220256</v>
      </c>
      <c r="J229" s="280">
        <f>H229*INDEX('[19]Hawaii Pop by County'!$L:$L,MATCH($A229,'[19]Hawaii Pop by County'!$B:$B,0))</f>
        <v>97958.936358592618</v>
      </c>
      <c r="K229" s="280">
        <f>H229*INDEX('[19]Hawaii Pop by County'!$M:$M,MATCH($A229,'[19]Hawaii Pop by County'!$B:$B,0))</f>
        <v>223.06364140738003</v>
      </c>
      <c r="L229" s="280">
        <f>I229*INDEX('[19]Hawaii Pop by County'!$I:$I,MATCH($A229,'[19]Hawaii Pop by County'!$B:$B,0))</f>
        <v>203670.16202509767</v>
      </c>
      <c r="M229" s="280">
        <f>I229*INDEX('[19]Hawaii Pop by County'!$J:$J,MATCH($A229,'[19]Hawaii Pop by County'!$B:$B,0))</f>
        <v>5506.2022511448713</v>
      </c>
      <c r="N229" s="280">
        <f>I229*INDEX('[19]Hawaii Pop by County'!$K:$K,MATCH($A229,'[19]Hawaii Pop by County'!$B:$B,0))</f>
        <v>11079.635723757467</v>
      </c>
      <c r="O229" s="138"/>
      <c r="P229" s="138"/>
    </row>
    <row r="230" spans="1:16">
      <c r="A230" s="42" t="s">
        <v>313</v>
      </c>
    </row>
    <row r="231" spans="1:16">
      <c r="A231" s="42" t="s">
        <v>314</v>
      </c>
    </row>
    <row r="232" spans="1:16">
      <c r="A232" s="42" t="s">
        <v>315</v>
      </c>
    </row>
    <row r="233" spans="1:16">
      <c r="A233" s="42" t="s">
        <v>316</v>
      </c>
      <c r="C233" s="435"/>
    </row>
  </sheetData>
  <mergeCells count="5">
    <mergeCell ref="K166:N166"/>
    <mergeCell ref="O166:R166"/>
    <mergeCell ref="A1:E1"/>
    <mergeCell ref="C166:F166"/>
    <mergeCell ref="G166:J166"/>
  </mergeCells>
  <phoneticPr fontId="8" type="noConversion"/>
  <conditionalFormatting sqref="B116:C116">
    <cfRule type="expression" dxfId="15" priority="2" stopIfTrue="1">
      <formula>RiskIsOutput</formula>
    </cfRule>
  </conditionalFormatting>
  <conditionalFormatting sqref="C32">
    <cfRule type="expression" dxfId="14" priority="1" stopIfTrue="1">
      <formula>RiskIsOutput</formula>
    </cfRule>
  </conditionalFormatting>
  <pageMargins left="0.75" right="0.75" top="1" bottom="1" header="0.5" footer="0.5"/>
  <pageSetup orientation="portrait" r:id="rId1"/>
  <headerFooter alignWithMargins="0"/>
  <ignoredErrors>
    <ignoredError sqref="D206 D89" formulaRange="1"/>
    <ignoredError sqref="F196 J196" formula="1"/>
  </ignoredErrors>
  <legacyDrawing r:id="rId2"/>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theme="0" tint="-0.34998626667073579"/>
  </sheetPr>
  <dimension ref="A1:AT84"/>
  <sheetViews>
    <sheetView topLeftCell="E35" workbookViewId="0">
      <selection activeCell="C65" sqref="C65:N65"/>
    </sheetView>
  </sheetViews>
  <sheetFormatPr defaultRowHeight="12.75" customHeight="1"/>
  <cols>
    <col min="1" max="1" width="11.42578125" customWidth="1"/>
    <col min="2" max="2" width="26.5703125" customWidth="1"/>
    <col min="3" max="13" width="11.5703125" customWidth="1"/>
    <col min="14" max="14" width="11.5703125" bestFit="1" customWidth="1"/>
    <col min="15" max="15" width="9" customWidth="1"/>
    <col min="16" max="16" width="11.5703125" customWidth="1"/>
    <col min="17" max="37" width="8" customWidth="1"/>
    <col min="38" max="38" width="9.5703125" bestFit="1" customWidth="1"/>
  </cols>
  <sheetData>
    <row r="1" spans="1:46" ht="18">
      <c r="A1" s="402" t="s">
        <v>30</v>
      </c>
    </row>
    <row r="3" spans="1:46" s="42" customFormat="1" ht="12.75" customHeight="1">
      <c r="A3" s="43"/>
      <c r="B3" s="56"/>
      <c r="C3" s="158"/>
      <c r="D3" s="158"/>
      <c r="E3" s="158"/>
      <c r="F3" s="158"/>
      <c r="G3" s="158"/>
      <c r="H3" s="158"/>
      <c r="I3" s="158"/>
      <c r="J3" s="158"/>
      <c r="K3" s="158"/>
      <c r="L3" s="158"/>
      <c r="M3" s="158"/>
      <c r="N3" s="158"/>
      <c r="O3"/>
      <c r="P3" s="150"/>
      <c r="Q3" s="151"/>
      <c r="R3" s="151"/>
      <c r="S3" s="152"/>
      <c r="T3" s="152"/>
      <c r="U3" s="152"/>
      <c r="V3" s="152"/>
      <c r="W3" s="153"/>
      <c r="X3" s="152"/>
      <c r="Y3" s="152"/>
      <c r="Z3" s="152"/>
      <c r="AA3" s="152"/>
      <c r="AB3" s="152"/>
      <c r="AC3" s="152"/>
      <c r="AD3" s="150"/>
      <c r="AE3" s="154"/>
      <c r="AF3" s="154"/>
      <c r="AG3" s="154"/>
      <c r="AH3" s="154"/>
      <c r="AI3" s="154"/>
      <c r="AJ3" s="154"/>
      <c r="AK3" s="155"/>
      <c r="AL3" s="155"/>
      <c r="AM3" s="155"/>
      <c r="AN3" s="155"/>
      <c r="AO3" s="155"/>
      <c r="AP3" s="404"/>
      <c r="AQ3" s="404"/>
      <c r="AR3" s="404"/>
      <c r="AS3" s="404"/>
      <c r="AT3" s="56"/>
    </row>
    <row r="4" spans="1:46" s="42" customFormat="1" ht="12.75" customHeight="1">
      <c r="A4" s="43"/>
      <c r="B4" s="120"/>
      <c r="C4" s="68">
        <v>1990</v>
      </c>
      <c r="D4" s="68">
        <v>2005</v>
      </c>
      <c r="E4" s="68">
        <v>2007</v>
      </c>
      <c r="F4" s="68">
        <v>2010</v>
      </c>
      <c r="G4" s="68">
        <v>2015</v>
      </c>
      <c r="H4" s="68">
        <v>2016</v>
      </c>
      <c r="I4" s="68">
        <v>2017</v>
      </c>
      <c r="J4" s="68">
        <v>2018</v>
      </c>
      <c r="K4" s="68">
        <v>2019</v>
      </c>
      <c r="L4" s="68">
        <v>2020</v>
      </c>
      <c r="M4" s="68">
        <v>2021</v>
      </c>
      <c r="N4" s="68">
        <v>2022</v>
      </c>
      <c r="O4"/>
      <c r="P4" s="150"/>
      <c r="Q4" s="151"/>
      <c r="R4" s="151"/>
      <c r="S4" s="152"/>
      <c r="T4" s="152"/>
      <c r="U4" s="152"/>
      <c r="V4" s="152"/>
      <c r="W4" s="153"/>
      <c r="X4" s="152"/>
      <c r="Y4" s="152"/>
      <c r="Z4" s="152"/>
      <c r="AA4" s="152"/>
      <c r="AB4" s="152"/>
      <c r="AC4" s="152"/>
      <c r="AD4" s="150"/>
      <c r="AE4" s="154"/>
      <c r="AF4" s="154"/>
      <c r="AG4" s="154"/>
      <c r="AH4" s="154"/>
      <c r="AI4" s="154"/>
      <c r="AJ4" s="154"/>
      <c r="AK4" s="155"/>
      <c r="AL4" s="155"/>
      <c r="AM4" s="155"/>
      <c r="AN4" s="155"/>
      <c r="AO4" s="155"/>
      <c r="AP4" s="404"/>
      <c r="AQ4" s="404"/>
      <c r="AR4" s="404"/>
      <c r="AS4" s="404"/>
      <c r="AT4" s="56"/>
    </row>
    <row r="5" spans="1:46" s="42" customFormat="1" ht="12.75" customHeight="1">
      <c r="A5" s="43"/>
      <c r="B5" s="134" t="s">
        <v>151</v>
      </c>
      <c r="C5" s="46">
        <f>'[19]Hawaii Pop by County'!$G$39</f>
        <v>1257319</v>
      </c>
      <c r="D5" s="46">
        <f>'[19]Hawaii Pop by County'!$G$54</f>
        <v>1412500</v>
      </c>
      <c r="E5" s="46">
        <f>'[19]Hawaii Pop by County'!$G$56</f>
        <v>1433461</v>
      </c>
      <c r="F5" s="46">
        <f>'[19]Hawaii Pop by County'!$G$59</f>
        <v>1468736</v>
      </c>
      <c r="G5" s="46">
        <f>'[19]Hawaii Pop by County'!$G$64</f>
        <v>1597450</v>
      </c>
      <c r="H5" s="46">
        <f>'[19]Hawaii Pop by County'!$G$65</f>
        <v>1611051</v>
      </c>
      <c r="I5" s="46">
        <f>'[19]Hawaii Pop by County'!$G$66</f>
        <v>1624163</v>
      </c>
      <c r="J5" s="46">
        <f>'[19]Hawaii Pop by County'!$G$67</f>
        <v>1634237</v>
      </c>
      <c r="K5" s="46">
        <f>'[19]Hawaii Pop by County'!$G$68</f>
        <v>1632588</v>
      </c>
      <c r="L5" s="46">
        <f>'[19]Hawaii Pop by County'!$G$69</f>
        <v>1482790</v>
      </c>
      <c r="M5" s="46">
        <f>'[19]Hawaii Pop by County'!$G$70</f>
        <v>1565043</v>
      </c>
      <c r="N5" s="46">
        <f>'[19]Hawaii Pop by County'!$G$71</f>
        <v>1597575</v>
      </c>
      <c r="O5"/>
      <c r="P5" s="150"/>
      <c r="Q5" s="151"/>
      <c r="R5" s="151"/>
      <c r="S5" s="152"/>
      <c r="T5" s="152"/>
      <c r="U5" s="152"/>
      <c r="V5" s="152"/>
      <c r="W5" s="153"/>
      <c r="X5" s="152"/>
      <c r="Y5" s="152"/>
      <c r="Z5" s="152"/>
      <c r="AA5" s="152"/>
      <c r="AB5" s="152"/>
      <c r="AC5" s="152"/>
      <c r="AD5" s="150"/>
      <c r="AE5" s="154"/>
      <c r="AF5" s="154"/>
      <c r="AG5" s="154"/>
      <c r="AH5" s="154"/>
      <c r="AI5" s="154"/>
      <c r="AJ5" s="154"/>
      <c r="AK5" s="155"/>
      <c r="AL5" s="155"/>
      <c r="AM5" s="155"/>
      <c r="AN5" s="155"/>
      <c r="AO5" s="155"/>
      <c r="AP5" s="404"/>
      <c r="AQ5" s="404"/>
      <c r="AR5" s="404"/>
      <c r="AS5" s="404"/>
      <c r="AT5" s="56"/>
    </row>
    <row r="6" spans="1:46" s="42" customFormat="1" ht="12.75" customHeight="1">
      <c r="A6" s="43"/>
      <c r="B6" s="134" t="s">
        <v>152</v>
      </c>
      <c r="C6" s="46">
        <f>VLOOKUP(C$4,'ODS Subs Data'!$B$5:$C$37,2,FALSE)</f>
        <v>249622814</v>
      </c>
      <c r="D6" s="46">
        <f>VLOOKUP(D$4,'ODS Subs Data'!$B$5:$C$37,2,FALSE)</f>
        <v>295516599</v>
      </c>
      <c r="E6" s="46">
        <f>VLOOKUP(E$4,'ODS Subs Data'!$B$5:$C$37,2,FALSE)</f>
        <v>301231207</v>
      </c>
      <c r="F6" s="46">
        <f>VLOOKUP(F$4,'ODS Subs Data'!$B$5:$C$37,2,FALSE)</f>
        <v>309327143</v>
      </c>
      <c r="G6" s="46">
        <f>VLOOKUP(G$4,'ODS Subs Data'!$B$5:$C$37,2,FALSE)</f>
        <v>320738994</v>
      </c>
      <c r="H6" s="46">
        <f>VLOOKUP(H$4,'ODS Subs Data'!$B$5:$C$37,2,FALSE)</f>
        <v>323071755</v>
      </c>
      <c r="I6" s="46">
        <f>VLOOKUP(I$4,'ODS Subs Data'!$B$5:$C$37,2,FALSE)</f>
        <v>325122128</v>
      </c>
      <c r="J6" s="46">
        <f>VLOOKUP(J$4,'ODS Subs Data'!$B$5:$C$37,2,FALSE)</f>
        <v>326838199</v>
      </c>
      <c r="K6" s="46">
        <f>VLOOKUP(K$4,'ODS Subs Data'!$B$5:$C$37,2,FALSE)</f>
        <v>328329953</v>
      </c>
      <c r="L6" s="46">
        <f>VLOOKUP(L$4,'ODS Subs Data'!$B$5:$C$37,2,FALSE)</f>
        <v>331511512</v>
      </c>
      <c r="M6" s="46">
        <f>VLOOKUP(M$4,'ODS Subs Data'!$B$5:$C$37,2,FALSE)</f>
        <v>332031554</v>
      </c>
      <c r="N6" s="46">
        <f>VLOOKUP(N$4,'ODS Subs Data'!$B$5:$C$37,2,FALSE)</f>
        <v>333287557</v>
      </c>
      <c r="O6"/>
      <c r="P6"/>
      <c r="Q6" s="151"/>
      <c r="R6" s="151"/>
      <c r="S6" s="152"/>
      <c r="T6" s="152"/>
      <c r="U6" s="152"/>
      <c r="V6" s="152"/>
      <c r="W6" s="153"/>
      <c r="X6" s="152"/>
      <c r="Y6" s="152"/>
      <c r="Z6" s="152"/>
      <c r="AA6" s="152"/>
      <c r="AB6" s="152"/>
      <c r="AC6" s="152"/>
      <c r="AD6" s="150"/>
      <c r="AE6" s="154"/>
      <c r="AF6" s="154"/>
      <c r="AG6" s="154"/>
      <c r="AH6" s="154"/>
      <c r="AI6" s="154"/>
      <c r="AJ6" s="154"/>
      <c r="AK6" s="155"/>
      <c r="AL6" s="155"/>
      <c r="AM6" s="155"/>
      <c r="AN6" s="155"/>
      <c r="AO6" s="155"/>
      <c r="AP6" s="404"/>
      <c r="AQ6" s="404"/>
      <c r="AR6" s="404"/>
      <c r="AS6" s="404"/>
      <c r="AT6" s="56"/>
    </row>
    <row r="9" spans="1:46" ht="15.75">
      <c r="A9" s="270" t="s">
        <v>317</v>
      </c>
      <c r="B9" s="42"/>
      <c r="C9" s="42"/>
      <c r="D9" s="42"/>
      <c r="E9" s="42"/>
      <c r="F9" s="42"/>
      <c r="G9" s="42"/>
      <c r="H9" s="42"/>
      <c r="I9" s="42"/>
      <c r="J9" s="42"/>
      <c r="K9" s="42"/>
      <c r="L9" s="42"/>
      <c r="M9" s="42"/>
      <c r="N9" s="42"/>
      <c r="P9" s="42"/>
      <c r="Q9" s="42"/>
      <c r="R9" s="42"/>
      <c r="S9" s="42"/>
      <c r="T9" s="42"/>
      <c r="U9" s="42"/>
      <c r="V9" s="42"/>
      <c r="W9" s="42"/>
      <c r="X9" s="42"/>
      <c r="Y9" s="42"/>
      <c r="Z9" s="42"/>
      <c r="AA9" s="42"/>
      <c r="AB9" s="42"/>
      <c r="AC9" s="42"/>
      <c r="AD9" s="42"/>
      <c r="AE9" s="42"/>
      <c r="AF9" s="42"/>
      <c r="AG9" s="42"/>
      <c r="AH9" s="42"/>
      <c r="AI9" s="42"/>
      <c r="AJ9" s="42"/>
    </row>
    <row r="10" spans="1:46" ht="15.75">
      <c r="A10" s="42"/>
      <c r="C10" s="42"/>
      <c r="D10" s="42"/>
      <c r="F10" s="271"/>
      <c r="G10" s="271"/>
      <c r="H10" s="271"/>
      <c r="I10" s="271"/>
      <c r="J10" s="271"/>
      <c r="K10" s="271"/>
      <c r="L10" s="271"/>
      <c r="M10" s="271"/>
      <c r="N10" s="271"/>
      <c r="P10" s="42"/>
      <c r="Q10" s="42"/>
      <c r="R10" s="42"/>
      <c r="S10" s="42"/>
      <c r="T10" s="42"/>
      <c r="U10" s="42"/>
      <c r="V10" s="42"/>
      <c r="W10" s="42"/>
      <c r="X10" s="42"/>
      <c r="Y10" s="42"/>
      <c r="Z10" s="42"/>
      <c r="AA10" s="42"/>
      <c r="AB10" s="42"/>
      <c r="AC10" s="42"/>
      <c r="AD10" s="42"/>
      <c r="AE10" s="42"/>
      <c r="AF10" s="42"/>
      <c r="AG10" s="42"/>
      <c r="AH10" s="42"/>
      <c r="AI10" s="42"/>
      <c r="AJ10" s="42"/>
    </row>
    <row r="11" spans="1:46" ht="15.75">
      <c r="A11" s="42"/>
      <c r="B11" s="270" t="s">
        <v>318</v>
      </c>
      <c r="C11" s="42"/>
      <c r="D11" s="42"/>
      <c r="E11" s="270"/>
      <c r="F11" s="42"/>
      <c r="G11" s="42"/>
      <c r="H11" s="42"/>
      <c r="I11" s="42"/>
      <c r="J11" s="42"/>
      <c r="K11" s="42"/>
      <c r="L11" s="42"/>
      <c r="M11" s="42"/>
      <c r="N11" s="42"/>
      <c r="P11" s="42"/>
      <c r="Q11" s="42"/>
      <c r="R11" s="42"/>
      <c r="S11" s="42"/>
      <c r="T11" s="42"/>
      <c r="U11" s="42"/>
      <c r="V11" s="42"/>
      <c r="W11" s="42"/>
      <c r="X11" s="42"/>
      <c r="Y11" s="42"/>
      <c r="Z11" s="42"/>
      <c r="AA11" s="42"/>
      <c r="AB11" s="42"/>
      <c r="AC11" s="42"/>
      <c r="AD11" s="42"/>
      <c r="AE11" s="42"/>
      <c r="AF11" s="42"/>
      <c r="AG11" s="42"/>
      <c r="AH11" s="42"/>
      <c r="AI11" s="42"/>
      <c r="AJ11" s="42"/>
    </row>
    <row r="12" spans="1:46">
      <c r="A12" s="42"/>
      <c r="B12" s="42"/>
      <c r="C12" s="272">
        <v>1990</v>
      </c>
      <c r="D12" s="272">
        <v>2005</v>
      </c>
      <c r="E12" s="272">
        <v>2007</v>
      </c>
      <c r="F12" s="272">
        <v>2010</v>
      </c>
      <c r="G12" s="272">
        <v>2015</v>
      </c>
      <c r="H12" s="272">
        <v>2016</v>
      </c>
      <c r="I12" s="272">
        <v>2017</v>
      </c>
      <c r="J12" s="272">
        <v>2018</v>
      </c>
      <c r="K12" s="272">
        <v>2019</v>
      </c>
      <c r="L12" s="272">
        <v>2020</v>
      </c>
      <c r="M12" s="272">
        <v>2021</v>
      </c>
      <c r="N12" s="272">
        <v>2022</v>
      </c>
    </row>
    <row r="13" spans="1:46">
      <c r="A13" s="43"/>
      <c r="B13" s="102" t="s">
        <v>319</v>
      </c>
      <c r="C13" s="273">
        <f>INDEX([15]ODS!$E$6:$AK$20,MATCH($B13,[15]ODS!$C$6:$C$20,0),MATCH(C$12,[15]ODS!$E$5:$AK$5,0))</f>
        <v>28591.696000000007</v>
      </c>
      <c r="D13" s="273">
        <f>INDEX([15]ODS!$E$6:$AK$20,MATCH($B13,[15]ODS!$C$6:$C$20,0),MATCH(D$12,[15]ODS!$E$5:$AK$5,0))</f>
        <v>12110.505999999999</v>
      </c>
      <c r="E13" s="273">
        <f>INDEX([15]ODS!$E$6:$AK$20,MATCH($B13,[15]ODS!$C$6:$C$20,0),MATCH(E$12,[15]ODS!$E$5:$AK$5,0))</f>
        <v>11546.577500000001</v>
      </c>
      <c r="F13" s="273">
        <f>INDEX([15]ODS!$E$6:$AK$20,MATCH($B13,[15]ODS!$C$6:$C$20,0),MATCH(F$12,[15]ODS!$E$5:$AK$5,0))</f>
        <v>8878.7084999999988</v>
      </c>
      <c r="G13" s="273">
        <f>INDEX([15]ODS!$E$6:$AK$20,MATCH($B13,[15]ODS!$C$6:$C$20,0),MATCH(G$12,[15]ODS!$E$5:$AK$5,0))</f>
        <v>6094.19</v>
      </c>
      <c r="H13" s="273">
        <f>INDEX([15]ODS!$E$6:$AK$20,MATCH($B13,[15]ODS!$C$6:$C$20,0),MATCH(H$12,[15]ODS!$E$5:$AK$5,0))</f>
        <v>5746.8499999999995</v>
      </c>
      <c r="I13" s="273">
        <f>INDEX([15]ODS!$E$6:$AK$20,MATCH($B13,[15]ODS!$C$6:$C$20,0),MATCH(I$12,[15]ODS!$E$5:$AK$5,0))</f>
        <v>6047.82</v>
      </c>
      <c r="J13" s="273">
        <f>INDEX([15]ODS!$E$6:$AK$20,MATCH($B13,[15]ODS!$C$6:$C$20,0),MATCH(J$12,[15]ODS!$E$5:$AK$5,0))</f>
        <v>5756.2</v>
      </c>
      <c r="K13" s="273">
        <f>INDEX([15]ODS!$E$6:$AK$20,MATCH($B13,[15]ODS!$C$6:$C$20,0),MATCH(K$12,[15]ODS!$E$5:$AK$5,0))</f>
        <v>5657.62</v>
      </c>
      <c r="L13" s="273">
        <f>INDEX([15]ODS!$E$6:$AK$20,MATCH($B13,[15]ODS!$C$6:$C$20,0),MATCH(L$12,[15]ODS!$E$5:$AK$5,0))</f>
        <v>5561.92</v>
      </c>
      <c r="M13" s="273">
        <f>INDEX([15]ODS!$E$6:$AK$20,MATCH($B13,[15]ODS!$C$6:$C$20,0),MATCH(M$12,[15]ODS!$E$5:$AK$5,0))</f>
        <v>5115.67</v>
      </c>
      <c r="N13" s="273">
        <f>INDEX([15]ODS!$E$6:$AK$20,MATCH($B13,[15]ODS!$C$6:$C$20,0),MATCH(N$12,[15]ODS!$E$5:$AK$5,0))</f>
        <v>4662.5300000000007</v>
      </c>
    </row>
    <row r="14" spans="1:46">
      <c r="A14" s="42"/>
      <c r="B14" s="102" t="s">
        <v>320</v>
      </c>
      <c r="C14" s="273">
        <f>INDEX([15]ODS!$E$6:$AK$20,MATCH($B14,[15]ODS!$C$6:$C$20,0),MATCH(C$12,[15]ODS!$E$5:$AK$5,0))</f>
        <v>135602.46400000001</v>
      </c>
      <c r="D14" s="273">
        <f>INDEX([15]ODS!$E$6:$AK$20,MATCH($B14,[15]ODS!$C$6:$C$20,0),MATCH(D$12,[15]ODS!$E$5:$AK$5,0))</f>
        <v>23180.215</v>
      </c>
      <c r="E14" s="273">
        <f>INDEX([15]ODS!$E$6:$AK$20,MATCH($B14,[15]ODS!$C$6:$C$20,0),MATCH(E$12,[15]ODS!$E$5:$AK$5,0))</f>
        <v>13920.117100000001</v>
      </c>
      <c r="F14" s="273">
        <f>INDEX([15]ODS!$E$6:$AK$20,MATCH($B14,[15]ODS!$C$6:$C$20,0),MATCH(F$12,[15]ODS!$E$5:$AK$5,0))</f>
        <v>6321.1758999999993</v>
      </c>
      <c r="G14" s="273">
        <f>INDEX([15]ODS!$E$6:$AK$20,MATCH($B14,[15]ODS!$C$6:$C$20,0),MATCH(G$12,[15]ODS!$E$5:$AK$5,0))</f>
        <v>3956.7268000000004</v>
      </c>
      <c r="H14" s="273">
        <f>INDEX([15]ODS!$E$6:$AK$20,MATCH($B14,[15]ODS!$C$6:$C$20,0),MATCH(H$12,[15]ODS!$E$5:$AK$5,0))</f>
        <v>3141.241</v>
      </c>
      <c r="I14" s="273">
        <f>INDEX([15]ODS!$E$6:$AK$20,MATCH($B14,[15]ODS!$C$6:$C$20,0),MATCH(I$12,[15]ODS!$E$5:$AK$5,0))</f>
        <v>2269.9484000000002</v>
      </c>
      <c r="J14" s="273">
        <f>INDEX([15]ODS!$E$6:$AK$20,MATCH($B14,[15]ODS!$C$6:$C$20,0),MATCH(J$12,[15]ODS!$E$5:$AK$5,0))</f>
        <v>1391.0074</v>
      </c>
      <c r="K14" s="273">
        <f>INDEX([15]ODS!$E$6:$AK$20,MATCH($B14,[15]ODS!$C$6:$C$20,0),MATCH(K$12,[15]ODS!$E$5:$AK$5,0))</f>
        <v>508.81740000000002</v>
      </c>
      <c r="L14" s="273">
        <f>INDEX([15]ODS!$E$6:$AK$20,MATCH($B14,[15]ODS!$C$6:$C$20,0),MATCH(L$12,[15]ODS!$E$5:$AK$5,0))</f>
        <v>463.29999999999995</v>
      </c>
      <c r="M14" s="273">
        <f>INDEX([15]ODS!$E$6:$AK$20,MATCH($B14,[15]ODS!$C$6:$C$20,0),MATCH(M$12,[15]ODS!$E$5:$AK$5,0))</f>
        <v>433.77</v>
      </c>
      <c r="N14" s="273">
        <f>INDEX([15]ODS!$E$6:$AK$20,MATCH($B14,[15]ODS!$C$6:$C$20,0),MATCH(N$12,[15]ODS!$E$5:$AK$5,0))</f>
        <v>433.77</v>
      </c>
    </row>
    <row r="15" spans="1:46">
      <c r="A15" s="42"/>
      <c r="B15" s="102" t="s">
        <v>321</v>
      </c>
      <c r="C15" s="273">
        <f>INDEX([15]ODS!$E$6:$AK$20,MATCH($B15,[15]ODS!$C$6:$C$20,0),MATCH(C$12,[15]ODS!$E$5:$AK$5,0))</f>
        <v>59352.63</v>
      </c>
      <c r="D15" s="273">
        <f>INDEX([15]ODS!$E$6:$AK$20,MATCH($B15,[15]ODS!$C$6:$C$20,0),MATCH(D$12,[15]ODS!$E$5:$AK$5,0))</f>
        <v>16782.460000000003</v>
      </c>
      <c r="E15" s="273">
        <f>INDEX([15]ODS!$E$6:$AK$20,MATCH($B15,[15]ODS!$C$6:$C$20,0),MATCH(E$12,[15]ODS!$E$5:$AK$5,0))</f>
        <v>13095.35</v>
      </c>
      <c r="F15" s="273">
        <f>INDEX([15]ODS!$E$6:$AK$20,MATCH($B15,[15]ODS!$C$6:$C$20,0),MATCH(F$12,[15]ODS!$E$5:$AK$5,0))</f>
        <v>6948.45</v>
      </c>
      <c r="G15" s="273">
        <f>INDEX([15]ODS!$E$6:$AK$20,MATCH($B15,[15]ODS!$C$6:$C$20,0),MATCH(G$12,[15]ODS!$E$5:$AK$5,0))</f>
        <v>0</v>
      </c>
      <c r="H15" s="273">
        <f>INDEX([15]ODS!$E$6:$AK$20,MATCH($B15,[15]ODS!$C$6:$C$20,0),MATCH(H$12,[15]ODS!$E$5:$AK$5,0))</f>
        <v>0</v>
      </c>
      <c r="I15" s="273">
        <f>INDEX([15]ODS!$E$6:$AK$20,MATCH($B15,[15]ODS!$C$6:$C$20,0),MATCH(I$12,[15]ODS!$E$5:$AK$5,0))</f>
        <v>0</v>
      </c>
      <c r="J15" s="273">
        <f>INDEX([15]ODS!$E$6:$AK$20,MATCH($B15,[15]ODS!$C$6:$C$20,0),MATCH(J$12,[15]ODS!$E$5:$AK$5,0))</f>
        <v>0</v>
      </c>
      <c r="K15" s="273">
        <f>INDEX([15]ODS!$E$6:$AK$20,MATCH($B15,[15]ODS!$C$6:$C$20,0),MATCH(K$12,[15]ODS!$E$5:$AK$5,0))</f>
        <v>0</v>
      </c>
      <c r="L15" s="273">
        <f>INDEX([15]ODS!$E$6:$AK$20,MATCH($B15,[15]ODS!$C$6:$C$20,0),MATCH(L$12,[15]ODS!$E$5:$AK$5,0))</f>
        <v>0</v>
      </c>
      <c r="M15" s="273">
        <f>INDEX([15]ODS!$E$6:$AK$20,MATCH($B15,[15]ODS!$C$6:$C$20,0),MATCH(M$12,[15]ODS!$E$5:$AK$5,0))</f>
        <v>0</v>
      </c>
      <c r="N15" s="273">
        <f>INDEX([15]ODS!$E$6:$AK$20,MATCH($B15,[15]ODS!$C$6:$C$20,0),MATCH(N$12,[15]ODS!$E$5:$AK$5,0))</f>
        <v>0</v>
      </c>
    </row>
    <row r="16" spans="1:46">
      <c r="A16" s="42"/>
      <c r="B16" s="102" t="s">
        <v>322</v>
      </c>
      <c r="C16" s="273">
        <f>INDEX([15]ODS!$E$6:$AK$20,MATCH($B16,[15]ODS!$C$6:$C$20,0),MATCH(C$12,[15]ODS!$E$5:$AK$5,0))</f>
        <v>3879.1820000000002</v>
      </c>
      <c r="D16" s="273">
        <f>INDEX([15]ODS!$E$6:$AK$20,MATCH($B16,[15]ODS!$C$6:$C$20,0),MATCH(D$12,[15]ODS!$E$5:$AK$5,0))</f>
        <v>1350.4443999999999</v>
      </c>
      <c r="E16" s="273">
        <f>INDEX([15]ODS!$E$6:$AK$20,MATCH($B16,[15]ODS!$C$6:$C$20,0),MATCH(E$12,[15]ODS!$E$5:$AK$5,0))</f>
        <v>862.11</v>
      </c>
      <c r="F16" s="273">
        <f>INDEX([15]ODS!$E$6:$AK$20,MATCH($B16,[15]ODS!$C$6:$C$20,0),MATCH(F$12,[15]ODS!$E$5:$AK$5,0))</f>
        <v>251.01400000000001</v>
      </c>
      <c r="G16" s="273">
        <f>INDEX([15]ODS!$E$6:$AK$20,MATCH($B16,[15]ODS!$C$6:$C$20,0),MATCH(G$12,[15]ODS!$E$5:$AK$5,0))</f>
        <v>0</v>
      </c>
      <c r="H16" s="273">
        <f>INDEX([15]ODS!$E$6:$AK$20,MATCH($B16,[15]ODS!$C$6:$C$20,0),MATCH(H$12,[15]ODS!$E$5:$AK$5,0))</f>
        <v>0</v>
      </c>
      <c r="I16" s="273">
        <f>INDEX([15]ODS!$E$6:$AK$20,MATCH($B16,[15]ODS!$C$6:$C$20,0),MATCH(I$12,[15]ODS!$E$5:$AK$5,0))</f>
        <v>0</v>
      </c>
      <c r="J16" s="273">
        <f>INDEX([15]ODS!$E$6:$AK$20,MATCH($B16,[15]ODS!$C$6:$C$20,0),MATCH(J$12,[15]ODS!$E$5:$AK$5,0))</f>
        <v>0</v>
      </c>
      <c r="K16" s="273">
        <f>INDEX([15]ODS!$E$6:$AK$20,MATCH($B16,[15]ODS!$C$6:$C$20,0),MATCH(K$12,[15]ODS!$E$5:$AK$5,0))</f>
        <v>0</v>
      </c>
      <c r="L16" s="273">
        <f>INDEX([15]ODS!$E$6:$AK$20,MATCH($B16,[15]ODS!$C$6:$C$20,0),MATCH(L$12,[15]ODS!$E$5:$AK$5,0))</f>
        <v>0</v>
      </c>
      <c r="M16" s="273">
        <f>INDEX([15]ODS!$E$6:$AK$20,MATCH($B16,[15]ODS!$C$6:$C$20,0),MATCH(M$12,[15]ODS!$E$5:$AK$5,0))</f>
        <v>0</v>
      </c>
      <c r="N16" s="273">
        <f>INDEX([15]ODS!$E$6:$AK$20,MATCH($B16,[15]ODS!$C$6:$C$20,0),MATCH(N$12,[15]ODS!$E$5:$AK$5,0))</f>
        <v>0</v>
      </c>
    </row>
    <row r="17" spans="1:36">
      <c r="A17" s="42"/>
      <c r="B17" s="102" t="s">
        <v>323</v>
      </c>
      <c r="C17" s="273">
        <f>INDEX([15]ODS!$E$6:$AK$20,MATCH($B17,[15]ODS!$C$6:$C$20,0),MATCH(C$12,[15]ODS!$E$5:$AK$5,0))</f>
        <v>7533.3884999999991</v>
      </c>
      <c r="D17" s="273">
        <f>INDEX([15]ODS!$E$6:$AK$20,MATCH($B17,[15]ODS!$C$6:$C$20,0),MATCH(D$12,[15]ODS!$E$5:$AK$5,0))</f>
        <v>1948.8069</v>
      </c>
      <c r="E17" s="273">
        <f>INDEX([15]ODS!$E$6:$AK$20,MATCH($B17,[15]ODS!$C$6:$C$20,0),MATCH(E$12,[15]ODS!$E$5:$AK$5,0))</f>
        <v>1159.2147</v>
      </c>
      <c r="F17" s="273">
        <f>INDEX([15]ODS!$E$6:$AK$20,MATCH($B17,[15]ODS!$C$6:$C$20,0),MATCH(F$12,[15]ODS!$E$5:$AK$5,0))</f>
        <v>149.4555</v>
      </c>
      <c r="G17" s="273">
        <f>INDEX([15]ODS!$E$6:$AK$20,MATCH($B17,[15]ODS!$C$6:$C$20,0),MATCH(G$12,[15]ODS!$E$5:$AK$5,0))</f>
        <v>35.047199999999997</v>
      </c>
      <c r="H17" s="273">
        <f>INDEX([15]ODS!$E$6:$AK$20,MATCH($B17,[15]ODS!$C$6:$C$20,0),MATCH(H$12,[15]ODS!$E$5:$AK$5,0))</f>
        <v>25.739699999999999</v>
      </c>
      <c r="I17" s="273">
        <f>INDEX([15]ODS!$E$6:$AK$20,MATCH($B17,[15]ODS!$C$6:$C$20,0),MATCH(I$12,[15]ODS!$E$5:$AK$5,0))</f>
        <v>17.314500000000002</v>
      </c>
      <c r="J17" s="273">
        <f>INDEX([15]ODS!$E$6:$AK$20,MATCH($B17,[15]ODS!$C$6:$C$20,0),MATCH(J$12,[15]ODS!$E$5:$AK$5,0))</f>
        <v>10.067400000000001</v>
      </c>
      <c r="K17" s="273">
        <f>INDEX([15]ODS!$E$6:$AK$20,MATCH($B17,[15]ODS!$C$6:$C$20,0),MATCH(K$12,[15]ODS!$E$5:$AK$5,0))</f>
        <v>4.9215</v>
      </c>
      <c r="L17" s="273">
        <f>INDEX([15]ODS!$E$6:$AK$20,MATCH($B17,[15]ODS!$C$6:$C$20,0),MATCH(L$12,[15]ODS!$E$5:$AK$5,0))</f>
        <v>1.5402</v>
      </c>
      <c r="M17" s="273">
        <f>INDEX([15]ODS!$E$6:$AK$20,MATCH($B17,[15]ODS!$C$6:$C$20,0),MATCH(M$12,[15]ODS!$E$5:$AK$5,0))</f>
        <v>0</v>
      </c>
      <c r="N17" s="273">
        <f>INDEX([15]ODS!$E$6:$AK$20,MATCH($B17,[15]ODS!$C$6:$C$20,0),MATCH(N$12,[15]ODS!$E$5:$AK$5,0))</f>
        <v>0</v>
      </c>
    </row>
    <row r="18" spans="1:36">
      <c r="A18" s="42"/>
      <c r="B18" s="102" t="s">
        <v>324</v>
      </c>
      <c r="C18" s="273">
        <f>INDEX([15]ODS!$E$6:$AK$20,MATCH($B18,[15]ODS!$C$6:$C$20,0),MATCH(C$12,[15]ODS!$E$5:$AK$5,0))</f>
        <v>4281.13</v>
      </c>
      <c r="D18" s="273">
        <f>INDEX([15]ODS!$E$6:$AK$20,MATCH($B18,[15]ODS!$C$6:$C$20,0),MATCH(D$12,[15]ODS!$E$5:$AK$5,0))</f>
        <v>0</v>
      </c>
      <c r="E18" s="273">
        <f>INDEX([15]ODS!$E$6:$AK$20,MATCH($B18,[15]ODS!$C$6:$C$20,0),MATCH(E$12,[15]ODS!$E$5:$AK$5,0))</f>
        <v>0</v>
      </c>
      <c r="F18" s="273">
        <f>INDEX([15]ODS!$E$6:$AK$20,MATCH($B18,[15]ODS!$C$6:$C$20,0),MATCH(F$12,[15]ODS!$E$5:$AK$5,0))</f>
        <v>0</v>
      </c>
      <c r="G18" s="273">
        <f>INDEX([15]ODS!$E$6:$AK$20,MATCH($B18,[15]ODS!$C$6:$C$20,0),MATCH(G$12,[15]ODS!$E$5:$AK$5,0))</f>
        <v>0</v>
      </c>
      <c r="H18" s="273">
        <f>INDEX([15]ODS!$E$6:$AK$20,MATCH($B18,[15]ODS!$C$6:$C$20,0),MATCH(H$12,[15]ODS!$E$5:$AK$5,0))</f>
        <v>0</v>
      </c>
      <c r="I18" s="273">
        <f>INDEX([15]ODS!$E$6:$AK$20,MATCH($B18,[15]ODS!$C$6:$C$20,0),MATCH(I$12,[15]ODS!$E$5:$AK$5,0))</f>
        <v>0</v>
      </c>
      <c r="J18" s="273">
        <f>INDEX([15]ODS!$E$6:$AK$20,MATCH($B18,[15]ODS!$C$6:$C$20,0),MATCH(J$12,[15]ODS!$E$5:$AK$5,0))</f>
        <v>0</v>
      </c>
      <c r="K18" s="273">
        <f>INDEX([15]ODS!$E$6:$AK$20,MATCH($B18,[15]ODS!$C$6:$C$20,0),MATCH(K$12,[15]ODS!$E$5:$AK$5,0))</f>
        <v>0</v>
      </c>
      <c r="L18" s="273">
        <f>INDEX([15]ODS!$E$6:$AK$20,MATCH($B18,[15]ODS!$C$6:$C$20,0),MATCH(L$12,[15]ODS!$E$5:$AK$5,0))</f>
        <v>0</v>
      </c>
      <c r="M18" s="273">
        <f>INDEX([15]ODS!$E$6:$AK$20,MATCH($B18,[15]ODS!$C$6:$C$20,0),MATCH(M$12,[15]ODS!$E$5:$AK$5,0))</f>
        <v>0</v>
      </c>
      <c r="N18" s="273">
        <f>INDEX([15]ODS!$E$6:$AK$20,MATCH($B18,[15]ODS!$C$6:$C$20,0),MATCH(N$12,[15]ODS!$E$5:$AK$5,0))</f>
        <v>0</v>
      </c>
    </row>
    <row r="19" spans="1:36">
      <c r="A19" s="42"/>
      <c r="B19" s="102" t="s">
        <v>325</v>
      </c>
      <c r="C19" s="273">
        <f>INDEX([15]ODS!$E$6:$AK$20,MATCH($B19,[15]ODS!$C$6:$C$20,0),MATCH(C$12,[15]ODS!$E$5:$AK$5,0))</f>
        <v>222547.46</v>
      </c>
      <c r="D19" s="273">
        <f>INDEX([15]ODS!$E$6:$AK$20,MATCH($B19,[15]ODS!$C$6:$C$20,0),MATCH(D$12,[15]ODS!$E$5:$AK$5,0))</f>
        <v>0</v>
      </c>
      <c r="E19" s="273">
        <f>INDEX([15]ODS!$E$6:$AK$20,MATCH($B19,[15]ODS!$C$6:$C$20,0),MATCH(E$12,[15]ODS!$E$5:$AK$5,0))</f>
        <v>0</v>
      </c>
      <c r="F19" s="273">
        <f>INDEX([15]ODS!$E$6:$AK$20,MATCH($B19,[15]ODS!$C$6:$C$20,0),MATCH(F$12,[15]ODS!$E$5:$AK$5,0))</f>
        <v>0</v>
      </c>
      <c r="G19" s="273">
        <f>INDEX([15]ODS!$E$6:$AK$20,MATCH($B19,[15]ODS!$C$6:$C$20,0),MATCH(G$12,[15]ODS!$E$5:$AK$5,0))</f>
        <v>0</v>
      </c>
      <c r="H19" s="273">
        <f>INDEX([15]ODS!$E$6:$AK$20,MATCH($B19,[15]ODS!$C$6:$C$20,0),MATCH(H$12,[15]ODS!$E$5:$AK$5,0))</f>
        <v>0</v>
      </c>
      <c r="I19" s="273">
        <f>INDEX([15]ODS!$E$6:$AK$20,MATCH($B19,[15]ODS!$C$6:$C$20,0),MATCH(I$12,[15]ODS!$E$5:$AK$5,0))</f>
        <v>0</v>
      </c>
      <c r="J19" s="273">
        <f>INDEX([15]ODS!$E$6:$AK$20,MATCH($B19,[15]ODS!$C$6:$C$20,0),MATCH(J$12,[15]ODS!$E$5:$AK$5,0))</f>
        <v>0</v>
      </c>
      <c r="K19" s="273">
        <f>INDEX([15]ODS!$E$6:$AK$20,MATCH($B19,[15]ODS!$C$6:$C$20,0),MATCH(K$12,[15]ODS!$E$5:$AK$5,0))</f>
        <v>0</v>
      </c>
      <c r="L19" s="273">
        <f>INDEX([15]ODS!$E$6:$AK$20,MATCH($B19,[15]ODS!$C$6:$C$20,0),MATCH(L$12,[15]ODS!$E$5:$AK$5,0))</f>
        <v>0</v>
      </c>
      <c r="M19" s="273">
        <f>INDEX([15]ODS!$E$6:$AK$20,MATCH($B19,[15]ODS!$C$6:$C$20,0),MATCH(M$12,[15]ODS!$E$5:$AK$5,0))</f>
        <v>0</v>
      </c>
      <c r="N19" s="273">
        <f>INDEX([15]ODS!$E$6:$AK$20,MATCH($B19,[15]ODS!$C$6:$C$20,0),MATCH(N$12,[15]ODS!$E$5:$AK$5,0))</f>
        <v>0</v>
      </c>
    </row>
    <row r="20" spans="1:36">
      <c r="A20" s="558" t="s">
        <v>326</v>
      </c>
      <c r="B20" s="102" t="s">
        <v>327</v>
      </c>
      <c r="C20" s="273">
        <f>INDEX([15]ODS!$E$6:$AK$20,MATCH($A20,[15]ODS!$C$6:$C$20,0),MATCH(C$12,[15]ODS!$E$5:$AK$5,0))</f>
        <v>2258.87</v>
      </c>
      <c r="D20" s="273">
        <f>INDEX([15]ODS!$E$6:$AK$20,MATCH($A20,[15]ODS!$C$6:$C$20,0),MATCH(D$12,[15]ODS!$E$5:$AK$5,0))</f>
        <v>629.41999999999996</v>
      </c>
      <c r="E20" s="273">
        <f>INDEX([15]ODS!$E$6:$AK$20,MATCH($A20,[15]ODS!$C$6:$C$20,0),MATCH(E$12,[15]ODS!$E$5:$AK$5,0))</f>
        <v>604.20000000000005</v>
      </c>
      <c r="F20" s="273">
        <f>INDEX([15]ODS!$E$6:$AK$20,MATCH($A20,[15]ODS!$C$6:$C$20,0),MATCH(F$12,[15]ODS!$E$5:$AK$5,0))</f>
        <v>556.04999999999995</v>
      </c>
      <c r="G20" s="273">
        <f>INDEX([15]ODS!$E$6:$AK$20,MATCH($A20,[15]ODS!$C$6:$C$20,0),MATCH(G$12,[15]ODS!$E$5:$AK$5,0))</f>
        <v>443.34</v>
      </c>
      <c r="H20" s="273">
        <f>INDEX([15]ODS!$E$6:$AK$20,MATCH($A20,[15]ODS!$C$6:$C$20,0),MATCH(H$12,[15]ODS!$E$5:$AK$5,0))</f>
        <v>415.18</v>
      </c>
      <c r="I20" s="273">
        <f>INDEX([15]ODS!$E$6:$AK$20,MATCH($A20,[15]ODS!$C$6:$C$20,0),MATCH(I$12,[15]ODS!$E$5:$AK$5,0))</f>
        <v>384.93</v>
      </c>
      <c r="J20" s="273">
        <f>INDEX([15]ODS!$E$6:$AK$20,MATCH($A20,[15]ODS!$C$6:$C$20,0),MATCH(J$12,[15]ODS!$E$5:$AK$5,0))</f>
        <v>352.49</v>
      </c>
      <c r="K20" s="273">
        <f>INDEX([15]ODS!$E$6:$AK$20,MATCH($A20,[15]ODS!$C$6:$C$20,0),MATCH(K$12,[15]ODS!$E$5:$AK$5,0))</f>
        <v>321.41000000000003</v>
      </c>
      <c r="L20" s="273">
        <f>INDEX([15]ODS!$E$6:$AK$20,MATCH($A20,[15]ODS!$C$6:$C$20,0),MATCH(L$12,[15]ODS!$E$5:$AK$5,0))</f>
        <v>291.79000000000002</v>
      </c>
      <c r="M20" s="273">
        <f>INDEX([15]ODS!$E$6:$AK$20,MATCH($A20,[15]ODS!$C$6:$C$20,0),MATCH(M$12,[15]ODS!$E$5:$AK$5,0))</f>
        <v>263.75</v>
      </c>
      <c r="N20" s="273">
        <f>INDEX([15]ODS!$E$6:$AK$20,MATCH($A20,[15]ODS!$C$6:$C$20,0),MATCH(N$12,[15]ODS!$E$5:$AK$5,0))</f>
        <v>237.41</v>
      </c>
      <c r="P20" s="471"/>
    </row>
    <row r="21" spans="1:36">
      <c r="A21" s="42"/>
      <c r="B21" s="102" t="s">
        <v>328</v>
      </c>
      <c r="C21" s="273">
        <f>INDEX([15]ODS!$E$6:$AK$20,MATCH($B21,[15]ODS!$C$6:$C$20,0),MATCH(C$12,[15]ODS!$E$5:$AK$5,0))</f>
        <v>1713.79</v>
      </c>
      <c r="D21" s="273">
        <f>INDEX([15]ODS!$E$6:$AK$20,MATCH($B21,[15]ODS!$C$6:$C$20,0),MATCH(D$12,[15]ODS!$E$5:$AK$5,0))</f>
        <v>489.13</v>
      </c>
      <c r="E21" s="273">
        <f>INDEX([15]ODS!$E$6:$AK$20,MATCH($B21,[15]ODS!$C$6:$C$20,0),MATCH(E$12,[15]ODS!$E$5:$AK$5,0))</f>
        <v>476.18</v>
      </c>
      <c r="F21" s="273">
        <f>INDEX([15]ODS!$E$6:$AK$20,MATCH($B21,[15]ODS!$C$6:$C$20,0),MATCH(F$12,[15]ODS!$E$5:$AK$5,0))</f>
        <v>457.03</v>
      </c>
      <c r="G21" s="273">
        <f>INDEX([15]ODS!$E$6:$AK$20,MATCH($B21,[15]ODS!$C$6:$C$20,0),MATCH(G$12,[15]ODS!$E$5:$AK$5,0))</f>
        <v>424.84</v>
      </c>
      <c r="H21" s="273">
        <f>INDEX([15]ODS!$E$6:$AK$20,MATCH($B21,[15]ODS!$C$6:$C$20,0),MATCH(H$12,[15]ODS!$E$5:$AK$5,0))</f>
        <v>418.52</v>
      </c>
      <c r="I21" s="273">
        <f>INDEX([15]ODS!$E$6:$AK$20,MATCH($B21,[15]ODS!$C$6:$C$20,0),MATCH(I$12,[15]ODS!$E$5:$AK$5,0))</f>
        <v>412.27</v>
      </c>
      <c r="J21" s="273">
        <f>INDEX([15]ODS!$E$6:$AK$20,MATCH($B21,[15]ODS!$C$6:$C$20,0),MATCH(J$12,[15]ODS!$E$5:$AK$5,0))</f>
        <v>400.8</v>
      </c>
      <c r="K21" s="273">
        <f>INDEX([15]ODS!$E$6:$AK$20,MATCH($B21,[15]ODS!$C$6:$C$20,0),MATCH(K$12,[15]ODS!$E$5:$AK$5,0))</f>
        <v>349.53</v>
      </c>
      <c r="L21" s="273">
        <f>INDEX([15]ODS!$E$6:$AK$20,MATCH($B21,[15]ODS!$C$6:$C$20,0),MATCH(L$12,[15]ODS!$E$5:$AK$5,0))</f>
        <v>298.02999999999997</v>
      </c>
      <c r="M21" s="273">
        <f>INDEX([15]ODS!$E$6:$AK$20,MATCH($B21,[15]ODS!$C$6:$C$20,0),MATCH(M$12,[15]ODS!$E$5:$AK$5,0))</f>
        <v>241.47</v>
      </c>
      <c r="N21" s="273">
        <f>INDEX([15]ODS!$E$6:$AK$20,MATCH($B21,[15]ODS!$C$6:$C$20,0),MATCH(N$12,[15]ODS!$E$5:$AK$5,0))</f>
        <v>195.71</v>
      </c>
    </row>
    <row r="22" spans="1:36">
      <c r="A22" s="42"/>
      <c r="B22" s="102" t="s">
        <v>329</v>
      </c>
      <c r="C22" s="273">
        <f>INDEX([15]ODS!$E$6:$AK$20,MATCH($B22,[15]ODS!$C$6:$C$20,0),MATCH(C$12,[15]ODS!$E$5:$AK$5,0))</f>
        <v>30557.383499999993</v>
      </c>
      <c r="D22" s="273">
        <f>INDEX([15]ODS!$E$6:$AK$20,MATCH($B22,[15]ODS!$C$6:$C$20,0),MATCH(D$12,[15]ODS!$E$5:$AK$5,0))</f>
        <v>74264.955300000001</v>
      </c>
      <c r="E22" s="273">
        <f>INDEX([15]ODS!$E$6:$AK$20,MATCH($B22,[15]ODS!$C$6:$C$20,0),MATCH(E$12,[15]ODS!$E$5:$AK$5,0))</f>
        <v>76566.407700000011</v>
      </c>
      <c r="F22" s="273">
        <f>INDEX([15]ODS!$E$6:$AK$20,MATCH($B22,[15]ODS!$C$6:$C$20,0),MATCH(F$12,[15]ODS!$E$5:$AK$5,0))</f>
        <v>71747.88370000002</v>
      </c>
      <c r="G22" s="273">
        <f>INDEX([15]ODS!$E$6:$AK$20,MATCH($B22,[15]ODS!$C$6:$C$20,0),MATCH(G$12,[15]ODS!$E$5:$AK$5,0))</f>
        <v>57612.5573</v>
      </c>
      <c r="H22" s="273">
        <f>INDEX([15]ODS!$E$6:$AK$20,MATCH($B22,[15]ODS!$C$6:$C$20,0),MATCH(H$12,[15]ODS!$E$5:$AK$5,0))</f>
        <v>54387.688900000008</v>
      </c>
      <c r="I22" s="273">
        <f>INDEX([15]ODS!$E$6:$AK$20,MATCH($B22,[15]ODS!$C$6:$C$20,0),MATCH(I$12,[15]ODS!$E$5:$AK$5,0))</f>
        <v>50730.554900000003</v>
      </c>
      <c r="J22" s="273">
        <f>INDEX([15]ODS!$E$6:$AK$20,MATCH($B22,[15]ODS!$C$6:$C$20,0),MATCH(J$12,[15]ODS!$E$5:$AK$5,0))</f>
        <v>46995.122599999995</v>
      </c>
      <c r="K22" s="273">
        <f>INDEX([15]ODS!$E$6:$AK$20,MATCH($B22,[15]ODS!$C$6:$C$20,0),MATCH(K$12,[15]ODS!$E$5:$AK$5,0))</f>
        <v>42877.296199999997</v>
      </c>
      <c r="L22" s="273">
        <f>INDEX([15]ODS!$E$6:$AK$20,MATCH($B22,[15]ODS!$C$6:$C$20,0),MATCH(L$12,[15]ODS!$E$5:$AK$5,0))</f>
        <v>40102.435000000019</v>
      </c>
      <c r="M22" s="273">
        <f>INDEX([15]ODS!$E$6:$AK$20,MATCH($B22,[15]ODS!$C$6:$C$20,0),MATCH(M$12,[15]ODS!$E$5:$AK$5,0))</f>
        <v>33672.944200000005</v>
      </c>
      <c r="N22" s="273">
        <f>INDEX([15]ODS!$E$6:$AK$20,MATCH($B22,[15]ODS!$C$6:$C$20,0),MATCH(N$12,[15]ODS!$E$5:$AK$5,0))</f>
        <v>28255.990500000004</v>
      </c>
    </row>
    <row r="23" spans="1:36">
      <c r="A23" s="42"/>
      <c r="B23" s="102" t="s">
        <v>330</v>
      </c>
      <c r="C23" s="273">
        <f>INDEX([15]ODS!$E$6:$AK$20,MATCH($B23,[15]ODS!$C$6:$C$20,0),MATCH(C$12,[15]ODS!$E$5:$AK$5,0))</f>
        <v>0</v>
      </c>
      <c r="D23" s="273">
        <f>INDEX([15]ODS!$E$6:$AK$20,MATCH($B23,[15]ODS!$C$6:$C$20,0),MATCH(D$12,[15]ODS!$E$5:$AK$5,0))</f>
        <v>808.5127</v>
      </c>
      <c r="E23" s="273">
        <f>INDEX([15]ODS!$E$6:$AK$20,MATCH($B23,[15]ODS!$C$6:$C$20,0),MATCH(E$12,[15]ODS!$E$5:$AK$5,0))</f>
        <v>812.91390000000001</v>
      </c>
      <c r="F23" s="273">
        <f>INDEX([15]ODS!$E$6:$AK$20,MATCH($B23,[15]ODS!$C$6:$C$20,0),MATCH(F$12,[15]ODS!$E$5:$AK$5,0))</f>
        <v>829.13720000000001</v>
      </c>
      <c r="G23" s="273">
        <f>INDEX([15]ODS!$E$6:$AK$20,MATCH($B23,[15]ODS!$C$6:$C$20,0),MATCH(G$12,[15]ODS!$E$5:$AK$5,0))</f>
        <v>801.82100000000014</v>
      </c>
      <c r="H23" s="273">
        <f>INDEX([15]ODS!$E$6:$AK$20,MATCH($B23,[15]ODS!$C$6:$C$20,0),MATCH(H$12,[15]ODS!$E$5:$AK$5,0))</f>
        <v>787.77699999999993</v>
      </c>
      <c r="I23" s="273">
        <f>INDEX([15]ODS!$E$6:$AK$20,MATCH($B23,[15]ODS!$C$6:$C$20,0),MATCH(I$12,[15]ODS!$E$5:$AK$5,0))</f>
        <v>768.24600000000009</v>
      </c>
      <c r="J23" s="273">
        <f>INDEX([15]ODS!$E$6:$AK$20,MATCH($B23,[15]ODS!$C$6:$C$20,0),MATCH(J$12,[15]ODS!$E$5:$AK$5,0))</f>
        <v>789.6187000000001</v>
      </c>
      <c r="K23" s="273">
        <f>INDEX([15]ODS!$E$6:$AK$20,MATCH($B23,[15]ODS!$C$6:$C$20,0),MATCH(K$12,[15]ODS!$E$5:$AK$5,0))</f>
        <v>789.90370000000007</v>
      </c>
      <c r="L23" s="273">
        <f>INDEX([15]ODS!$E$6:$AK$20,MATCH($B23,[15]ODS!$C$6:$C$20,0),MATCH(L$12,[15]ODS!$E$5:$AK$5,0))</f>
        <v>764.26800000000003</v>
      </c>
      <c r="M23" s="273">
        <f>INDEX([15]ODS!$E$6:$AK$20,MATCH($B23,[15]ODS!$C$6:$C$20,0),MATCH(M$12,[15]ODS!$E$5:$AK$5,0))</f>
        <v>739.89980000000003</v>
      </c>
      <c r="N23" s="273">
        <f>INDEX([15]ODS!$E$6:$AK$20,MATCH($B23,[15]ODS!$C$6:$C$20,0),MATCH(N$12,[15]ODS!$E$5:$AK$5,0))</f>
        <v>710.05049999999994</v>
      </c>
    </row>
    <row r="24" spans="1:36">
      <c r="A24" s="42"/>
      <c r="B24" s="102" t="s">
        <v>331</v>
      </c>
      <c r="C24" s="273">
        <f>INDEX([15]ODS!$E$6:$AK$20,MATCH($B24,[15]ODS!$C$6:$C$20,0),MATCH(C$12,[15]ODS!$E$5:$AK$5,0))</f>
        <v>0</v>
      </c>
      <c r="D24" s="273">
        <f>INDEX([15]ODS!$E$6:$AK$20,MATCH($B24,[15]ODS!$C$6:$C$20,0),MATCH(D$12,[15]ODS!$E$5:$AK$5,0))</f>
        <v>1650.84292</v>
      </c>
      <c r="E24" s="273">
        <f>INDEX([15]ODS!$E$6:$AK$20,MATCH($B24,[15]ODS!$C$6:$C$20,0),MATCH(E$12,[15]ODS!$E$5:$AK$5,0))</f>
        <v>1645.21038</v>
      </c>
      <c r="F24" s="273">
        <f>INDEX([15]ODS!$E$6:$AK$20,MATCH($B24,[15]ODS!$C$6:$C$20,0),MATCH(F$12,[15]ODS!$E$5:$AK$5,0))</f>
        <v>697.99858000000006</v>
      </c>
      <c r="G24" s="273">
        <f>INDEX([15]ODS!$E$6:$AK$20,MATCH($B24,[15]ODS!$C$6:$C$20,0),MATCH(G$12,[15]ODS!$E$5:$AK$5,0))</f>
        <v>4.7158000000000007</v>
      </c>
      <c r="H24" s="273">
        <f>INDEX([15]ODS!$E$6:$AK$20,MATCH($B24,[15]ODS!$C$6:$C$20,0),MATCH(H$12,[15]ODS!$E$5:$AK$5,0))</f>
        <v>4.7362000000000002</v>
      </c>
      <c r="I24" s="273">
        <f>INDEX([15]ODS!$E$6:$AK$20,MATCH($B24,[15]ODS!$C$6:$C$20,0),MATCH(I$12,[15]ODS!$E$5:$AK$5,0))</f>
        <v>4.7226000000000008</v>
      </c>
      <c r="J24" s="273">
        <f>INDEX([15]ODS!$E$6:$AK$20,MATCH($B24,[15]ODS!$C$6:$C$20,0),MATCH(J$12,[15]ODS!$E$5:$AK$5,0))</f>
        <v>4.6614000000000004</v>
      </c>
      <c r="K24" s="273">
        <f>INDEX([15]ODS!$E$6:$AK$20,MATCH($B24,[15]ODS!$C$6:$C$20,0),MATCH(K$12,[15]ODS!$E$5:$AK$5,0))</f>
        <v>4.5832000000000006</v>
      </c>
      <c r="L24" s="273">
        <f>INDEX([15]ODS!$E$6:$AK$20,MATCH($B24,[15]ODS!$C$6:$C$20,0),MATCH(L$12,[15]ODS!$E$5:$AK$5,0))</f>
        <v>4.8654000000000002</v>
      </c>
      <c r="M24" s="273">
        <f>INDEX([15]ODS!$E$6:$AK$20,MATCH($B24,[15]ODS!$C$6:$C$20,0),MATCH(M$12,[15]ODS!$E$5:$AK$5,0))</f>
        <v>4.7362000000000002</v>
      </c>
      <c r="N24" s="273">
        <f>INDEX([15]ODS!$E$6:$AK$20,MATCH($B24,[15]ODS!$C$6:$C$20,0),MATCH(N$12,[15]ODS!$E$5:$AK$5,0))</f>
        <v>3.5632000000000001</v>
      </c>
    </row>
    <row r="25" spans="1:36">
      <c r="A25" s="42"/>
      <c r="B25" s="102" t="s">
        <v>332</v>
      </c>
      <c r="C25" s="273">
        <f>INDEX([15]ODS!$E$6:$AK$20,MATCH($B25,[15]ODS!$C$6:$C$20,0),MATCH(C$12,[15]ODS!$E$5:$AK$5,0))</f>
        <v>968.67000000000007</v>
      </c>
      <c r="D25" s="273">
        <f>INDEX([15]ODS!$E$6:$AK$20,MATCH($B25,[15]ODS!$C$6:$C$20,0),MATCH(D$12,[15]ODS!$E$5:$AK$5,0))</f>
        <v>3526.2499999999995</v>
      </c>
      <c r="E25" s="273">
        <f>INDEX([15]ODS!$E$6:$AK$20,MATCH($B25,[15]ODS!$C$6:$C$20,0),MATCH(E$12,[15]ODS!$E$5:$AK$5,0))</f>
        <v>4750.4900000000007</v>
      </c>
      <c r="F25" s="273">
        <f>INDEX([15]ODS!$E$6:$AK$20,MATCH($B25,[15]ODS!$C$6:$C$20,0),MATCH(F$12,[15]ODS!$E$5:$AK$5,0))</f>
        <v>7886.7699999999995</v>
      </c>
      <c r="G25" s="273">
        <f>INDEX([15]ODS!$E$6:$AK$20,MATCH($B25,[15]ODS!$C$6:$C$20,0),MATCH(G$12,[15]ODS!$E$5:$AK$5,0))</f>
        <v>8575.4700000000012</v>
      </c>
      <c r="H25" s="273">
        <f>INDEX([15]ODS!$E$6:$AK$20,MATCH($B25,[15]ODS!$C$6:$C$20,0),MATCH(H$12,[15]ODS!$E$5:$AK$5,0))</f>
        <v>7947.0299999999988</v>
      </c>
      <c r="I25" s="273">
        <f>INDEX([15]ODS!$E$6:$AK$20,MATCH($B25,[15]ODS!$C$6:$C$20,0),MATCH(I$12,[15]ODS!$E$5:$AK$5,0))</f>
        <v>7106.41</v>
      </c>
      <c r="J25" s="273">
        <f>INDEX([15]ODS!$E$6:$AK$20,MATCH($B25,[15]ODS!$C$6:$C$20,0),MATCH(J$12,[15]ODS!$E$5:$AK$5,0))</f>
        <v>6884.72</v>
      </c>
      <c r="K25" s="273">
        <f>INDEX([15]ODS!$E$6:$AK$20,MATCH($B25,[15]ODS!$C$6:$C$20,0),MATCH(K$12,[15]ODS!$E$5:$AK$5,0))</f>
        <v>6823.74</v>
      </c>
      <c r="L25" s="273">
        <f>INDEX([15]ODS!$E$6:$AK$20,MATCH($B25,[15]ODS!$C$6:$C$20,0),MATCH(L$12,[15]ODS!$E$5:$AK$5,0))</f>
        <v>6714.7699999999995</v>
      </c>
      <c r="M25" s="273">
        <f>INDEX([15]ODS!$E$6:$AK$20,MATCH($B25,[15]ODS!$C$6:$C$20,0),MATCH(M$12,[15]ODS!$E$5:$AK$5,0))</f>
        <v>6607.7900000000018</v>
      </c>
      <c r="N25" s="273">
        <f>INDEX([15]ODS!$E$6:$AK$20,MATCH($B25,[15]ODS!$C$6:$C$20,0),MATCH(N$12,[15]ODS!$E$5:$AK$5,0))</f>
        <v>6479.829999999999</v>
      </c>
    </row>
    <row r="26" spans="1:36">
      <c r="A26" s="42"/>
      <c r="B26" s="102" t="s">
        <v>333</v>
      </c>
      <c r="C26" s="273">
        <f>INDEX([15]ODS!$E$6:$AK$20,MATCH($B26,[15]ODS!$C$6:$C$20,0),MATCH(C$12,[15]ODS!$E$5:$AK$5,0))</f>
        <v>1268.298</v>
      </c>
      <c r="D26" s="273">
        <f>INDEX([15]ODS!$E$6:$AK$20,MATCH($B26,[15]ODS!$C$6:$C$20,0),MATCH(D$12,[15]ODS!$E$5:$AK$5,0))</f>
        <v>4101.6039999999994</v>
      </c>
      <c r="E26" s="273">
        <f>INDEX([15]ODS!$E$6:$AK$20,MATCH($B26,[15]ODS!$C$6:$C$20,0),MATCH(E$12,[15]ODS!$E$5:$AK$5,0))</f>
        <v>4236.3179999999993</v>
      </c>
      <c r="F26" s="273">
        <f>INDEX([15]ODS!$E$6:$AK$20,MATCH($B26,[15]ODS!$C$6:$C$20,0),MATCH(F$12,[15]ODS!$E$5:$AK$5,0))</f>
        <v>1521.818</v>
      </c>
      <c r="G26" s="273">
        <f>INDEX([15]ODS!$E$6:$AK$20,MATCH($B26,[15]ODS!$C$6:$C$20,0),MATCH(G$12,[15]ODS!$E$5:$AK$5,0))</f>
        <v>2236.0300000000002</v>
      </c>
      <c r="H26" s="273">
        <f>INDEX([15]ODS!$E$6:$AK$20,MATCH($B26,[15]ODS!$C$6:$C$20,0),MATCH(H$12,[15]ODS!$E$5:$AK$5,0))</f>
        <v>2840.6460000000002</v>
      </c>
      <c r="I26" s="273">
        <f>INDEX([15]ODS!$E$6:$AK$20,MATCH($B26,[15]ODS!$C$6:$C$20,0),MATCH(I$12,[15]ODS!$E$5:$AK$5,0))</f>
        <v>3467.634</v>
      </c>
      <c r="J26" s="273">
        <f>INDEX([15]ODS!$E$6:$AK$20,MATCH($B26,[15]ODS!$C$6:$C$20,0),MATCH(J$12,[15]ODS!$E$5:$AK$5,0))</f>
        <v>4114.1940000000004</v>
      </c>
      <c r="K26" s="273">
        <f>INDEX([15]ODS!$E$6:$AK$20,MATCH($B26,[15]ODS!$C$6:$C$20,0),MATCH(K$12,[15]ODS!$E$5:$AK$5,0))</f>
        <v>4786.0919999999996</v>
      </c>
      <c r="L26" s="273">
        <f>INDEX([15]ODS!$E$6:$AK$20,MATCH($B26,[15]ODS!$C$6:$C$20,0),MATCH(L$12,[15]ODS!$E$5:$AK$5,0))</f>
        <v>4830.87</v>
      </c>
      <c r="M26" s="273">
        <f>INDEX([15]ODS!$E$6:$AK$20,MATCH($B26,[15]ODS!$C$6:$C$20,0),MATCH(M$12,[15]ODS!$E$5:$AK$5,0))</f>
        <v>4866.1880000000001</v>
      </c>
      <c r="N26" s="273">
        <f>INDEX([15]ODS!$E$6:$AK$20,MATCH($B26,[15]ODS!$C$6:$C$20,0),MATCH(N$12,[15]ODS!$E$5:$AK$5,0))</f>
        <v>4912.232</v>
      </c>
    </row>
    <row r="27" spans="1:36">
      <c r="A27" s="42"/>
      <c r="B27" s="102" t="s">
        <v>334</v>
      </c>
      <c r="C27" s="273">
        <f>INDEX([15]ODS!$E$6:$AK$20,MATCH($B27,[15]ODS!$C$6:$C$20,0),MATCH(C$12,[15]ODS!$E$5:$AK$5,0))</f>
        <v>0</v>
      </c>
      <c r="D27" s="273">
        <f>INDEX([15]ODS!$E$6:$AK$20,MATCH($B27,[15]ODS!$C$6:$C$20,0),MATCH(D$12,[15]ODS!$E$5:$AK$5,0))</f>
        <v>248.67</v>
      </c>
      <c r="E27" s="273">
        <f>INDEX([15]ODS!$E$6:$AK$20,MATCH($B27,[15]ODS!$C$6:$C$20,0),MATCH(E$12,[15]ODS!$E$5:$AK$5,0))</f>
        <v>258.71000000000004</v>
      </c>
      <c r="F27" s="273">
        <f>INDEX([15]ODS!$E$6:$AK$20,MATCH($B27,[15]ODS!$C$6:$C$20,0),MATCH(F$12,[15]ODS!$E$5:$AK$5,0))</f>
        <v>274.54999999999995</v>
      </c>
      <c r="G27" s="273">
        <f>INDEX([15]ODS!$E$6:$AK$20,MATCH($B27,[15]ODS!$C$6:$C$20,0),MATCH(G$12,[15]ODS!$E$5:$AK$5,0))</f>
        <v>303.13</v>
      </c>
      <c r="H27" s="273">
        <f>INDEX([15]ODS!$E$6:$AK$20,MATCH($B27,[15]ODS!$C$6:$C$20,0),MATCH(H$12,[15]ODS!$E$5:$AK$5,0))</f>
        <v>309.19</v>
      </c>
      <c r="I27" s="273">
        <f>INDEX([15]ODS!$E$6:$AK$20,MATCH($B27,[15]ODS!$C$6:$C$20,0),MATCH(I$12,[15]ODS!$E$5:$AK$5,0))</f>
        <v>315.37</v>
      </c>
      <c r="J27" s="273">
        <f>INDEX([15]ODS!$E$6:$AK$20,MATCH($B27,[15]ODS!$C$6:$C$20,0),MATCH(J$12,[15]ODS!$E$5:$AK$5,0))</f>
        <v>321.68</v>
      </c>
      <c r="K27" s="273">
        <f>INDEX([15]ODS!$E$6:$AK$20,MATCH($B27,[15]ODS!$C$6:$C$20,0),MATCH(K$12,[15]ODS!$E$5:$AK$5,0))</f>
        <v>328.12</v>
      </c>
      <c r="L27" s="273">
        <f>INDEX([15]ODS!$E$6:$AK$20,MATCH($B27,[15]ODS!$C$6:$C$20,0),MATCH(L$12,[15]ODS!$E$5:$AK$5,0))</f>
        <v>334.68</v>
      </c>
      <c r="M27" s="273">
        <f>INDEX([15]ODS!$E$6:$AK$20,MATCH($B27,[15]ODS!$C$6:$C$20,0),MATCH(M$12,[15]ODS!$E$5:$AK$5,0))</f>
        <v>341.37</v>
      </c>
      <c r="N27" s="273">
        <f>INDEX([15]ODS!$E$6:$AK$20,MATCH($B27,[15]ODS!$C$6:$C$20,0),MATCH(N$12,[15]ODS!$E$5:$AK$5,0))</f>
        <v>348.2</v>
      </c>
    </row>
    <row r="28" spans="1:36">
      <c r="A28" s="42"/>
      <c r="B28" s="69" t="s">
        <v>335</v>
      </c>
      <c r="C28" s="42"/>
      <c r="D28" s="42"/>
      <c r="E28" s="42"/>
      <c r="F28" s="42"/>
      <c r="G28" s="42"/>
      <c r="H28" s="42"/>
      <c r="I28" s="42"/>
      <c r="J28" s="42"/>
      <c r="K28" s="42"/>
      <c r="L28" s="42"/>
      <c r="M28" s="42"/>
      <c r="N28" s="42"/>
      <c r="P28" s="42"/>
      <c r="Q28" s="42"/>
      <c r="R28" s="42"/>
      <c r="S28" s="42"/>
      <c r="T28" s="42"/>
      <c r="U28" s="42"/>
      <c r="V28" s="42"/>
      <c r="W28" s="42"/>
      <c r="X28" s="42"/>
      <c r="Y28" s="42"/>
      <c r="Z28" s="42"/>
      <c r="AA28" s="42"/>
      <c r="AB28" s="42"/>
      <c r="AC28" s="42"/>
      <c r="AD28" s="42"/>
      <c r="AE28" s="42"/>
      <c r="AF28" s="42"/>
      <c r="AG28" s="42"/>
      <c r="AH28" s="42"/>
      <c r="AI28" s="42"/>
      <c r="AJ28" s="42"/>
    </row>
    <row r="29" spans="1:36">
      <c r="A29" s="42"/>
      <c r="B29" s="69"/>
      <c r="C29" s="42"/>
      <c r="D29" s="42"/>
      <c r="E29" s="42"/>
      <c r="F29" s="42"/>
      <c r="G29" s="42"/>
      <c r="H29" s="42"/>
      <c r="I29" s="42"/>
      <c r="J29" s="42"/>
      <c r="K29" s="42"/>
      <c r="L29" s="42"/>
      <c r="M29" s="42"/>
      <c r="N29" s="42"/>
      <c r="P29" s="42"/>
      <c r="Q29" s="42"/>
      <c r="R29" s="42"/>
      <c r="S29" s="42"/>
      <c r="T29" s="42"/>
      <c r="U29" s="42"/>
      <c r="V29" s="42"/>
      <c r="W29" s="42"/>
      <c r="X29" s="42"/>
      <c r="Y29" s="42"/>
      <c r="Z29" s="42"/>
      <c r="AA29" s="42"/>
      <c r="AB29" s="42"/>
      <c r="AC29" s="42"/>
      <c r="AD29" s="42"/>
      <c r="AE29" s="42"/>
      <c r="AF29" s="42"/>
      <c r="AG29" s="42"/>
      <c r="AH29" s="42"/>
      <c r="AI29" s="42"/>
      <c r="AJ29" s="42"/>
    </row>
    <row r="30" spans="1:36" ht="15.75">
      <c r="A30" s="42"/>
      <c r="B30" s="270" t="s">
        <v>336</v>
      </c>
      <c r="C30" s="42"/>
      <c r="D30" s="42"/>
      <c r="E30" s="270"/>
      <c r="F30" s="42"/>
      <c r="G30" s="42"/>
      <c r="H30" s="42"/>
      <c r="I30" s="42"/>
      <c r="J30" s="42"/>
      <c r="K30" s="42"/>
      <c r="L30" s="42"/>
      <c r="M30" s="42"/>
      <c r="N30" s="42"/>
      <c r="P30" s="42"/>
      <c r="Q30" s="42"/>
      <c r="R30" s="42"/>
      <c r="S30" s="42"/>
      <c r="T30" s="42"/>
      <c r="U30" s="42"/>
      <c r="V30" s="42"/>
      <c r="W30" s="42"/>
      <c r="X30" s="42"/>
      <c r="Y30" s="42"/>
      <c r="Z30" s="42"/>
      <c r="AA30" s="42"/>
      <c r="AB30" s="42"/>
      <c r="AC30" s="42"/>
      <c r="AD30" s="42"/>
      <c r="AE30" s="42"/>
      <c r="AF30" s="42"/>
      <c r="AG30" s="42"/>
      <c r="AH30" s="42"/>
      <c r="AI30" s="42"/>
      <c r="AJ30" s="42"/>
    </row>
    <row r="31" spans="1:36">
      <c r="A31" s="42"/>
      <c r="B31" s="42"/>
      <c r="C31" s="92">
        <v>1990</v>
      </c>
      <c r="D31" s="92">
        <v>2005</v>
      </c>
      <c r="E31" s="92">
        <v>2007</v>
      </c>
      <c r="F31" s="92">
        <v>2010</v>
      </c>
      <c r="G31" s="92">
        <v>2015</v>
      </c>
      <c r="H31" s="92">
        <v>2016</v>
      </c>
      <c r="I31" s="92">
        <v>2017</v>
      </c>
      <c r="J31" s="92">
        <v>2018</v>
      </c>
      <c r="K31" s="92">
        <v>2019</v>
      </c>
      <c r="L31" s="272">
        <v>2020</v>
      </c>
      <c r="M31" s="272">
        <v>2021</v>
      </c>
      <c r="N31" s="272">
        <v>2022</v>
      </c>
      <c r="P31" s="42"/>
    </row>
    <row r="32" spans="1:36">
      <c r="A32" s="42"/>
      <c r="B32" s="102" t="s">
        <v>319</v>
      </c>
      <c r="C32" s="282">
        <f>C13/1000</f>
        <v>28.591696000000006</v>
      </c>
      <c r="D32" s="282">
        <f>D13/1000</f>
        <v>12.110505999999999</v>
      </c>
      <c r="E32" s="282">
        <f t="shared" ref="E32:I32" si="0">E13/1000</f>
        <v>11.546577500000001</v>
      </c>
      <c r="F32" s="282">
        <f t="shared" si="0"/>
        <v>8.8787084999999983</v>
      </c>
      <c r="G32" s="282">
        <f t="shared" si="0"/>
        <v>6.0941899999999993</v>
      </c>
      <c r="H32" s="282">
        <f t="shared" si="0"/>
        <v>5.7468499999999993</v>
      </c>
      <c r="I32" s="282">
        <f t="shared" si="0"/>
        <v>6.0478199999999998</v>
      </c>
      <c r="J32" s="282">
        <f t="shared" ref="J32:K32" si="1">J13/1000</f>
        <v>5.7561999999999998</v>
      </c>
      <c r="K32" s="282">
        <f t="shared" si="1"/>
        <v>5.6576199999999996</v>
      </c>
      <c r="L32" s="282">
        <f t="shared" ref="L32" si="2">L13/1000</f>
        <v>5.5619199999999998</v>
      </c>
      <c r="M32" s="282">
        <f>M13/1000</f>
        <v>5.1156699999999997</v>
      </c>
      <c r="N32" s="282">
        <f>N13/1000</f>
        <v>4.6625300000000003</v>
      </c>
      <c r="P32" s="42"/>
    </row>
    <row r="33" spans="1:36">
      <c r="A33" s="42"/>
      <c r="B33" s="102" t="s">
        <v>320</v>
      </c>
      <c r="C33" s="282">
        <f t="shared" ref="C33:I33" si="3">C14/1000</f>
        <v>135.602464</v>
      </c>
      <c r="D33" s="282">
        <f t="shared" ref="D33" si="4">D14/1000</f>
        <v>23.180215</v>
      </c>
      <c r="E33" s="282">
        <f t="shared" si="3"/>
        <v>13.920117100000001</v>
      </c>
      <c r="F33" s="282">
        <f t="shared" si="3"/>
        <v>6.3211758999999992</v>
      </c>
      <c r="G33" s="282">
        <f t="shared" si="3"/>
        <v>3.9567268000000002</v>
      </c>
      <c r="H33" s="282">
        <f t="shared" si="3"/>
        <v>3.1412409999999999</v>
      </c>
      <c r="I33" s="282">
        <f t="shared" si="3"/>
        <v>2.2699484000000001</v>
      </c>
      <c r="J33" s="282">
        <f t="shared" ref="J33:K33" si="5">J14/1000</f>
        <v>1.3910073999999999</v>
      </c>
      <c r="K33" s="282">
        <f t="shared" si="5"/>
        <v>0.50881739999999998</v>
      </c>
      <c r="L33" s="282">
        <f t="shared" ref="L33:N33" si="6">L14/1000</f>
        <v>0.46329999999999993</v>
      </c>
      <c r="M33" s="282">
        <f t="shared" si="6"/>
        <v>0.43376999999999999</v>
      </c>
      <c r="N33" s="282">
        <f t="shared" si="6"/>
        <v>0.43376999999999999</v>
      </c>
      <c r="P33" s="42"/>
    </row>
    <row r="34" spans="1:36">
      <c r="A34" s="42"/>
      <c r="B34" s="102" t="s">
        <v>321</v>
      </c>
      <c r="C34" s="282">
        <f t="shared" ref="C34:I34" si="7">C15/1000</f>
        <v>59.352629999999998</v>
      </c>
      <c r="D34" s="282">
        <f t="shared" ref="D34" si="8">D15/1000</f>
        <v>16.782460000000004</v>
      </c>
      <c r="E34" s="282">
        <f t="shared" si="7"/>
        <v>13.09535</v>
      </c>
      <c r="F34" s="282">
        <f t="shared" si="7"/>
        <v>6.9484500000000002</v>
      </c>
      <c r="G34" s="282">
        <f t="shared" si="7"/>
        <v>0</v>
      </c>
      <c r="H34" s="282">
        <f t="shared" si="7"/>
        <v>0</v>
      </c>
      <c r="I34" s="282">
        <f t="shared" si="7"/>
        <v>0</v>
      </c>
      <c r="J34" s="282">
        <f t="shared" ref="J34:K34" si="9">J15/1000</f>
        <v>0</v>
      </c>
      <c r="K34" s="282">
        <f t="shared" si="9"/>
        <v>0</v>
      </c>
      <c r="L34" s="282">
        <f t="shared" ref="L34:N34" si="10">L15/1000</f>
        <v>0</v>
      </c>
      <c r="M34" s="282">
        <f t="shared" si="10"/>
        <v>0</v>
      </c>
      <c r="N34" s="282">
        <f t="shared" si="10"/>
        <v>0</v>
      </c>
      <c r="P34" s="42"/>
    </row>
    <row r="35" spans="1:36">
      <c r="A35" s="42"/>
      <c r="B35" s="102" t="s">
        <v>322</v>
      </c>
      <c r="C35" s="282">
        <f t="shared" ref="C35:I35" si="11">C16/1000</f>
        <v>3.8791820000000001</v>
      </c>
      <c r="D35" s="282">
        <f t="shared" ref="D35" si="12">D16/1000</f>
        <v>1.3504443999999998</v>
      </c>
      <c r="E35" s="282">
        <f t="shared" si="11"/>
        <v>0.86211000000000004</v>
      </c>
      <c r="F35" s="282">
        <f t="shared" si="11"/>
        <v>0.25101400000000001</v>
      </c>
      <c r="G35" s="282">
        <f t="shared" si="11"/>
        <v>0</v>
      </c>
      <c r="H35" s="282">
        <f t="shared" si="11"/>
        <v>0</v>
      </c>
      <c r="I35" s="282">
        <f t="shared" si="11"/>
        <v>0</v>
      </c>
      <c r="J35" s="282">
        <f t="shared" ref="J35:K35" si="13">J16/1000</f>
        <v>0</v>
      </c>
      <c r="K35" s="282">
        <f t="shared" si="13"/>
        <v>0</v>
      </c>
      <c r="L35" s="282">
        <f t="shared" ref="L35:N35" si="14">L16/1000</f>
        <v>0</v>
      </c>
      <c r="M35" s="282">
        <f t="shared" si="14"/>
        <v>0</v>
      </c>
      <c r="N35" s="282">
        <f t="shared" si="14"/>
        <v>0</v>
      </c>
      <c r="P35" s="42"/>
    </row>
    <row r="36" spans="1:36">
      <c r="A36" s="42"/>
      <c r="B36" s="102" t="s">
        <v>323</v>
      </c>
      <c r="C36" s="282">
        <f t="shared" ref="C36:I36" si="15">C17/1000</f>
        <v>7.5333884999999992</v>
      </c>
      <c r="D36" s="282">
        <f t="shared" ref="D36" si="16">D17/1000</f>
        <v>1.9488069000000001</v>
      </c>
      <c r="E36" s="282">
        <f t="shared" si="15"/>
        <v>1.1592146999999999</v>
      </c>
      <c r="F36" s="282">
        <f>F17/1000</f>
        <v>0.14945549999999999</v>
      </c>
      <c r="G36" s="282">
        <f t="shared" si="15"/>
        <v>3.5047199999999994E-2</v>
      </c>
      <c r="H36" s="282">
        <f t="shared" si="15"/>
        <v>2.5739700000000001E-2</v>
      </c>
      <c r="I36" s="282">
        <f t="shared" si="15"/>
        <v>1.7314500000000003E-2</v>
      </c>
      <c r="J36" s="282">
        <f t="shared" ref="J36:K36" si="17">J17/1000</f>
        <v>1.0067400000000001E-2</v>
      </c>
      <c r="K36" s="282">
        <f t="shared" si="17"/>
        <v>4.9214999999999997E-3</v>
      </c>
      <c r="L36" s="282">
        <f t="shared" ref="L36:N36" si="18">L17/1000</f>
        <v>1.5402E-3</v>
      </c>
      <c r="M36" s="282">
        <f t="shared" si="18"/>
        <v>0</v>
      </c>
      <c r="N36" s="282">
        <f t="shared" si="18"/>
        <v>0</v>
      </c>
      <c r="P36" s="42"/>
    </row>
    <row r="37" spans="1:36">
      <c r="A37" s="42"/>
      <c r="B37" s="102" t="s">
        <v>324</v>
      </c>
      <c r="C37" s="282">
        <f t="shared" ref="C37:I37" si="19">C18/1000</f>
        <v>4.2811300000000001</v>
      </c>
      <c r="D37" s="282">
        <f t="shared" ref="D37" si="20">D18/1000</f>
        <v>0</v>
      </c>
      <c r="E37" s="282">
        <f t="shared" si="19"/>
        <v>0</v>
      </c>
      <c r="F37" s="282">
        <f t="shared" si="19"/>
        <v>0</v>
      </c>
      <c r="G37" s="282">
        <f t="shared" si="19"/>
        <v>0</v>
      </c>
      <c r="H37" s="282">
        <f t="shared" si="19"/>
        <v>0</v>
      </c>
      <c r="I37" s="282">
        <f t="shared" si="19"/>
        <v>0</v>
      </c>
      <c r="J37" s="282">
        <f t="shared" ref="J37:K37" si="21">J18/1000</f>
        <v>0</v>
      </c>
      <c r="K37" s="282">
        <f t="shared" si="21"/>
        <v>0</v>
      </c>
      <c r="L37" s="282">
        <f t="shared" ref="L37:N37" si="22">L18/1000</f>
        <v>0</v>
      </c>
      <c r="M37" s="282">
        <f t="shared" si="22"/>
        <v>0</v>
      </c>
      <c r="N37" s="282">
        <f t="shared" si="22"/>
        <v>0</v>
      </c>
      <c r="P37" s="42"/>
    </row>
    <row r="38" spans="1:36">
      <c r="A38" s="42"/>
      <c r="B38" s="102" t="s">
        <v>325</v>
      </c>
      <c r="C38" s="282">
        <f t="shared" ref="C38:I38" si="23">C19/1000</f>
        <v>222.54746</v>
      </c>
      <c r="D38" s="282">
        <f t="shared" ref="D38" si="24">D19/1000</f>
        <v>0</v>
      </c>
      <c r="E38" s="282">
        <f>E19/1000</f>
        <v>0</v>
      </c>
      <c r="F38" s="282">
        <f t="shared" si="23"/>
        <v>0</v>
      </c>
      <c r="G38" s="282">
        <f t="shared" si="23"/>
        <v>0</v>
      </c>
      <c r="H38" s="282">
        <f t="shared" si="23"/>
        <v>0</v>
      </c>
      <c r="I38" s="282">
        <f t="shared" si="23"/>
        <v>0</v>
      </c>
      <c r="J38" s="282">
        <f t="shared" ref="J38:K38" si="25">J19/1000</f>
        <v>0</v>
      </c>
      <c r="K38" s="282">
        <f t="shared" si="25"/>
        <v>0</v>
      </c>
      <c r="L38" s="282">
        <f t="shared" ref="L38:N38" si="26">L19/1000</f>
        <v>0</v>
      </c>
      <c r="M38" s="282">
        <f t="shared" si="26"/>
        <v>0</v>
      </c>
      <c r="N38" s="282">
        <f t="shared" si="26"/>
        <v>0</v>
      </c>
      <c r="P38" s="42"/>
    </row>
    <row r="39" spans="1:36">
      <c r="A39" s="42"/>
      <c r="B39" s="102" t="s">
        <v>327</v>
      </c>
      <c r="C39" s="282">
        <f t="shared" ref="C39:I39" si="27">C20/1000</f>
        <v>2.2588699999999999</v>
      </c>
      <c r="D39" s="282">
        <f t="shared" ref="D39" si="28">D20/1000</f>
        <v>0.62941999999999998</v>
      </c>
      <c r="E39" s="282">
        <f t="shared" si="27"/>
        <v>0.60420000000000007</v>
      </c>
      <c r="F39" s="282">
        <f t="shared" si="27"/>
        <v>0.55604999999999993</v>
      </c>
      <c r="G39" s="282">
        <f t="shared" si="27"/>
        <v>0.44333999999999996</v>
      </c>
      <c r="H39" s="282">
        <f t="shared" si="27"/>
        <v>0.41517999999999999</v>
      </c>
      <c r="I39" s="282">
        <f t="shared" si="27"/>
        <v>0.38492999999999999</v>
      </c>
      <c r="J39" s="282">
        <f t="shared" ref="J39:K39" si="29">J20/1000</f>
        <v>0.35249000000000003</v>
      </c>
      <c r="K39" s="282">
        <f t="shared" si="29"/>
        <v>0.32141000000000003</v>
      </c>
      <c r="L39" s="282">
        <f t="shared" ref="L39:N39" si="30">L20/1000</f>
        <v>0.29178999999999999</v>
      </c>
      <c r="M39" s="282">
        <f t="shared" si="30"/>
        <v>0.26374999999999998</v>
      </c>
      <c r="N39" s="282">
        <f t="shared" si="30"/>
        <v>0.23741000000000001</v>
      </c>
      <c r="P39" s="42"/>
    </row>
    <row r="40" spans="1:36">
      <c r="A40" s="42"/>
      <c r="B40" s="102" t="s">
        <v>328</v>
      </c>
      <c r="C40" s="282">
        <f t="shared" ref="C40:I40" si="31">C21/1000</f>
        <v>1.7137899999999999</v>
      </c>
      <c r="D40" s="282">
        <f t="shared" ref="D40" si="32">D21/1000</f>
        <v>0.48913000000000001</v>
      </c>
      <c r="E40" s="282">
        <f t="shared" si="31"/>
        <v>0.47617999999999999</v>
      </c>
      <c r="F40" s="282">
        <f t="shared" si="31"/>
        <v>0.45702999999999999</v>
      </c>
      <c r="G40" s="282">
        <f t="shared" si="31"/>
        <v>0.42484</v>
      </c>
      <c r="H40" s="282">
        <f t="shared" si="31"/>
        <v>0.41852</v>
      </c>
      <c r="I40" s="282">
        <f t="shared" si="31"/>
        <v>0.41226999999999997</v>
      </c>
      <c r="J40" s="282">
        <f t="shared" ref="J40:K40" si="33">J21/1000</f>
        <v>0.40079999999999999</v>
      </c>
      <c r="K40" s="282">
        <f t="shared" si="33"/>
        <v>0.34952999999999995</v>
      </c>
      <c r="L40" s="282">
        <f t="shared" ref="L40:N40" si="34">L21/1000</f>
        <v>0.29802999999999996</v>
      </c>
      <c r="M40" s="282">
        <f t="shared" si="34"/>
        <v>0.24146999999999999</v>
      </c>
      <c r="N40" s="282">
        <f t="shared" si="34"/>
        <v>0.19571</v>
      </c>
      <c r="P40" s="42"/>
    </row>
    <row r="41" spans="1:36">
      <c r="A41" s="42"/>
      <c r="B41" s="102" t="s">
        <v>329</v>
      </c>
      <c r="C41" s="282">
        <f t="shared" ref="C41:I41" si="35">C22/1000</f>
        <v>30.557383499999993</v>
      </c>
      <c r="D41" s="282">
        <f t="shared" ref="D41" si="36">D22/1000</f>
        <v>74.264955299999997</v>
      </c>
      <c r="E41" s="282">
        <f t="shared" si="35"/>
        <v>76.566407700000013</v>
      </c>
      <c r="F41" s="282">
        <f t="shared" si="35"/>
        <v>71.747883700000017</v>
      </c>
      <c r="G41" s="282">
        <f t="shared" si="35"/>
        <v>57.612557299999999</v>
      </c>
      <c r="H41" s="282">
        <f t="shared" si="35"/>
        <v>54.387688900000008</v>
      </c>
      <c r="I41" s="282">
        <f t="shared" si="35"/>
        <v>50.730554900000001</v>
      </c>
      <c r="J41" s="282">
        <f t="shared" ref="J41:K41" si="37">J22/1000</f>
        <v>46.995122599999995</v>
      </c>
      <c r="K41" s="282">
        <f t="shared" si="37"/>
        <v>42.877296199999996</v>
      </c>
      <c r="L41" s="282">
        <f t="shared" ref="L41:N41" si="38">L22/1000</f>
        <v>40.102435000000021</v>
      </c>
      <c r="M41" s="282">
        <f t="shared" si="38"/>
        <v>33.672944200000003</v>
      </c>
      <c r="N41" s="282">
        <f t="shared" si="38"/>
        <v>28.255990500000003</v>
      </c>
      <c r="P41" s="42"/>
    </row>
    <row r="42" spans="1:36">
      <c r="A42" s="42"/>
      <c r="B42" s="102" t="s">
        <v>330</v>
      </c>
      <c r="C42" s="282">
        <f t="shared" ref="C42:I42" si="39">C23/1000</f>
        <v>0</v>
      </c>
      <c r="D42" s="282">
        <f t="shared" ref="D42" si="40">D23/1000</f>
        <v>0.80851269999999997</v>
      </c>
      <c r="E42" s="282">
        <f t="shared" si="39"/>
        <v>0.81291389999999997</v>
      </c>
      <c r="F42" s="282">
        <f t="shared" si="39"/>
        <v>0.82913720000000002</v>
      </c>
      <c r="G42" s="282">
        <f t="shared" si="39"/>
        <v>0.80182100000000012</v>
      </c>
      <c r="H42" s="282">
        <f t="shared" si="39"/>
        <v>0.78777699999999995</v>
      </c>
      <c r="I42" s="282">
        <f t="shared" si="39"/>
        <v>0.7682460000000001</v>
      </c>
      <c r="J42" s="282">
        <f t="shared" ref="J42:K42" si="41">J23/1000</f>
        <v>0.78961870000000012</v>
      </c>
      <c r="K42" s="282">
        <f t="shared" si="41"/>
        <v>0.7899037000000001</v>
      </c>
      <c r="L42" s="282">
        <f t="shared" ref="L42:N42" si="42">L23/1000</f>
        <v>0.76426800000000006</v>
      </c>
      <c r="M42" s="282">
        <f t="shared" si="42"/>
        <v>0.7398998</v>
      </c>
      <c r="N42" s="282">
        <f t="shared" si="42"/>
        <v>0.71005049999999992</v>
      </c>
      <c r="P42" s="42"/>
    </row>
    <row r="43" spans="1:36">
      <c r="A43" s="42"/>
      <c r="B43" s="102" t="s">
        <v>331</v>
      </c>
      <c r="C43" s="282">
        <f t="shared" ref="C43:I43" si="43">C24/1000</f>
        <v>0</v>
      </c>
      <c r="D43" s="282">
        <f t="shared" ref="D43" si="44">D24/1000</f>
        <v>1.6508429200000001</v>
      </c>
      <c r="E43" s="282">
        <f t="shared" si="43"/>
        <v>1.64521038</v>
      </c>
      <c r="F43" s="282">
        <f t="shared" si="43"/>
        <v>0.69799858000000004</v>
      </c>
      <c r="G43" s="282">
        <f t="shared" si="43"/>
        <v>4.7158000000000009E-3</v>
      </c>
      <c r="H43" s="282">
        <f t="shared" si="43"/>
        <v>4.7362000000000003E-3</v>
      </c>
      <c r="I43" s="282">
        <f t="shared" si="43"/>
        <v>4.7226000000000004E-3</v>
      </c>
      <c r="J43" s="282">
        <f t="shared" ref="J43:K43" si="45">J24/1000</f>
        <v>4.6614000000000004E-3</v>
      </c>
      <c r="K43" s="282">
        <f t="shared" si="45"/>
        <v>4.5832000000000008E-3</v>
      </c>
      <c r="L43" s="282">
        <f t="shared" ref="L43:N43" si="46">L24/1000</f>
        <v>4.8653999999999998E-3</v>
      </c>
      <c r="M43" s="282">
        <f t="shared" si="46"/>
        <v>4.7362000000000003E-3</v>
      </c>
      <c r="N43" s="282">
        <f t="shared" si="46"/>
        <v>3.5632000000000003E-3</v>
      </c>
      <c r="P43" s="42"/>
    </row>
    <row r="44" spans="1:36">
      <c r="A44" s="42"/>
      <c r="B44" s="102" t="s">
        <v>332</v>
      </c>
      <c r="C44" s="282">
        <f t="shared" ref="C44:I44" si="47">C25/1000</f>
        <v>0.96867000000000003</v>
      </c>
      <c r="D44" s="282">
        <f t="shared" ref="D44" si="48">D25/1000</f>
        <v>3.5262499999999997</v>
      </c>
      <c r="E44" s="282">
        <f t="shared" si="47"/>
        <v>4.750490000000001</v>
      </c>
      <c r="F44" s="282">
        <f t="shared" si="47"/>
        <v>7.8867699999999994</v>
      </c>
      <c r="G44" s="282">
        <f t="shared" si="47"/>
        <v>8.575470000000001</v>
      </c>
      <c r="H44" s="282">
        <f t="shared" si="47"/>
        <v>7.9470299999999989</v>
      </c>
      <c r="I44" s="282">
        <f t="shared" si="47"/>
        <v>7.1064099999999994</v>
      </c>
      <c r="J44" s="282">
        <f t="shared" ref="J44:K44" si="49">J25/1000</f>
        <v>6.8847200000000006</v>
      </c>
      <c r="K44" s="282">
        <f t="shared" si="49"/>
        <v>6.8237399999999999</v>
      </c>
      <c r="L44" s="282">
        <f t="shared" ref="L44:N44" si="50">L25/1000</f>
        <v>6.7147699999999997</v>
      </c>
      <c r="M44" s="282">
        <f t="shared" si="50"/>
        <v>6.6077900000000014</v>
      </c>
      <c r="N44" s="282">
        <f t="shared" si="50"/>
        <v>6.4798299999999989</v>
      </c>
      <c r="P44" s="42"/>
    </row>
    <row r="45" spans="1:36">
      <c r="A45" s="42"/>
      <c r="B45" s="102" t="s">
        <v>333</v>
      </c>
      <c r="C45" s="282">
        <f t="shared" ref="C45:I45" si="51">C26/1000</f>
        <v>1.2682979999999999</v>
      </c>
      <c r="D45" s="282">
        <f t="shared" ref="D45" si="52">D26/1000</f>
        <v>4.1016039999999991</v>
      </c>
      <c r="E45" s="282">
        <f t="shared" si="51"/>
        <v>4.2363179999999989</v>
      </c>
      <c r="F45" s="282">
        <f t="shared" si="51"/>
        <v>1.5218179999999999</v>
      </c>
      <c r="G45" s="282">
        <f t="shared" si="51"/>
        <v>2.2360300000000004</v>
      </c>
      <c r="H45" s="282">
        <f t="shared" si="51"/>
        <v>2.840646</v>
      </c>
      <c r="I45" s="282">
        <f t="shared" si="51"/>
        <v>3.4676339999999999</v>
      </c>
      <c r="J45" s="282">
        <f t="shared" ref="J45:K45" si="53">J26/1000</f>
        <v>4.1141940000000004</v>
      </c>
      <c r="K45" s="282">
        <f t="shared" si="53"/>
        <v>4.786092</v>
      </c>
      <c r="L45" s="282">
        <f t="shared" ref="L45:N45" si="54">L26/1000</f>
        <v>4.83087</v>
      </c>
      <c r="M45" s="282">
        <f t="shared" si="54"/>
        <v>4.8661880000000002</v>
      </c>
      <c r="N45" s="282">
        <f t="shared" si="54"/>
        <v>4.9122320000000004</v>
      </c>
      <c r="P45" s="42"/>
    </row>
    <row r="46" spans="1:36">
      <c r="A46" s="42"/>
      <c r="B46" s="102" t="s">
        <v>334</v>
      </c>
      <c r="C46" s="282">
        <f t="shared" ref="C46:I46" si="55">C27/1000</f>
        <v>0</v>
      </c>
      <c r="D46" s="282">
        <f t="shared" ref="D46" si="56">D27/1000</f>
        <v>0.24866999999999997</v>
      </c>
      <c r="E46" s="282">
        <f t="shared" si="55"/>
        <v>0.25871000000000005</v>
      </c>
      <c r="F46" s="282">
        <f t="shared" si="55"/>
        <v>0.27454999999999996</v>
      </c>
      <c r="G46" s="282">
        <f t="shared" si="55"/>
        <v>0.30313000000000001</v>
      </c>
      <c r="H46" s="282">
        <f t="shared" si="55"/>
        <v>0.30919000000000002</v>
      </c>
      <c r="I46" s="282">
        <f t="shared" si="55"/>
        <v>0.31536999999999998</v>
      </c>
      <c r="J46" s="282">
        <f t="shared" ref="J46:K46" si="57">J27/1000</f>
        <v>0.32168000000000002</v>
      </c>
      <c r="K46" s="282">
        <f t="shared" si="57"/>
        <v>0.32812000000000002</v>
      </c>
      <c r="L46" s="282">
        <f t="shared" ref="L46:N46" si="58">L27/1000</f>
        <v>0.33468000000000003</v>
      </c>
      <c r="M46" s="282">
        <f t="shared" si="58"/>
        <v>0.34137000000000001</v>
      </c>
      <c r="N46" s="282">
        <f t="shared" si="58"/>
        <v>0.34820000000000001</v>
      </c>
      <c r="P46" s="42"/>
    </row>
    <row r="47" spans="1:36">
      <c r="A47" s="42"/>
      <c r="B47" s="69"/>
      <c r="C47" s="42"/>
      <c r="D47" s="42"/>
      <c r="E47" s="42"/>
      <c r="F47" s="42"/>
      <c r="G47" s="42"/>
      <c r="H47" s="42"/>
      <c r="I47" s="42"/>
      <c r="J47" s="42"/>
      <c r="K47" s="42"/>
      <c r="L47" s="42"/>
      <c r="M47" s="42"/>
      <c r="N47" s="42"/>
      <c r="P47" s="42"/>
      <c r="Q47" s="42"/>
      <c r="R47" s="42"/>
      <c r="S47" s="42"/>
      <c r="T47" s="42"/>
      <c r="U47" s="42"/>
      <c r="V47" s="42"/>
      <c r="W47" s="42"/>
      <c r="X47" s="42"/>
      <c r="Y47" s="42"/>
      <c r="Z47" s="42"/>
      <c r="AA47" s="42"/>
      <c r="AB47" s="42"/>
      <c r="AC47" s="42"/>
      <c r="AD47" s="42"/>
      <c r="AE47" s="42"/>
      <c r="AF47" s="42"/>
      <c r="AG47" s="42"/>
      <c r="AH47" s="42"/>
      <c r="AI47" s="42"/>
      <c r="AJ47" s="42"/>
    </row>
    <row r="48" spans="1:36" ht="15.75">
      <c r="A48" s="42"/>
      <c r="B48" s="270" t="s">
        <v>337</v>
      </c>
      <c r="C48" s="42"/>
      <c r="D48" s="42"/>
      <c r="E48" s="270"/>
      <c r="F48" s="42"/>
      <c r="G48" s="42"/>
      <c r="H48" s="42"/>
      <c r="I48" s="42"/>
      <c r="J48" s="42"/>
      <c r="K48" s="42"/>
      <c r="L48" s="42"/>
      <c r="M48" s="42"/>
      <c r="N48" s="42"/>
      <c r="P48" s="42"/>
      <c r="Q48" s="42"/>
      <c r="R48" s="42"/>
      <c r="S48" s="42"/>
      <c r="T48" s="42"/>
      <c r="U48" s="42"/>
      <c r="V48" s="42"/>
      <c r="W48" s="42"/>
      <c r="X48" s="42"/>
      <c r="Y48" s="42"/>
      <c r="Z48" s="42"/>
      <c r="AA48" s="42"/>
      <c r="AB48" s="42"/>
      <c r="AC48" s="42"/>
      <c r="AD48" s="42"/>
      <c r="AE48" s="42"/>
      <c r="AF48" s="42"/>
      <c r="AG48" s="42"/>
      <c r="AH48" s="42"/>
      <c r="AI48" s="42"/>
      <c r="AJ48" s="42"/>
    </row>
    <row r="49" spans="1:16">
      <c r="A49" s="42"/>
      <c r="B49" s="42"/>
      <c r="C49" s="92">
        <v>1990</v>
      </c>
      <c r="D49" s="92">
        <v>2005</v>
      </c>
      <c r="E49" s="92">
        <v>2007</v>
      </c>
      <c r="F49" s="92">
        <v>2010</v>
      </c>
      <c r="G49" s="92">
        <v>2015</v>
      </c>
      <c r="H49" s="92">
        <v>2016</v>
      </c>
      <c r="I49" s="92">
        <v>2017</v>
      </c>
      <c r="J49" s="92">
        <v>2018</v>
      </c>
      <c r="K49" s="92">
        <v>2019</v>
      </c>
      <c r="L49" s="92">
        <v>2020</v>
      </c>
      <c r="M49" s="92">
        <v>2021</v>
      </c>
      <c r="N49" s="92">
        <v>2022</v>
      </c>
      <c r="P49" s="42"/>
    </row>
    <row r="50" spans="1:16">
      <c r="A50" s="42"/>
      <c r="B50" s="102" t="s">
        <v>319</v>
      </c>
      <c r="C50" s="588">
        <f t="shared" ref="C50:I64" si="59">C$5/C$6*C32</f>
        <v>0.1440128089535278</v>
      </c>
      <c r="D50" s="588">
        <f t="shared" ref="D50" si="60">D$5/D$6*D32</f>
        <v>5.7885376939520061E-2</v>
      </c>
      <c r="E50" s="588">
        <f t="shared" si="59"/>
        <v>5.4946393816785066E-2</v>
      </c>
      <c r="F50" s="588">
        <f t="shared" si="59"/>
        <v>4.2157563933715302E-2</v>
      </c>
      <c r="G50" s="588">
        <f t="shared" si="59"/>
        <v>3.0352292666665906E-2</v>
      </c>
      <c r="H50" s="588">
        <f t="shared" ref="H50:H64" si="61">H$5/H$6*H32</f>
        <v>2.8657622636649248E-2</v>
      </c>
      <c r="I50" s="588">
        <f t="shared" si="59"/>
        <v>3.0212171454106623E-2</v>
      </c>
      <c r="J50" s="588">
        <f t="shared" ref="J50" si="62">J$5/J$6*J32</f>
        <v>2.8781810229593145E-2</v>
      </c>
      <c r="K50" s="588">
        <f>K$5/K$6*K32</f>
        <v>2.8131952129752839E-2</v>
      </c>
      <c r="L50" s="588">
        <f t="shared" ref="L50:N50" si="63">L$5/L$6*L32</f>
        <v>2.4877444849637678E-2</v>
      </c>
      <c r="M50" s="588">
        <f t="shared" si="63"/>
        <v>2.4112899594506607E-2</v>
      </c>
      <c r="N50" s="588">
        <f t="shared" si="63"/>
        <v>2.2349293300349647E-2</v>
      </c>
      <c r="P50" s="42"/>
    </row>
    <row r="51" spans="1:16">
      <c r="A51" s="42"/>
      <c r="B51" s="102" t="s">
        <v>320</v>
      </c>
      <c r="C51" s="588">
        <f t="shared" si="59"/>
        <v>0.68301270906278622</v>
      </c>
      <c r="D51" s="588">
        <f t="shared" ref="D51" si="64">D$5/D$6*D33</f>
        <v>0.11079598844293684</v>
      </c>
      <c r="E51" s="588">
        <f t="shared" si="59"/>
        <v>6.6241294110948798E-2</v>
      </c>
      <c r="F51" s="588">
        <f t="shared" si="59"/>
        <v>3.0013979751729702E-2</v>
      </c>
      <c r="G51" s="588">
        <f t="shared" si="59"/>
        <v>1.9706594286630456E-2</v>
      </c>
      <c r="H51" s="588">
        <f t="shared" si="61"/>
        <v>1.5664320312653145E-2</v>
      </c>
      <c r="I51" s="588">
        <f t="shared" si="59"/>
        <v>1.1339634819286125E-2</v>
      </c>
      <c r="J51" s="588">
        <f t="shared" ref="J51:K51" si="65">J$5/J$6*J33</f>
        <v>6.9552327950314031E-3</v>
      </c>
      <c r="K51" s="588">
        <f t="shared" si="65"/>
        <v>2.5300438593587591E-3</v>
      </c>
      <c r="L51" s="588">
        <f t="shared" ref="L51:N51" si="66">L$5/L$6*L33</f>
        <v>2.0722556597069239E-3</v>
      </c>
      <c r="M51" s="588">
        <f t="shared" si="66"/>
        <v>2.0445909249637156E-3</v>
      </c>
      <c r="N51" s="588">
        <f t="shared" si="66"/>
        <v>2.0792258612583009E-3</v>
      </c>
      <c r="P51" s="42"/>
    </row>
    <row r="52" spans="1:16">
      <c r="A52" s="42"/>
      <c r="B52" s="102" t="s">
        <v>321</v>
      </c>
      <c r="C52" s="588">
        <f t="shared" si="59"/>
        <v>0.29895179932940746</v>
      </c>
      <c r="D52" s="588">
        <f t="shared" ref="D52" si="67">D$5/D$6*D34</f>
        <v>8.0216220781560918E-2</v>
      </c>
      <c r="E52" s="588">
        <f t="shared" si="59"/>
        <v>6.2316496664802726E-2</v>
      </c>
      <c r="F52" s="588">
        <f t="shared" si="59"/>
        <v>3.2992380042122585E-2</v>
      </c>
      <c r="G52" s="588">
        <f t="shared" si="59"/>
        <v>0</v>
      </c>
      <c r="H52" s="588">
        <f t="shared" si="61"/>
        <v>0</v>
      </c>
      <c r="I52" s="588">
        <f t="shared" si="59"/>
        <v>0</v>
      </c>
      <c r="J52" s="588">
        <f t="shared" ref="J52:K52" si="68">J$5/J$6*J34</f>
        <v>0</v>
      </c>
      <c r="K52" s="588">
        <f t="shared" si="68"/>
        <v>0</v>
      </c>
      <c r="L52" s="588">
        <f t="shared" ref="L52:N52" si="69">L$5/L$6*L34</f>
        <v>0</v>
      </c>
      <c r="M52" s="588">
        <f t="shared" si="69"/>
        <v>0</v>
      </c>
      <c r="N52" s="588">
        <f t="shared" si="69"/>
        <v>0</v>
      </c>
      <c r="P52" s="42"/>
    </row>
    <row r="53" spans="1:16">
      <c r="A53" s="42"/>
      <c r="B53" s="102" t="s">
        <v>322</v>
      </c>
      <c r="C53" s="588">
        <f t="shared" si="59"/>
        <v>1.953895621518793E-2</v>
      </c>
      <c r="D53" s="588">
        <f t="shared" ref="D53" si="70">D$5/D$6*D35</f>
        <v>6.4548073490788907E-3</v>
      </c>
      <c r="E53" s="588">
        <f t="shared" si="59"/>
        <v>4.1025001194846325E-3</v>
      </c>
      <c r="F53" s="588">
        <f t="shared" si="59"/>
        <v>1.191855634550635E-3</v>
      </c>
      <c r="G53" s="588">
        <f t="shared" si="59"/>
        <v>0</v>
      </c>
      <c r="H53" s="588">
        <f t="shared" si="61"/>
        <v>0</v>
      </c>
      <c r="I53" s="588">
        <f t="shared" si="59"/>
        <v>0</v>
      </c>
      <c r="J53" s="588">
        <f t="shared" ref="J53:K53" si="71">J$5/J$6*J35</f>
        <v>0</v>
      </c>
      <c r="K53" s="588">
        <f t="shared" si="71"/>
        <v>0</v>
      </c>
      <c r="L53" s="588">
        <f t="shared" ref="L53:N53" si="72">L$5/L$6*L35</f>
        <v>0</v>
      </c>
      <c r="M53" s="588">
        <f t="shared" si="72"/>
        <v>0</v>
      </c>
      <c r="N53" s="588">
        <f t="shared" si="72"/>
        <v>0</v>
      </c>
      <c r="P53" s="42"/>
    </row>
    <row r="54" spans="1:16">
      <c r="A54" s="42"/>
      <c r="B54" s="102" t="s">
        <v>323</v>
      </c>
      <c r="C54" s="588">
        <f t="shared" si="59"/>
        <v>3.7944738878841013E-2</v>
      </c>
      <c r="D54" s="588">
        <f t="shared" ref="D54" si="73">D$5/D$6*D36</f>
        <v>9.3148396928119763E-3</v>
      </c>
      <c r="E54" s="588">
        <f t="shared" si="59"/>
        <v>5.5163244194573104E-3</v>
      </c>
      <c r="F54" s="588">
        <f t="shared" si="59"/>
        <v>7.0963922247198319E-4</v>
      </c>
      <c r="G54" s="588">
        <f t="shared" si="59"/>
        <v>1.7455361115212574E-4</v>
      </c>
      <c r="H54" s="588">
        <f t="shared" si="61"/>
        <v>1.2835529192175901E-4</v>
      </c>
      <c r="I54" s="588">
        <f t="shared" si="59"/>
        <v>8.6495405392708326E-5</v>
      </c>
      <c r="J54" s="588">
        <f t="shared" ref="J54:K54" si="74">J$5/J$6*J36</f>
        <v>5.0338417064279567E-5</v>
      </c>
      <c r="K54" s="588">
        <f t="shared" si="74"/>
        <v>2.4471668724053329E-5</v>
      </c>
      <c r="L54" s="588">
        <f t="shared" ref="L54:N54" si="75">L$5/L$6*L36</f>
        <v>6.8890312261614614E-6</v>
      </c>
      <c r="M54" s="588">
        <f t="shared" si="75"/>
        <v>0</v>
      </c>
      <c r="N54" s="588">
        <f t="shared" si="75"/>
        <v>0</v>
      </c>
      <c r="P54" s="42"/>
    </row>
    <row r="55" spans="1:16">
      <c r="A55" s="42"/>
      <c r="B55" s="102" t="s">
        <v>324</v>
      </c>
      <c r="C55" s="588">
        <f t="shared" si="59"/>
        <v>2.1563518190568912E-2</v>
      </c>
      <c r="D55" s="588">
        <f t="shared" ref="D55" si="76">D$5/D$6*D37</f>
        <v>0</v>
      </c>
      <c r="E55" s="588">
        <f t="shared" si="59"/>
        <v>0</v>
      </c>
      <c r="F55" s="588">
        <f t="shared" si="59"/>
        <v>0</v>
      </c>
      <c r="G55" s="588">
        <f t="shared" si="59"/>
        <v>0</v>
      </c>
      <c r="H55" s="588">
        <f t="shared" si="61"/>
        <v>0</v>
      </c>
      <c r="I55" s="588">
        <f t="shared" si="59"/>
        <v>0</v>
      </c>
      <c r="J55" s="588">
        <f t="shared" ref="J55:K55" si="77">J$5/J$6*J37</f>
        <v>0</v>
      </c>
      <c r="K55" s="588">
        <f t="shared" si="77"/>
        <v>0</v>
      </c>
      <c r="L55" s="588">
        <f t="shared" ref="L55:N55" si="78">L$5/L$6*L37</f>
        <v>0</v>
      </c>
      <c r="M55" s="588">
        <f t="shared" si="78"/>
        <v>0</v>
      </c>
      <c r="N55" s="588">
        <f t="shared" si="78"/>
        <v>0</v>
      </c>
      <c r="P55" s="42"/>
    </row>
    <row r="56" spans="1:16">
      <c r="A56" s="42"/>
      <c r="B56" s="102" t="s">
        <v>325</v>
      </c>
      <c r="C56" s="588">
        <f t="shared" si="59"/>
        <v>1.1209438166967383</v>
      </c>
      <c r="D56" s="588">
        <f t="shared" ref="D56" si="79">D$5/D$6*D38</f>
        <v>0</v>
      </c>
      <c r="E56" s="588">
        <f t="shared" si="59"/>
        <v>0</v>
      </c>
      <c r="F56" s="588">
        <f t="shared" si="59"/>
        <v>0</v>
      </c>
      <c r="G56" s="588">
        <f t="shared" si="59"/>
        <v>0</v>
      </c>
      <c r="H56" s="588">
        <f t="shared" si="61"/>
        <v>0</v>
      </c>
      <c r="I56" s="588">
        <f t="shared" si="59"/>
        <v>0</v>
      </c>
      <c r="J56" s="588">
        <f t="shared" ref="J56:K56" si="80">J$5/J$6*J38</f>
        <v>0</v>
      </c>
      <c r="K56" s="588">
        <f t="shared" si="80"/>
        <v>0</v>
      </c>
      <c r="L56" s="588">
        <f t="shared" ref="L56:N56" si="81">L$5/L$6*L38</f>
        <v>0</v>
      </c>
      <c r="M56" s="588">
        <f t="shared" si="81"/>
        <v>0</v>
      </c>
      <c r="N56" s="588">
        <f t="shared" si="81"/>
        <v>0</v>
      </c>
      <c r="P56" s="42"/>
    </row>
    <row r="57" spans="1:16">
      <c r="A57" s="42"/>
      <c r="B57" s="102" t="s">
        <v>327</v>
      </c>
      <c r="C57" s="588">
        <f t="shared" si="59"/>
        <v>1.1377646634213489E-2</v>
      </c>
      <c r="D57" s="588">
        <f t="shared" ref="D57" si="82">D$5/D$6*D39</f>
        <v>3.0084799060644302E-3</v>
      </c>
      <c r="E57" s="588">
        <f t="shared" si="59"/>
        <v>2.8751906046706509E-3</v>
      </c>
      <c r="F57" s="588">
        <f t="shared" si="59"/>
        <v>2.6402165839032104E-3</v>
      </c>
      <c r="G57" s="588">
        <f t="shared" si="59"/>
        <v>2.2080679189260036E-3</v>
      </c>
      <c r="H57" s="588">
        <f t="shared" si="61"/>
        <v>2.0703640718452779E-3</v>
      </c>
      <c r="I57" s="588">
        <f t="shared" si="59"/>
        <v>1.9229360592460196E-3</v>
      </c>
      <c r="J57" s="588">
        <f t="shared" ref="J57:K57" si="83">J$5/J$6*J39</f>
        <v>1.7624996156890462E-3</v>
      </c>
      <c r="K57" s="588">
        <f t="shared" si="83"/>
        <v>1.5981792227162414E-3</v>
      </c>
      <c r="L57" s="588">
        <f t="shared" ref="L57:N57" si="84">L$5/L$6*L39</f>
        <v>1.3051229849900354E-3</v>
      </c>
      <c r="M57" s="588">
        <f t="shared" si="84"/>
        <v>1.2431953718772162E-3</v>
      </c>
      <c r="N57" s="588">
        <f t="shared" si="84"/>
        <v>1.1379971222568025E-3</v>
      </c>
      <c r="P57" s="42"/>
    </row>
    <row r="58" spans="1:16">
      <c r="A58" s="42"/>
      <c r="B58" s="102" t="s">
        <v>328</v>
      </c>
      <c r="C58" s="588">
        <f t="shared" si="59"/>
        <v>8.6321466154531852E-3</v>
      </c>
      <c r="D58" s="588">
        <f t="shared" ref="D58" si="85">D$5/D$6*D40</f>
        <v>2.3379266252316335E-3</v>
      </c>
      <c r="E58" s="588">
        <f t="shared" si="59"/>
        <v>2.2659852071037247E-3</v>
      </c>
      <c r="F58" s="588">
        <f t="shared" si="59"/>
        <v>2.1700533861006822E-3</v>
      </c>
      <c r="G58" s="588">
        <f t="shared" si="59"/>
        <v>2.1159281244113402E-3</v>
      </c>
      <c r="H58" s="588">
        <f t="shared" si="61"/>
        <v>2.0870195369446644E-3</v>
      </c>
      <c r="I58" s="588">
        <f t="shared" si="59"/>
        <v>2.0595143250600276E-3</v>
      </c>
      <c r="J58" s="588">
        <f t="shared" ref="J58:K58" si="86">J$5/J$6*J40</f>
        <v>2.0040564156945436E-3</v>
      </c>
      <c r="K58" s="588">
        <f t="shared" si="86"/>
        <v>1.7380031228524555E-3</v>
      </c>
      <c r="L58" s="588">
        <f t="shared" ref="L58:N58" si="87">L$5/L$6*L40</f>
        <v>1.3330333569230618E-3</v>
      </c>
      <c r="M58" s="588">
        <f t="shared" si="87"/>
        <v>1.1381777685201568E-3</v>
      </c>
      <c r="N58" s="588">
        <f t="shared" si="87"/>
        <v>9.3811303987565309E-4</v>
      </c>
      <c r="P58" s="42"/>
    </row>
    <row r="59" spans="1:16">
      <c r="A59" s="42"/>
      <c r="B59" s="102" t="s">
        <v>329</v>
      </c>
      <c r="C59" s="588">
        <f t="shared" si="59"/>
        <v>0.15391373187883578</v>
      </c>
      <c r="D59" s="588">
        <f t="shared" ref="D59" si="88">D$5/D$6*D41</f>
        <v>0.3549690599994012</v>
      </c>
      <c r="E59" s="588">
        <f t="shared" si="59"/>
        <v>0.36435454493946146</v>
      </c>
      <c r="F59" s="588">
        <f t="shared" si="59"/>
        <v>0.34067071738998095</v>
      </c>
      <c r="G59" s="588">
        <f t="shared" si="59"/>
        <v>0.28694103735601606</v>
      </c>
      <c r="H59" s="588">
        <f t="shared" si="61"/>
        <v>0.27121324979348294</v>
      </c>
      <c r="I59" s="588">
        <f t="shared" si="59"/>
        <v>0.25342689144200209</v>
      </c>
      <c r="J59" s="588">
        <f t="shared" ref="J59:K59" si="89">J$5/J$6*J41</f>
        <v>0.23498222792635137</v>
      </c>
      <c r="K59" s="588">
        <f t="shared" si="89"/>
        <v>0.21320308613014541</v>
      </c>
      <c r="L59" s="588">
        <f t="shared" ref="L59:N59" si="90">L$5/L$6*L41</f>
        <v>0.17937081350481135</v>
      </c>
      <c r="M59" s="588">
        <f t="shared" si="90"/>
        <v>0.15871866686983793</v>
      </c>
      <c r="N59" s="588">
        <f t="shared" si="90"/>
        <v>0.13544179215498739</v>
      </c>
      <c r="P59" s="42"/>
    </row>
    <row r="60" spans="1:16">
      <c r="A60" s="42"/>
      <c r="B60" s="102" t="s">
        <v>330</v>
      </c>
      <c r="C60" s="588">
        <f t="shared" si="59"/>
        <v>0</v>
      </c>
      <c r="D60" s="588">
        <f t="shared" ref="D60" si="91">D$5/D$6*D42</f>
        <v>3.8645009878108399E-3</v>
      </c>
      <c r="E60" s="588">
        <f t="shared" si="59"/>
        <v>3.8683919359254831E-3</v>
      </c>
      <c r="F60" s="588">
        <f t="shared" si="59"/>
        <v>3.936879391729293E-3</v>
      </c>
      <c r="G60" s="588">
        <f t="shared" si="59"/>
        <v>3.9934930906779615E-3</v>
      </c>
      <c r="H60" s="588">
        <f t="shared" si="61"/>
        <v>3.9283809370057746E-3</v>
      </c>
      <c r="I60" s="588">
        <f t="shared" si="59"/>
        <v>3.8378093049944609E-3</v>
      </c>
      <c r="J60" s="588">
        <f t="shared" ref="J60:K60" si="92">J$5/J$6*J42</f>
        <v>3.9482046449286065E-3</v>
      </c>
      <c r="K60" s="588">
        <f t="shared" si="92"/>
        <v>3.9277174987918332E-3</v>
      </c>
      <c r="L60" s="588">
        <f t="shared" ref="L60:N60" si="93">L$5/L$6*L42</f>
        <v>3.4184301500817869E-3</v>
      </c>
      <c r="M60" s="588">
        <f t="shared" si="93"/>
        <v>3.4875450502857928E-3</v>
      </c>
      <c r="N60" s="588">
        <f t="shared" si="93"/>
        <v>3.4035441879322844E-3</v>
      </c>
      <c r="P60" s="42"/>
    </row>
    <row r="61" spans="1:16">
      <c r="A61" s="42"/>
      <c r="B61" s="102" t="s">
        <v>331</v>
      </c>
      <c r="C61" s="588">
        <f t="shared" si="59"/>
        <v>0</v>
      </c>
      <c r="D61" s="588">
        <f t="shared" ref="D61" si="94">D$5/D$6*D43</f>
        <v>7.890641785911999E-3</v>
      </c>
      <c r="E61" s="588">
        <f t="shared" si="59"/>
        <v>7.8290192440957154E-3</v>
      </c>
      <c r="F61" s="588">
        <f t="shared" si="59"/>
        <v>3.3142117191923243E-3</v>
      </c>
      <c r="G61" s="588">
        <f t="shared" si="59"/>
        <v>2.3487180701202805E-5</v>
      </c>
      <c r="H61" s="588">
        <f t="shared" si="61"/>
        <v>2.3617848444225651E-5</v>
      </c>
      <c r="I61" s="588">
        <f t="shared" si="59"/>
        <v>2.3591972133622355E-5</v>
      </c>
      <c r="J61" s="588">
        <f t="shared" ref="J61:K61" si="95">J$5/J$6*J43</f>
        <v>2.3307656128040285E-5</v>
      </c>
      <c r="K61" s="588">
        <f t="shared" si="95"/>
        <v>2.2789505658047597E-5</v>
      </c>
      <c r="L61" s="588">
        <f t="shared" ref="L61:N61" si="96">L$5/L$6*L43</f>
        <v>2.1762039038933886E-5</v>
      </c>
      <c r="M61" s="588">
        <f t="shared" si="96"/>
        <v>2.2324253726198565E-5</v>
      </c>
      <c r="N61" s="588">
        <f t="shared" si="96"/>
        <v>1.7079783269556627E-5</v>
      </c>
      <c r="P61" s="42"/>
    </row>
    <row r="62" spans="1:16">
      <c r="A62" s="42"/>
      <c r="B62" s="102" t="s">
        <v>332</v>
      </c>
      <c r="C62" s="588">
        <f t="shared" si="59"/>
        <v>4.8790700505843988E-3</v>
      </c>
      <c r="D62" s="588">
        <f t="shared" ref="D62" si="97">D$5/D$6*D44</f>
        <v>1.6854647562453841E-2</v>
      </c>
      <c r="E62" s="588">
        <f t="shared" si="59"/>
        <v>2.260603147233016E-2</v>
      </c>
      <c r="F62" s="588">
        <f t="shared" si="59"/>
        <v>3.7447677272601967E-2</v>
      </c>
      <c r="G62" s="588">
        <f t="shared" si="59"/>
        <v>4.2710380738738625E-2</v>
      </c>
      <c r="H62" s="588">
        <f t="shared" si="61"/>
        <v>3.9629185870891127E-2</v>
      </c>
      <c r="I62" s="588">
        <f t="shared" si="59"/>
        <v>3.5500407972323553E-2</v>
      </c>
      <c r="J62" s="588">
        <f t="shared" ref="J62:K62" si="98">J$5/J$6*J44</f>
        <v>3.4424569077496359E-2</v>
      </c>
      <c r="K62" s="588">
        <f t="shared" si="98"/>
        <v>3.3930367721034582E-2</v>
      </c>
      <c r="L62" s="588">
        <f t="shared" ref="L62:N62" si="99">L$5/L$6*L44</f>
        <v>3.0033930792424484E-2</v>
      </c>
      <c r="M62" s="588">
        <f t="shared" si="99"/>
        <v>3.1146062355778395E-2</v>
      </c>
      <c r="N62" s="588">
        <f t="shared" si="99"/>
        <v>3.1060308717885916E-2</v>
      </c>
      <c r="P62" s="42"/>
    </row>
    <row r="63" spans="1:16">
      <c r="A63" s="42"/>
      <c r="B63" s="102" t="s">
        <v>333</v>
      </c>
      <c r="C63" s="588">
        <f t="shared" si="59"/>
        <v>6.3882589395935574E-3</v>
      </c>
      <c r="D63" s="588">
        <f t="shared" ref="D63" si="100">D$5/D$6*D45</f>
        <v>1.9604704675150915E-2</v>
      </c>
      <c r="E63" s="588">
        <f t="shared" si="59"/>
        <v>2.0159254736837402E-2</v>
      </c>
      <c r="F63" s="588">
        <f t="shared" si="59"/>
        <v>7.2258414194450423E-3</v>
      </c>
      <c r="G63" s="588">
        <f t="shared" si="59"/>
        <v>1.1136613228574262E-2</v>
      </c>
      <c r="H63" s="588">
        <f t="shared" si="61"/>
        <v>1.4165353387039359E-2</v>
      </c>
      <c r="I63" s="588">
        <f t="shared" si="59"/>
        <v>1.73227299999156E-2</v>
      </c>
      <c r="J63" s="588">
        <f t="shared" ref="J63:K63" si="101">J$5/J$6*J45</f>
        <v>2.0571549104570853E-2</v>
      </c>
      <c r="K63" s="588">
        <f t="shared" si="101"/>
        <v>2.3798365926413056E-2</v>
      </c>
      <c r="L63" s="588">
        <f t="shared" ref="L63:N63" si="102">L$5/L$6*L45</f>
        <v>2.1607592701939109E-2</v>
      </c>
      <c r="M63" s="588">
        <f t="shared" si="102"/>
        <v>2.2936956967903117E-2</v>
      </c>
      <c r="N63" s="588">
        <f t="shared" si="102"/>
        <v>2.3546210689767817E-2</v>
      </c>
      <c r="P63" s="42"/>
    </row>
    <row r="64" spans="1:16">
      <c r="A64" s="42"/>
      <c r="B64" s="102" t="s">
        <v>334</v>
      </c>
      <c r="C64" s="588">
        <f t="shared" si="59"/>
        <v>0</v>
      </c>
      <c r="D64" s="588">
        <f t="shared" ref="D64" si="103">D$5/D$6*D46</f>
        <v>1.1885842493740933E-3</v>
      </c>
      <c r="E64" s="588">
        <f t="shared" si="59"/>
        <v>1.2311164537145718E-3</v>
      </c>
      <c r="F64" s="588">
        <f t="shared" si="59"/>
        <v>1.3036084221034554E-3</v>
      </c>
      <c r="G64" s="588">
        <f t="shared" si="59"/>
        <v>1.5097478870935164E-3</v>
      </c>
      <c r="H64" s="588">
        <f t="shared" si="61"/>
        <v>1.5418273215806193E-3</v>
      </c>
      <c r="I64" s="588">
        <f t="shared" si="59"/>
        <v>1.575445782361513E-3</v>
      </c>
      <c r="J64" s="588">
        <f t="shared" ref="J64:K64" si="104">J$5/J$6*J46</f>
        <v>1.6084452789436648E-3</v>
      </c>
      <c r="K64" s="588">
        <f t="shared" si="104"/>
        <v>1.6315440296121872E-3</v>
      </c>
      <c r="L64" s="588">
        <f t="shared" ref="L64:N64" si="105">L$5/L$6*L46</f>
        <v>1.4969620638694441E-3</v>
      </c>
      <c r="M64" s="588">
        <f t="shared" si="105"/>
        <v>1.6090601103231292E-3</v>
      </c>
      <c r="N64" s="588">
        <f t="shared" si="105"/>
        <v>1.6690560547989496E-3</v>
      </c>
      <c r="P64" s="42"/>
    </row>
    <row r="65" spans="1:36">
      <c r="C65" s="277">
        <f>SUM(C50:C64)</f>
        <v>2.511159201445738</v>
      </c>
      <c r="D65" s="277">
        <f>SUM(D50:D64)</f>
        <v>0.67438577899730767</v>
      </c>
      <c r="E65" s="277">
        <f t="shared" ref="E65:I65" si="106">SUM(E50:E64)</f>
        <v>0.61831254372561772</v>
      </c>
      <c r="F65" s="277">
        <f t="shared" si="106"/>
        <v>0.50577462416964714</v>
      </c>
      <c r="G65" s="277">
        <f t="shared" si="106"/>
        <v>0.40087219608958752</v>
      </c>
      <c r="H65" s="277">
        <f>SUM(H50:H64)</f>
        <v>0.37910929700845813</v>
      </c>
      <c r="I65" s="277">
        <f t="shared" si="106"/>
        <v>0.35730762853682235</v>
      </c>
      <c r="J65" s="277">
        <f t="shared" ref="J65:K65" si="107">SUM(J50:J64)</f>
        <v>0.33511224116149135</v>
      </c>
      <c r="K65" s="277">
        <f t="shared" si="107"/>
        <v>0.31053652081505945</v>
      </c>
      <c r="L65" s="277">
        <f t="shared" ref="L65" si="108">SUM(L50:L64)</f>
        <v>0.26554423713464897</v>
      </c>
      <c r="M65" s="277">
        <f>SUM(M50:M64)</f>
        <v>0.24645947926772224</v>
      </c>
      <c r="N65" s="277">
        <f>SUM(N50:N64)</f>
        <v>0.22164262091238232</v>
      </c>
    </row>
    <row r="66" spans="1:36" ht="15.75">
      <c r="A66" s="42"/>
      <c r="B66" s="270" t="s">
        <v>338</v>
      </c>
      <c r="C66" s="42"/>
      <c r="D66" s="42"/>
      <c r="E66" s="270"/>
      <c r="F66" s="42"/>
      <c r="G66" s="42"/>
      <c r="H66" s="42"/>
      <c r="I66" s="42"/>
      <c r="J66" s="42"/>
      <c r="K66" s="42"/>
      <c r="L66" s="42"/>
      <c r="M66" s="42"/>
      <c r="N66" s="42"/>
      <c r="P66" s="42"/>
      <c r="Q66" s="42"/>
      <c r="R66" s="42"/>
      <c r="S66" s="42"/>
      <c r="T66" s="42"/>
      <c r="U66" s="42"/>
      <c r="V66" s="42"/>
      <c r="W66" s="42"/>
      <c r="X66" s="42"/>
      <c r="Y66" s="42"/>
      <c r="Z66" s="42"/>
      <c r="AA66" s="42"/>
      <c r="AB66" s="42"/>
      <c r="AC66" s="42"/>
      <c r="AD66" s="42"/>
      <c r="AE66" s="42"/>
      <c r="AF66" s="42"/>
      <c r="AG66" s="42"/>
      <c r="AH66" s="42"/>
      <c r="AI66" s="42"/>
      <c r="AJ66" s="42"/>
    </row>
    <row r="67" spans="1:36">
      <c r="A67" s="42"/>
      <c r="B67" s="42"/>
      <c r="C67" s="92">
        <v>1990</v>
      </c>
      <c r="D67" s="92">
        <v>2005</v>
      </c>
      <c r="E67" s="92">
        <v>2007</v>
      </c>
      <c r="F67" s="92">
        <v>2010</v>
      </c>
      <c r="G67" s="92">
        <v>2015</v>
      </c>
      <c r="H67" s="92">
        <v>2016</v>
      </c>
      <c r="I67" s="92">
        <v>2017</v>
      </c>
      <c r="J67" s="92">
        <v>2018</v>
      </c>
      <c r="K67" s="92">
        <v>2019</v>
      </c>
      <c r="L67" s="92">
        <v>2020</v>
      </c>
      <c r="M67" s="92">
        <v>2021</v>
      </c>
      <c r="N67" s="92">
        <v>2022</v>
      </c>
      <c r="P67" s="92" t="s">
        <v>339</v>
      </c>
      <c r="Q67" s="42"/>
    </row>
    <row r="68" spans="1:36">
      <c r="A68" s="42"/>
      <c r="B68" s="102" t="s">
        <v>319</v>
      </c>
      <c r="C68" s="274">
        <f>C50*$P68/1000</f>
        <v>0.66245892118622796</v>
      </c>
      <c r="D68" s="274">
        <f>D50*$P68/1000</f>
        <v>0.26627273392179229</v>
      </c>
      <c r="E68" s="274">
        <f t="shared" ref="E68:I68" si="109">E50*$P68/1000</f>
        <v>0.25275341155721132</v>
      </c>
      <c r="F68" s="274">
        <f t="shared" si="109"/>
        <v>0.19392479409509039</v>
      </c>
      <c r="G68" s="274">
        <f>G50*$P68/1000</f>
        <v>0.13962054626666315</v>
      </c>
      <c r="H68" s="274">
        <f>H50*$P68/1000</f>
        <v>0.13182506412858655</v>
      </c>
      <c r="I68" s="274">
        <f t="shared" si="109"/>
        <v>0.13897598868889044</v>
      </c>
      <c r="J68" s="274">
        <f t="shared" ref="J68:K68" si="110">J50*$P68/1000</f>
        <v>0.13239632705612844</v>
      </c>
      <c r="K68" s="274">
        <f t="shared" si="110"/>
        <v>0.12940697979686305</v>
      </c>
      <c r="L68" s="274">
        <f t="shared" ref="L68:N68" si="111">L50*$P68/1000</f>
        <v>0.11443624630833332</v>
      </c>
      <c r="M68" s="274">
        <f t="shared" si="111"/>
        <v>0.1109193381347304</v>
      </c>
      <c r="N68" s="274">
        <f t="shared" si="111"/>
        <v>0.10280674918160838</v>
      </c>
      <c r="P68" s="144">
        <f>INDEX([15]GWPs!$I$8:$I$40,MATCH(B68,[15]GWPs!$H$8:$H$40,0))</f>
        <v>4600</v>
      </c>
      <c r="Q68" s="42"/>
    </row>
    <row r="69" spans="1:36">
      <c r="A69" s="42"/>
      <c r="B69" s="102" t="s">
        <v>320</v>
      </c>
      <c r="C69" s="274">
        <f t="shared" ref="C69:I69" si="112">C51*$P69/1000</f>
        <v>6.96672963244042</v>
      </c>
      <c r="D69" s="274">
        <f t="shared" ref="D69" si="113">D51*$P69/1000</f>
        <v>1.1301190821179556</v>
      </c>
      <c r="E69" s="274">
        <f t="shared" si="112"/>
        <v>0.67566119993167773</v>
      </c>
      <c r="F69" s="274">
        <f t="shared" si="112"/>
        <v>0.30614259346764294</v>
      </c>
      <c r="G69" s="274">
        <f t="shared" si="112"/>
        <v>0.20100726172363065</v>
      </c>
      <c r="H69" s="274">
        <f t="shared" ref="H69:H82" si="114">H51*$P69/1000</f>
        <v>0.15977606718906207</v>
      </c>
      <c r="I69" s="274">
        <f t="shared" si="112"/>
        <v>0.11566427515671847</v>
      </c>
      <c r="J69" s="274">
        <f t="shared" ref="J69:K69" si="115">J51*$P69/1000</f>
        <v>7.0943374509320312E-2</v>
      </c>
      <c r="K69" s="274">
        <f t="shared" si="115"/>
        <v>2.5806447365459343E-2</v>
      </c>
      <c r="L69" s="274">
        <f t="shared" ref="L69:N69" si="116">L51*$P69/1000</f>
        <v>2.1137007729010622E-2</v>
      </c>
      <c r="M69" s="274">
        <f t="shared" si="116"/>
        <v>2.0854827434629901E-2</v>
      </c>
      <c r="N69" s="274">
        <f t="shared" si="116"/>
        <v>2.1208103784834668E-2</v>
      </c>
      <c r="P69" s="144">
        <f>INDEX([15]GWPs!$I$8:$I$40,MATCH(B69,[15]GWPs!$H$8:$H$40,0))</f>
        <v>10200</v>
      </c>
      <c r="Q69" s="42"/>
    </row>
    <row r="70" spans="1:36">
      <c r="A70" s="42"/>
      <c r="B70" s="102" t="s">
        <v>321</v>
      </c>
      <c r="C70" s="274">
        <f t="shared" ref="C70:I70" si="117">C52*$P70/1000</f>
        <v>1.7398994720971515</v>
      </c>
      <c r="D70" s="274">
        <f t="shared" ref="D70" si="118">D52*$P70/1000</f>
        <v>0.46685840494868452</v>
      </c>
      <c r="E70" s="274">
        <f t="shared" si="117"/>
        <v>0.36268201058915184</v>
      </c>
      <c r="F70" s="274">
        <f t="shared" si="117"/>
        <v>0.19201565184515346</v>
      </c>
      <c r="G70" s="274">
        <f t="shared" si="117"/>
        <v>0</v>
      </c>
      <c r="H70" s="274">
        <f t="shared" si="114"/>
        <v>0</v>
      </c>
      <c r="I70" s="274">
        <f t="shared" si="117"/>
        <v>0</v>
      </c>
      <c r="J70" s="274">
        <f t="shared" ref="J70:K70" si="119">J52*$P70/1000</f>
        <v>0</v>
      </c>
      <c r="K70" s="274">
        <f t="shared" si="119"/>
        <v>0</v>
      </c>
      <c r="L70" s="274">
        <f t="shared" ref="L70:N70" si="120">L52*$P70/1000</f>
        <v>0</v>
      </c>
      <c r="M70" s="274">
        <f t="shared" si="120"/>
        <v>0</v>
      </c>
      <c r="N70" s="274">
        <f t="shared" si="120"/>
        <v>0</v>
      </c>
      <c r="P70" s="144">
        <f>INDEX([15]GWPs!$I$8:$I$40,MATCH(B70,[15]GWPs!$H$8:$H$40,0))</f>
        <v>5820</v>
      </c>
      <c r="Q70" s="42"/>
    </row>
    <row r="71" spans="1:36">
      <c r="A71" s="42"/>
      <c r="B71" s="102" t="s">
        <v>322</v>
      </c>
      <c r="C71" s="274">
        <f t="shared" ref="C71:I71" si="121">C53*$P71/1000</f>
        <v>0.16783963388846432</v>
      </c>
      <c r="D71" s="274">
        <f t="shared" ref="D71" si="122">D53*$P71/1000</f>
        <v>5.5446795128587675E-2</v>
      </c>
      <c r="E71" s="274">
        <f t="shared" si="121"/>
        <v>3.5240476026372994E-2</v>
      </c>
      <c r="F71" s="274">
        <f t="shared" si="121"/>
        <v>1.0238039900789956E-2</v>
      </c>
      <c r="G71" s="274">
        <f t="shared" si="121"/>
        <v>0</v>
      </c>
      <c r="H71" s="274">
        <f t="shared" si="114"/>
        <v>0</v>
      </c>
      <c r="I71" s="274">
        <f t="shared" si="121"/>
        <v>0</v>
      </c>
      <c r="J71" s="274">
        <f t="shared" ref="J71:K71" si="123">J53*$P71/1000</f>
        <v>0</v>
      </c>
      <c r="K71" s="274">
        <f t="shared" si="123"/>
        <v>0</v>
      </c>
      <c r="L71" s="274">
        <f t="shared" ref="L71:N71" si="124">L53*$P71/1000</f>
        <v>0</v>
      </c>
      <c r="M71" s="274">
        <f t="shared" si="124"/>
        <v>0</v>
      </c>
      <c r="N71" s="274">
        <f t="shared" si="124"/>
        <v>0</v>
      </c>
      <c r="P71" s="144">
        <f>INDEX([15]GWPs!$I$8:$I$40,MATCH(B71,[15]GWPs!$H$8:$H$40,0))</f>
        <v>8590</v>
      </c>
      <c r="Q71" s="42"/>
    </row>
    <row r="72" spans="1:36">
      <c r="A72" s="42"/>
      <c r="B72" s="102" t="s">
        <v>323</v>
      </c>
      <c r="C72" s="274">
        <f t="shared" ref="C72:I72" si="125">C54*$P72/1000</f>
        <v>0.29103614720071058</v>
      </c>
      <c r="D72" s="274">
        <f t="shared" ref="D72" si="126">D54*$P72/1000</f>
        <v>7.1444820443867851E-2</v>
      </c>
      <c r="E72" s="274">
        <f t="shared" si="125"/>
        <v>4.231020829723757E-2</v>
      </c>
      <c r="F72" s="274">
        <f t="shared" si="125"/>
        <v>5.4429328363601107E-3</v>
      </c>
      <c r="G72" s="274">
        <f t="shared" si="125"/>
        <v>1.3388261975368044E-3</v>
      </c>
      <c r="H72" s="274">
        <f t="shared" si="114"/>
        <v>9.8448508903989157E-4</v>
      </c>
      <c r="I72" s="274">
        <f t="shared" si="125"/>
        <v>6.6341975936207284E-4</v>
      </c>
      <c r="J72" s="274">
        <f t="shared" ref="J72:K72" si="127">J54*$P72/1000</f>
        <v>3.8609565888302429E-4</v>
      </c>
      <c r="K72" s="274">
        <f t="shared" si="127"/>
        <v>1.8769769911348901E-4</v>
      </c>
      <c r="L72" s="274">
        <f t="shared" ref="L72:N72" si="128">L54*$P72/1000</f>
        <v>5.283886950465841E-5</v>
      </c>
      <c r="M72" s="274">
        <f t="shared" si="128"/>
        <v>0</v>
      </c>
      <c r="N72" s="274">
        <f t="shared" si="128"/>
        <v>0</v>
      </c>
      <c r="P72" s="144">
        <f>INDEX([15]GWPs!$I$8:$I$40,MATCH(B72,[15]GWPs!$H$8:$H$40,0))</f>
        <v>7670</v>
      </c>
      <c r="Q72" s="42"/>
    </row>
    <row r="73" spans="1:36">
      <c r="A73" s="42"/>
      <c r="B73" s="102" t="s">
        <v>324</v>
      </c>
      <c r="C73" s="274">
        <f t="shared" ref="C73:I73" si="129">C55*$P73/1000</f>
        <v>3.7304886469684218E-2</v>
      </c>
      <c r="D73" s="274">
        <f t="shared" ref="D73" si="130">D55*$P73/1000</f>
        <v>0</v>
      </c>
      <c r="E73" s="274">
        <f t="shared" si="129"/>
        <v>0</v>
      </c>
      <c r="F73" s="274">
        <f t="shared" si="129"/>
        <v>0</v>
      </c>
      <c r="G73" s="274">
        <f t="shared" si="129"/>
        <v>0</v>
      </c>
      <c r="H73" s="274">
        <f t="shared" si="114"/>
        <v>0</v>
      </c>
      <c r="I73" s="274">
        <f t="shared" si="129"/>
        <v>0</v>
      </c>
      <c r="J73" s="274">
        <f t="shared" ref="J73:K73" si="131">J55*$P73/1000</f>
        <v>0</v>
      </c>
      <c r="K73" s="274">
        <f t="shared" si="131"/>
        <v>0</v>
      </c>
      <c r="L73" s="274">
        <f t="shared" ref="L73:N73" si="132">L55*$P73/1000</f>
        <v>0</v>
      </c>
      <c r="M73" s="274">
        <f t="shared" si="132"/>
        <v>0</v>
      </c>
      <c r="N73" s="274">
        <f t="shared" si="132"/>
        <v>0</v>
      </c>
      <c r="P73" s="144">
        <f>INDEX([15]GWPs!$I$8:$I$40,MATCH(B73,[15]GWPs!$H$8:$H$40,0))</f>
        <v>1730</v>
      </c>
      <c r="Q73" s="42"/>
    </row>
    <row r="74" spans="1:36">
      <c r="A74" s="42"/>
      <c r="B74" s="102" t="s">
        <v>325</v>
      </c>
      <c r="C74" s="274">
        <f t="shared" ref="C74:I74" si="133">C56*$P74/1000</f>
        <v>0.17935101067147813</v>
      </c>
      <c r="D74" s="274">
        <f t="shared" ref="D74" si="134">D56*$P74/1000</f>
        <v>0</v>
      </c>
      <c r="E74" s="274">
        <f t="shared" si="133"/>
        <v>0</v>
      </c>
      <c r="F74" s="274">
        <f t="shared" si="133"/>
        <v>0</v>
      </c>
      <c r="G74" s="274">
        <f t="shared" si="133"/>
        <v>0</v>
      </c>
      <c r="H74" s="274">
        <f t="shared" si="114"/>
        <v>0</v>
      </c>
      <c r="I74" s="274">
        <f t="shared" si="133"/>
        <v>0</v>
      </c>
      <c r="J74" s="274">
        <f t="shared" ref="J74:K74" si="135">J56*$P74/1000</f>
        <v>0</v>
      </c>
      <c r="K74" s="274">
        <f t="shared" si="135"/>
        <v>0</v>
      </c>
      <c r="L74" s="274">
        <f t="shared" ref="L74:N74" si="136">L56*$P74/1000</f>
        <v>0</v>
      </c>
      <c r="M74" s="274">
        <f t="shared" si="136"/>
        <v>0</v>
      </c>
      <c r="N74" s="274">
        <f t="shared" si="136"/>
        <v>0</v>
      </c>
      <c r="P74" s="144">
        <f>INDEX([15]GWPs!$I$8:$I$40,MATCH(B74,[15]GWPs!$H$8:$H$40,0))</f>
        <v>160</v>
      </c>
      <c r="Q74" s="42"/>
    </row>
    <row r="75" spans="1:36">
      <c r="A75" s="42"/>
      <c r="B75" s="102" t="s">
        <v>327</v>
      </c>
      <c r="C75" s="274">
        <f t="shared" ref="C75:I75" si="137">C57*$P75/1000</f>
        <v>1.9910881609873605E-2</v>
      </c>
      <c r="D75" s="274">
        <f t="shared" ref="D75" si="138">D57*$P75/1000</f>
        <v>5.2648398356127529E-3</v>
      </c>
      <c r="E75" s="274">
        <f t="shared" si="137"/>
        <v>5.0315835581736393E-3</v>
      </c>
      <c r="F75" s="274">
        <f t="shared" si="137"/>
        <v>4.620379021830618E-3</v>
      </c>
      <c r="G75" s="274">
        <f t="shared" si="137"/>
        <v>3.8641188581205062E-3</v>
      </c>
      <c r="H75" s="274">
        <f t="shared" si="114"/>
        <v>3.6231371257292363E-3</v>
      </c>
      <c r="I75" s="274">
        <f t="shared" si="137"/>
        <v>3.3651381036805344E-3</v>
      </c>
      <c r="J75" s="274">
        <f t="shared" ref="J75:K75" si="139">J57*$P75/1000</f>
        <v>3.0843743274558306E-3</v>
      </c>
      <c r="K75" s="274">
        <f t="shared" si="139"/>
        <v>2.7968136397534225E-3</v>
      </c>
      <c r="L75" s="274">
        <f t="shared" ref="L75:N75" si="140">L57*$P75/1000</f>
        <v>2.2839652237325622E-3</v>
      </c>
      <c r="M75" s="274">
        <f t="shared" si="140"/>
        <v>2.1755919007851285E-3</v>
      </c>
      <c r="N75" s="274">
        <f t="shared" si="140"/>
        <v>1.9914949639494046E-3</v>
      </c>
      <c r="P75" s="144">
        <f>INDEX([15]GWPs!$I$8:$I$40,MATCH(B75,[15]GWPs!$H$8:$H$40,0))</f>
        <v>1750</v>
      </c>
      <c r="Q75" s="42"/>
    </row>
    <row r="76" spans="1:36">
      <c r="A76" s="42"/>
      <c r="B76" s="102" t="s">
        <v>328</v>
      </c>
      <c r="C76" s="274">
        <f t="shared" ref="C76:I76" si="141">C58*$P76/1000</f>
        <v>5.4296202211200538E-2</v>
      </c>
      <c r="D76" s="274">
        <f t="shared" ref="D76" si="142">D58*$P76/1000</f>
        <v>1.4705558472706977E-2</v>
      </c>
      <c r="E76" s="274">
        <f t="shared" si="141"/>
        <v>1.4253046952682428E-2</v>
      </c>
      <c r="F76" s="274">
        <f t="shared" si="141"/>
        <v>1.3649635798573291E-2</v>
      </c>
      <c r="G76" s="274">
        <f t="shared" si="141"/>
        <v>1.3309187902547329E-2</v>
      </c>
      <c r="H76" s="274">
        <f t="shared" si="114"/>
        <v>1.3127352887381939E-2</v>
      </c>
      <c r="I76" s="274">
        <f t="shared" si="141"/>
        <v>1.2954345104627575E-2</v>
      </c>
      <c r="J76" s="274">
        <f t="shared" ref="J76:K76" si="143">J58*$P76/1000</f>
        <v>1.2605514854718679E-2</v>
      </c>
      <c r="K76" s="274">
        <f t="shared" si="143"/>
        <v>1.0932039642741944E-2</v>
      </c>
      <c r="L76" s="274">
        <f t="shared" ref="L76:N76" si="144">L58*$P76/1000</f>
        <v>8.3847798150460586E-3</v>
      </c>
      <c r="M76" s="274">
        <f t="shared" si="144"/>
        <v>7.1591381639917861E-3</v>
      </c>
      <c r="N76" s="274">
        <f t="shared" si="144"/>
        <v>5.9007310208178581E-3</v>
      </c>
      <c r="P76" s="144">
        <f>INDEX([15]GWPs!$I$8:$I$40,MATCH(B76,[15]GWPs!$H$8:$H$40,0))</f>
        <v>6290</v>
      </c>
      <c r="Q76" s="42"/>
    </row>
    <row r="77" spans="1:36">
      <c r="A77" s="42"/>
      <c r="B77" s="102" t="s">
        <v>329</v>
      </c>
      <c r="C77" s="274">
        <f t="shared" ref="C77:I77" si="145">C59*$P77/1000</f>
        <v>0.27088816810675098</v>
      </c>
      <c r="D77" s="274">
        <f t="shared" ref="D77" si="146">D59*$P77/1000</f>
        <v>0.62474554559894613</v>
      </c>
      <c r="E77" s="274">
        <f t="shared" si="145"/>
        <v>0.64126399909345222</v>
      </c>
      <c r="F77" s="274">
        <f t="shared" si="145"/>
        <v>0.59958046260636655</v>
      </c>
      <c r="G77" s="274">
        <f t="shared" si="145"/>
        <v>0.50501622574658822</v>
      </c>
      <c r="H77" s="274">
        <f t="shared" si="114"/>
        <v>0.47733531963652998</v>
      </c>
      <c r="I77" s="274">
        <f t="shared" si="145"/>
        <v>0.44603132893792369</v>
      </c>
      <c r="J77" s="274">
        <f t="shared" ref="J77:K77" si="147">J59*$P77/1000</f>
        <v>0.4135687211503784</v>
      </c>
      <c r="K77" s="274">
        <f t="shared" si="147"/>
        <v>0.37523743158905593</v>
      </c>
      <c r="L77" s="274">
        <f t="shared" ref="L77:N77" si="148">L59*$P77/1000</f>
        <v>0.31569263176846796</v>
      </c>
      <c r="M77" s="274">
        <f t="shared" si="148"/>
        <v>0.27934485369091477</v>
      </c>
      <c r="N77" s="274">
        <f t="shared" si="148"/>
        <v>0.23837755419277781</v>
      </c>
      <c r="P77" s="144">
        <f>INDEX([15]GWPs!$I$8:$I$40,MATCH(B77,[15]GWPs!$H$8:$H$40,0))</f>
        <v>1760</v>
      </c>
      <c r="Q77" s="42"/>
    </row>
    <row r="78" spans="1:36">
      <c r="A78" s="42"/>
      <c r="B78" s="102" t="s">
        <v>330</v>
      </c>
      <c r="C78" s="274">
        <f t="shared" ref="C78:I78" si="149">C60*$P78/1000</f>
        <v>0</v>
      </c>
      <c r="D78" s="274">
        <f t="shared" ref="D78" si="150">D60*$P78/1000</f>
        <v>3.052955780370564E-4</v>
      </c>
      <c r="E78" s="274">
        <f t="shared" si="149"/>
        <v>3.0560296293811318E-4</v>
      </c>
      <c r="F78" s="274">
        <f t="shared" si="149"/>
        <v>3.1101347194661418E-4</v>
      </c>
      <c r="G78" s="274">
        <f t="shared" si="149"/>
        <v>3.1548595416355893E-4</v>
      </c>
      <c r="H78" s="274">
        <f t="shared" si="114"/>
        <v>3.1034209402345619E-4</v>
      </c>
      <c r="I78" s="274">
        <f t="shared" si="149"/>
        <v>3.0318693509456243E-4</v>
      </c>
      <c r="J78" s="274">
        <f t="shared" ref="J78:K78" si="151">J60*$P78/1000</f>
        <v>3.1190816694935989E-4</v>
      </c>
      <c r="K78" s="274">
        <f t="shared" si="151"/>
        <v>3.1028968240455484E-4</v>
      </c>
      <c r="L78" s="274">
        <f t="shared" ref="L78:N78" si="152">L60*$P78/1000</f>
        <v>2.7005598185646115E-4</v>
      </c>
      <c r="M78" s="274">
        <f t="shared" si="152"/>
        <v>2.7551605897257764E-4</v>
      </c>
      <c r="N78" s="274">
        <f t="shared" si="152"/>
        <v>2.6887999084665047E-4</v>
      </c>
      <c r="P78" s="144">
        <f>INDEX([15]GWPs!$I$8:$I$40,MATCH(B78,[15]GWPs!$H$8:$H$40,0))</f>
        <v>79</v>
      </c>
      <c r="Q78" s="42"/>
    </row>
    <row r="79" spans="1:36">
      <c r="A79" s="42"/>
      <c r="B79" s="102" t="s">
        <v>331</v>
      </c>
      <c r="C79" s="274">
        <f t="shared" ref="C79:I79" si="153">C61*$P79/1000</f>
        <v>0</v>
      </c>
      <c r="D79" s="274">
        <f t="shared" ref="D79" si="154">D61*$P79/1000</f>
        <v>4.1583682211756238E-3</v>
      </c>
      <c r="E79" s="274">
        <f t="shared" si="153"/>
        <v>4.1258931416384417E-3</v>
      </c>
      <c r="F79" s="274">
        <f t="shared" si="153"/>
        <v>1.7465895760143549E-3</v>
      </c>
      <c r="G79" s="274">
        <f t="shared" si="153"/>
        <v>1.2377744229533878E-5</v>
      </c>
      <c r="H79" s="274">
        <f t="shared" si="114"/>
        <v>1.2446606130106917E-5</v>
      </c>
      <c r="I79" s="274">
        <f t="shared" si="153"/>
        <v>1.243296931441898E-5</v>
      </c>
      <c r="J79" s="274">
        <f t="shared" ref="J79:K79" si="155">J61*$P79/1000</f>
        <v>1.228313477947723E-5</v>
      </c>
      <c r="K79" s="274">
        <f t="shared" si="155"/>
        <v>1.2010069481791084E-5</v>
      </c>
      <c r="L79" s="274">
        <f t="shared" ref="L79:N79" si="156">L61*$P79/1000</f>
        <v>1.1468594573518157E-5</v>
      </c>
      <c r="M79" s="274">
        <f t="shared" si="156"/>
        <v>1.1764881713706644E-5</v>
      </c>
      <c r="N79" s="274">
        <f t="shared" si="156"/>
        <v>9.0010457830563426E-6</v>
      </c>
      <c r="P79" s="144">
        <f>INDEX([15]GWPs!$I$8:$I$40,MATCH(B79,[15]GWPs!$H$8:$H$40,0))</f>
        <v>527</v>
      </c>
      <c r="Q79" s="42"/>
    </row>
    <row r="80" spans="1:36">
      <c r="A80" s="42"/>
      <c r="B80" s="102" t="s">
        <v>332</v>
      </c>
      <c r="C80" s="274">
        <f t="shared" ref="C80:I80" si="157">C62*$P80/1000</f>
        <v>3.8154327795569998E-3</v>
      </c>
      <c r="D80" s="274">
        <f t="shared" ref="D80" si="158">D62*$P80/1000</f>
        <v>1.3180334393838903E-2</v>
      </c>
      <c r="E80" s="274">
        <f t="shared" si="157"/>
        <v>1.7677916611362185E-2</v>
      </c>
      <c r="F80" s="274">
        <f t="shared" si="157"/>
        <v>2.9284083627174738E-2</v>
      </c>
      <c r="G80" s="274">
        <f t="shared" si="157"/>
        <v>3.3399517737693604E-2</v>
      </c>
      <c r="H80" s="274">
        <f t="shared" si="114"/>
        <v>3.0990023351036861E-2</v>
      </c>
      <c r="I80" s="274">
        <f t="shared" si="157"/>
        <v>2.776131903435702E-2</v>
      </c>
      <c r="J80" s="274">
        <f t="shared" ref="J80:K80" si="159">J62*$P80/1000</f>
        <v>2.6920013018602151E-2</v>
      </c>
      <c r="K80" s="274">
        <f t="shared" si="159"/>
        <v>2.6533547557849042E-2</v>
      </c>
      <c r="L80" s="274">
        <f t="shared" ref="L80:N80" si="160">L62*$P80/1000</f>
        <v>2.3486533879675947E-2</v>
      </c>
      <c r="M80" s="274">
        <f t="shared" si="160"/>
        <v>2.4356220762218706E-2</v>
      </c>
      <c r="N80" s="274">
        <f t="shared" si="160"/>
        <v>2.4289161417386785E-2</v>
      </c>
      <c r="P80" s="144">
        <f>INDEX([15]GWPs!$I$8:$I$40,MATCH(B80,[15]GWPs!$H$8:$H$40,0))</f>
        <v>782</v>
      </c>
      <c r="Q80" s="42"/>
    </row>
    <row r="81" spans="1:17">
      <c r="A81" s="42"/>
      <c r="B81" s="102" t="s">
        <v>333</v>
      </c>
      <c r="C81" s="274">
        <f t="shared" ref="C81:I81" si="161">C63*$P81/1000</f>
        <v>1.2648752700395244E-2</v>
      </c>
      <c r="D81" s="274">
        <f t="shared" ref="D81" si="162">D63*$P81/1000</f>
        <v>3.8817315256798816E-2</v>
      </c>
      <c r="E81" s="274">
        <f t="shared" si="161"/>
        <v>3.991532437893805E-2</v>
      </c>
      <c r="F81" s="274">
        <f t="shared" si="161"/>
        <v>1.4307166010501185E-2</v>
      </c>
      <c r="G81" s="274">
        <f t="shared" si="161"/>
        <v>2.2050494192577038E-2</v>
      </c>
      <c r="H81" s="274">
        <f t="shared" si="114"/>
        <v>2.804739970633793E-2</v>
      </c>
      <c r="I81" s="274">
        <f t="shared" si="161"/>
        <v>3.4299005399832889E-2</v>
      </c>
      <c r="J81" s="274">
        <f t="shared" ref="J81:K81" si="163">J63*$P81/1000</f>
        <v>4.0731667227050287E-2</v>
      </c>
      <c r="K81" s="274">
        <f t="shared" si="163"/>
        <v>4.7120764534297852E-2</v>
      </c>
      <c r="L81" s="274">
        <f t="shared" ref="L81:N81" si="164">L63*$P81/1000</f>
        <v>4.2783033549839436E-2</v>
      </c>
      <c r="M81" s="274">
        <f t="shared" si="164"/>
        <v>4.5415174796448167E-2</v>
      </c>
      <c r="N81" s="274">
        <f t="shared" si="164"/>
        <v>4.662149716574028E-2</v>
      </c>
      <c r="P81" s="144">
        <f>INDEX([15]GWPs!$I$8:$I$40,MATCH(B81,[15]GWPs!$H$8:$H$40,0))</f>
        <v>1980</v>
      </c>
      <c r="Q81" s="42"/>
    </row>
    <row r="82" spans="1:17">
      <c r="A82" s="42"/>
      <c r="B82" s="102" t="s">
        <v>334</v>
      </c>
      <c r="C82" s="274">
        <f t="shared" ref="C82:I82" si="165">C64*$P82/1000</f>
        <v>0</v>
      </c>
      <c r="D82" s="274">
        <f t="shared" ref="D82" si="166">D64*$P82/1000</f>
        <v>3.874784652959544E-4</v>
      </c>
      <c r="E82" s="274">
        <f t="shared" si="165"/>
        <v>4.0134396391095038E-4</v>
      </c>
      <c r="F82" s="274">
        <f t="shared" si="165"/>
        <v>4.2497634560572647E-4</v>
      </c>
      <c r="G82" s="274">
        <f t="shared" si="165"/>
        <v>4.9217781119248634E-4</v>
      </c>
      <c r="H82" s="274">
        <f t="shared" si="114"/>
        <v>5.026357068352819E-4</v>
      </c>
      <c r="I82" s="274">
        <f t="shared" si="165"/>
        <v>5.1359532504985329E-4</v>
      </c>
      <c r="J82" s="274">
        <f t="shared" ref="J82:K82" si="167">J64*$P82/1000</f>
        <v>5.243531609356348E-4</v>
      </c>
      <c r="K82" s="274">
        <f t="shared" si="167"/>
        <v>5.3188335365357304E-4</v>
      </c>
      <c r="L82" s="274">
        <f t="shared" ref="L82:N82" si="168">L64*$P82/1000</f>
        <v>4.8800963282143877E-4</v>
      </c>
      <c r="M82" s="274">
        <f t="shared" si="168"/>
        <v>5.245535959653401E-4</v>
      </c>
      <c r="N82" s="274">
        <f t="shared" si="168"/>
        <v>5.4411227386445761E-4</v>
      </c>
      <c r="P82" s="144">
        <f>INDEX([15]GWPs!$I$8:$I$40,MATCH(B82,[15]GWPs!$H$8:$H$40,0))</f>
        <v>326</v>
      </c>
      <c r="Q82" s="42"/>
    </row>
    <row r="83" spans="1:17">
      <c r="B83" s="93" t="s">
        <v>340</v>
      </c>
      <c r="C83" s="275">
        <f>SUM(C68:C82)</f>
        <v>10.406179141361914</v>
      </c>
      <c r="D83" s="275">
        <f>SUM(D68:D82)</f>
        <v>2.6917065723833007</v>
      </c>
      <c r="E83" s="275">
        <f t="shared" ref="E83:I83" si="169">SUM(E68:E82)</f>
        <v>2.0916220170647475</v>
      </c>
      <c r="F83" s="275">
        <f t="shared" si="169"/>
        <v>1.37168831860305</v>
      </c>
      <c r="G83" s="275">
        <f t="shared" si="169"/>
        <v>0.92042622013494269</v>
      </c>
      <c r="H83" s="275">
        <f>SUM(H68:H82)</f>
        <v>0.84653427352069333</v>
      </c>
      <c r="I83" s="275">
        <f t="shared" si="169"/>
        <v>0.7805440354148514</v>
      </c>
      <c r="J83" s="275">
        <f t="shared" ref="J83:K83" si="170">SUM(J68:J82)</f>
        <v>0.70148463226520164</v>
      </c>
      <c r="K83" s="275">
        <f t="shared" si="170"/>
        <v>0.61887590493067401</v>
      </c>
      <c r="L83" s="275">
        <f t="shared" ref="L83" si="171">SUM(L68:L82)</f>
        <v>0.52902657135286213</v>
      </c>
      <c r="M83" s="275">
        <f>SUM(M68:M82)</f>
        <v>0.4910369794203705</v>
      </c>
      <c r="N83" s="275">
        <f>SUM(N68:N82)</f>
        <v>0.44201728503760934</v>
      </c>
      <c r="P83" s="1" t="s">
        <v>341</v>
      </c>
    </row>
    <row r="84" spans="1:17" ht="12.75" customHeight="1">
      <c r="P84" s="1"/>
    </row>
  </sheetData>
  <conditionalFormatting sqref="I5:N5">
    <cfRule type="expression" dxfId="13" priority="2" stopIfTrue="1">
      <formula>RiskIsOutput</formula>
    </cfRule>
  </conditionalFormatting>
  <pageMargins left="0.7" right="0.7" top="0.75" bottom="0.75" header="0.3" footer="0.3"/>
  <pageSetup orientation="portrait" r:id="rId1"/>
  <legacy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theme="0" tint="-0.34998626667073579"/>
  </sheetPr>
  <dimension ref="A1:N6"/>
  <sheetViews>
    <sheetView tabSelected="1" zoomScaleNormal="100" workbookViewId="0">
      <selection activeCell="D3" sqref="D3"/>
    </sheetView>
  </sheetViews>
  <sheetFormatPr defaultRowHeight="12.75"/>
  <cols>
    <col min="1" max="1" width="40.42578125" customWidth="1"/>
  </cols>
  <sheetData>
    <row r="1" spans="1:14" s="52" customFormat="1" ht="18.75">
      <c r="A1" s="83" t="s">
        <v>342</v>
      </c>
      <c r="B1" s="50"/>
      <c r="C1" s="50"/>
      <c r="D1" s="51"/>
      <c r="E1" s="51"/>
      <c r="F1" s="51"/>
      <c r="G1" s="51"/>
      <c r="H1" s="51"/>
      <c r="I1" s="51"/>
      <c r="J1" s="51"/>
      <c r="K1" s="51"/>
      <c r="L1" s="51"/>
    </row>
    <row r="3" spans="1:14" s="42" customFormat="1">
      <c r="B3" s="43">
        <v>1990</v>
      </c>
      <c r="C3" s="43">
        <v>2005</v>
      </c>
      <c r="D3" s="43">
        <v>2007</v>
      </c>
      <c r="E3" s="43">
        <v>2010</v>
      </c>
      <c r="F3" s="43">
        <v>2015</v>
      </c>
      <c r="G3" s="43">
        <v>2016</v>
      </c>
      <c r="H3" s="43">
        <v>2017</v>
      </c>
      <c r="I3" s="43">
        <v>2018</v>
      </c>
      <c r="J3" s="43">
        <v>2019</v>
      </c>
      <c r="K3" s="43">
        <v>2020</v>
      </c>
      <c r="L3" s="43">
        <v>2021</v>
      </c>
      <c r="M3" s="43">
        <v>2022</v>
      </c>
    </row>
    <row r="4" spans="1:14" s="42" customFormat="1">
      <c r="A4" s="102" t="s">
        <v>343</v>
      </c>
      <c r="B4" s="103">
        <f>B5+B6</f>
        <v>10.407474289225624</v>
      </c>
      <c r="C4" s="103">
        <f>C5+C6</f>
        <v>3.1535226094994036</v>
      </c>
      <c r="D4" s="103">
        <f t="shared" ref="D4:F4" si="0">D5+D6</f>
        <v>2.614477672449075</v>
      </c>
      <c r="E4" s="103">
        <f t="shared" si="0"/>
        <v>2.0171591903673995</v>
      </c>
      <c r="F4" s="103">
        <f t="shared" si="0"/>
        <v>1.6934720882574381</v>
      </c>
      <c r="G4" s="103">
        <f>G5+G6</f>
        <v>1.6258964326453975</v>
      </c>
      <c r="H4" s="103">
        <f>H5+H6</f>
        <v>1.5626269556538366</v>
      </c>
      <c r="I4" s="103">
        <f t="shared" ref="I4" si="1">I5+I6</f>
        <v>1.4914068247207957</v>
      </c>
      <c r="J4" s="103">
        <f>J5+J6</f>
        <v>1.4238511286051041</v>
      </c>
      <c r="K4" s="103">
        <f>K5+K6</f>
        <v>1.279022987328311</v>
      </c>
      <c r="L4" s="103">
        <f>L5+L6</f>
        <v>1.2998682308695808</v>
      </c>
      <c r="M4" s="103">
        <f>M5+M6</f>
        <v>1.2841951224134167</v>
      </c>
      <c r="N4"/>
    </row>
    <row r="5" spans="1:14" s="42" customFormat="1">
      <c r="A5" s="102" t="s">
        <v>344</v>
      </c>
      <c r="B5" s="103">
        <f>HLOOKUP(B3,'ODS Emissions'!$B$67:$N$83,ROWS('ODS Emissions'!$B$67:$B$83),0)</f>
        <v>10.406179141361914</v>
      </c>
      <c r="C5" s="103">
        <f>HLOOKUP(C3,'ODS Emissions'!$B$67:$N$83,ROWS('ODS Emissions'!$B$67:$B$83),0)</f>
        <v>2.6917065723833007</v>
      </c>
      <c r="D5" s="103">
        <f>HLOOKUP(D3,'ODS Emissions'!$B$67:$N$83,ROWS('ODS Emissions'!$B$67:$B$83),0)</f>
        <v>2.0916220170647475</v>
      </c>
      <c r="E5" s="103">
        <f>HLOOKUP(E3,'ODS Emissions'!$B$67:$N$83,ROWS('ODS Emissions'!$B$67:$B$83),0)</f>
        <v>1.37168831860305</v>
      </c>
      <c r="F5" s="103">
        <f>HLOOKUP(F3,'ODS Emissions'!$B$67:$N$83,ROWS('ODS Emissions'!$B$67:$B$83),0)</f>
        <v>0.92042622013494269</v>
      </c>
      <c r="G5" s="103">
        <f>HLOOKUP(G3,'ODS Emissions'!$B$67:$N$83,ROWS('ODS Emissions'!$B$67:$B$83),0)</f>
        <v>0.84653427352069333</v>
      </c>
      <c r="H5" s="103">
        <f>HLOOKUP(H3,'ODS Emissions'!$B$67:$N$83,ROWS('ODS Emissions'!$B$67:$B$83),0)</f>
        <v>0.7805440354148514</v>
      </c>
      <c r="I5" s="103">
        <f>HLOOKUP(I3,'ODS Emissions'!$B$67:$N$83,ROWS('ODS Emissions'!$B$67:$B$83),0)</f>
        <v>0.70148463226520164</v>
      </c>
      <c r="J5" s="103">
        <f>HLOOKUP(J3,'ODS Emissions'!$B$67:$N$83,ROWS('ODS Emissions'!$B$67:$B$83),0)</f>
        <v>0.61887590493067401</v>
      </c>
      <c r="K5" s="103">
        <f>HLOOKUP(K3,'ODS Emissions'!$B$67:$N$83,ROWS('ODS Emissions'!$B$67:$B$83),0)</f>
        <v>0.52902657135286213</v>
      </c>
      <c r="L5" s="103">
        <f>HLOOKUP(L3,'ODS Emissions'!$B$67:$N$83,ROWS('ODS Emissions'!$B$67:$B$83),0)</f>
        <v>0.4910369794203705</v>
      </c>
      <c r="M5" s="103">
        <f>HLOOKUP(M3,'ODS Emissions'!$B$67:$N$83,ROWS('ODS Emissions'!$B$67:$B$83),0)</f>
        <v>0.44201728503760934</v>
      </c>
      <c r="N5"/>
    </row>
    <row r="6" spans="1:14" s="42" customFormat="1">
      <c r="A6" s="102" t="s">
        <v>345</v>
      </c>
      <c r="B6" s="103">
        <f>HLOOKUP(B3,'ODS Subs'!$B$7:$O$29,ROWS('ODS Subs'!$B$7:$B$29),0)</f>
        <v>1.2951478637102561E-3</v>
      </c>
      <c r="C6" s="103">
        <f>HLOOKUP(C3,'ODS Subs'!$B$7:$O$29,ROWS('ODS Subs'!$B$7:$B$29),0)</f>
        <v>0.46181603711610281</v>
      </c>
      <c r="D6" s="103">
        <f>HLOOKUP(D3,'ODS Subs'!$B$7:$O$29,ROWS('ODS Subs'!$B$7:$B$29),0)</f>
        <v>0.52285565538432754</v>
      </c>
      <c r="E6" s="103">
        <f>HLOOKUP(E3,'ODS Subs'!$B$7:$O$29,ROWS('ODS Subs'!$B$7:$B$29),0)</f>
        <v>0.64547087176434936</v>
      </c>
      <c r="F6" s="103">
        <f>HLOOKUP(F3,'ODS Subs'!$B$7:$O$29,ROWS('ODS Subs'!$B$7:$B$29),0)</f>
        <v>0.77304586812249554</v>
      </c>
      <c r="G6" s="103">
        <f>HLOOKUP(G3,'ODS Subs'!$B$7:$O$29,ROWS('ODS Subs'!$B$7:$B$29),0)</f>
        <v>0.77936215912470419</v>
      </c>
      <c r="H6" s="103">
        <f>HLOOKUP(H3,'ODS Subs'!$B$7:$O$29,ROWS('ODS Subs'!$B$7:$B$29),0)</f>
        <v>0.78208292023898518</v>
      </c>
      <c r="I6" s="103">
        <f>HLOOKUP(I3,'ODS Subs'!$B$7:$O$29,ROWS('ODS Subs'!$B$7:$B$29),0)</f>
        <v>0.78992219245559414</v>
      </c>
      <c r="J6" s="103">
        <f>HLOOKUP(J3,'ODS Subs'!$B$7:$O$29,ROWS('ODS Subs'!$B$7:$B$29),0)</f>
        <v>0.80497522367443008</v>
      </c>
      <c r="K6" s="103">
        <f>HLOOKUP(K3,'ODS Subs'!$B$7:$O$29,ROWS('ODS Subs'!$B$7:$B$29),0)</f>
        <v>0.74999641597544886</v>
      </c>
      <c r="L6" s="103">
        <f>HLOOKUP(L3,'ODS Subs'!$B$7:$O$29,ROWS('ODS Subs'!$B$7:$B$29),0)</f>
        <v>0.8088312514492102</v>
      </c>
      <c r="M6" s="103">
        <f>HLOOKUP(M3,'ODS Subs'!$B$7:$O$29,ROWS('ODS Subs'!$B$7:$B$29),0)</f>
        <v>0.84217783737580731</v>
      </c>
      <c r="N6"/>
    </row>
  </sheetData>
  <pageMargins left="0.7" right="0.7" top="0.75" bottom="0.75" header="0.3" footer="0.3"/>
  <drawing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U42"/>
  <sheetViews>
    <sheetView workbookViewId="0"/>
  </sheetViews>
  <sheetFormatPr defaultColWidth="9.28515625" defaultRowHeight="11.25"/>
  <cols>
    <col min="1" max="1" width="29.42578125" style="1" customWidth="1"/>
    <col min="2" max="2" width="12.42578125" style="1" customWidth="1"/>
    <col min="3" max="3" width="11.7109375" style="1" customWidth="1"/>
    <col min="4" max="4" width="21.42578125" style="1" bestFit="1" customWidth="1"/>
    <col min="5" max="5" width="21.7109375" style="1" customWidth="1"/>
    <col min="6" max="6" width="20" style="1" customWidth="1"/>
    <col min="7" max="7" width="21.7109375" style="1" customWidth="1"/>
    <col min="8" max="8" width="26.7109375" style="1" customWidth="1"/>
    <col min="9" max="16384" width="9.28515625" style="1"/>
  </cols>
  <sheetData>
    <row r="1" spans="1:21" ht="23.85" customHeight="1">
      <c r="A1" s="3" t="s">
        <v>346</v>
      </c>
      <c r="E1" s="613" t="s">
        <v>347</v>
      </c>
      <c r="F1" s="614"/>
      <c r="G1" s="614"/>
      <c r="H1" s="615"/>
      <c r="T1" s="1" t="s">
        <v>348</v>
      </c>
    </row>
    <row r="2" spans="1:21" ht="22.5">
      <c r="A2" s="12" t="s">
        <v>349</v>
      </c>
      <c r="B2" s="359" t="s">
        <v>350</v>
      </c>
      <c r="C2" s="360">
        <v>1000</v>
      </c>
      <c r="E2" s="462" t="s">
        <v>351</v>
      </c>
      <c r="F2" s="463" t="s">
        <v>352</v>
      </c>
      <c r="G2" s="463" t="s">
        <v>353</v>
      </c>
      <c r="H2" s="463" t="s">
        <v>354</v>
      </c>
      <c r="T2" s="467" t="s">
        <v>275</v>
      </c>
      <c r="U2" s="467" t="s">
        <v>339</v>
      </c>
    </row>
    <row r="3" spans="1:21">
      <c r="A3" s="12" t="s">
        <v>355</v>
      </c>
      <c r="B3" s="359" t="s">
        <v>350</v>
      </c>
      <c r="C3" s="361">
        <f>0.000001</f>
        <v>9.9999999999999995E-7</v>
      </c>
      <c r="E3" s="464" t="s">
        <v>356</v>
      </c>
      <c r="F3" s="465" t="s">
        <v>357</v>
      </c>
      <c r="G3" s="465" t="s">
        <v>358</v>
      </c>
      <c r="H3" s="466" t="s">
        <v>359</v>
      </c>
      <c r="T3" s="467" t="s">
        <v>360</v>
      </c>
      <c r="U3" s="525">
        <v>23500</v>
      </c>
    </row>
    <row r="4" spans="1:21">
      <c r="A4" s="12" t="s">
        <v>361</v>
      </c>
      <c r="B4" s="359" t="s">
        <v>350</v>
      </c>
      <c r="C4" s="362">
        <v>0.90717999999999999</v>
      </c>
      <c r="E4" s="467" t="s">
        <v>362</v>
      </c>
      <c r="F4" s="468">
        <v>20.48</v>
      </c>
      <c r="G4" s="468">
        <v>28.26</v>
      </c>
      <c r="H4" s="469">
        <v>2122</v>
      </c>
      <c r="T4" s="467" t="s">
        <v>363</v>
      </c>
      <c r="U4" s="525">
        <v>6630</v>
      </c>
    </row>
    <row r="5" spans="1:21">
      <c r="A5" s="12" t="s">
        <v>364</v>
      </c>
      <c r="B5" s="359" t="s">
        <v>350</v>
      </c>
      <c r="C5" s="363">
        <f>1/2000</f>
        <v>5.0000000000000001E-4</v>
      </c>
      <c r="E5" s="467" t="s">
        <v>365</v>
      </c>
      <c r="F5" s="468">
        <v>21.67</v>
      </c>
      <c r="G5" s="468">
        <v>25.49</v>
      </c>
      <c r="H5" s="469">
        <v>2025.6</v>
      </c>
    </row>
    <row r="6" spans="1:21">
      <c r="A6" s="12" t="s">
        <v>366</v>
      </c>
      <c r="B6" s="359" t="s">
        <v>350</v>
      </c>
      <c r="C6" s="363">
        <f>44/12</f>
        <v>3.6666666666666665</v>
      </c>
      <c r="E6" s="467" t="s">
        <v>367</v>
      </c>
      <c r="F6" s="468">
        <v>15.55</v>
      </c>
      <c r="G6" s="468">
        <v>26.48</v>
      </c>
      <c r="H6" s="469">
        <v>1509.7</v>
      </c>
    </row>
    <row r="7" spans="1:21">
      <c r="A7" s="12" t="s">
        <v>368</v>
      </c>
      <c r="B7" s="359" t="s">
        <v>369</v>
      </c>
      <c r="C7" s="363">
        <f>1/2.205</f>
        <v>0.45351473922902491</v>
      </c>
      <c r="E7" s="467" t="s">
        <v>370</v>
      </c>
      <c r="F7" s="468">
        <v>11.67</v>
      </c>
      <c r="G7" s="468">
        <v>26.3</v>
      </c>
      <c r="H7" s="469">
        <v>1125.5999999999999</v>
      </c>
    </row>
    <row r="8" spans="1:21">
      <c r="A8" s="12" t="s">
        <v>371</v>
      </c>
      <c r="B8" s="359" t="s">
        <v>350</v>
      </c>
      <c r="C8" s="363">
        <v>1E-3</v>
      </c>
      <c r="E8" s="467" t="s">
        <v>372</v>
      </c>
      <c r="F8" s="468">
        <v>22.5</v>
      </c>
      <c r="G8" s="468">
        <v>31</v>
      </c>
      <c r="H8" s="469">
        <v>2557</v>
      </c>
    </row>
    <row r="9" spans="1:21">
      <c r="A9" s="12" t="s">
        <v>373</v>
      </c>
      <c r="B9" s="359" t="s">
        <v>350</v>
      </c>
      <c r="C9" s="363">
        <f>1/42</f>
        <v>2.3809523809523808E-2</v>
      </c>
      <c r="E9" s="467" t="s">
        <v>374</v>
      </c>
      <c r="F9" s="468">
        <v>22.68</v>
      </c>
      <c r="G9" s="468">
        <v>25.34</v>
      </c>
      <c r="H9" s="469">
        <v>2106.9</v>
      </c>
    </row>
    <row r="10" spans="1:21">
      <c r="A10" s="12" t="s">
        <v>375</v>
      </c>
      <c r="B10" s="359" t="s">
        <v>350</v>
      </c>
      <c r="C10" s="363">
        <f>1/(2.205*1000)</f>
        <v>4.5351473922902497E-4</v>
      </c>
      <c r="E10" s="464" t="s">
        <v>376</v>
      </c>
      <c r="F10" s="465" t="s">
        <v>377</v>
      </c>
      <c r="G10" s="465" t="s">
        <v>358</v>
      </c>
      <c r="H10" s="466" t="s">
        <v>378</v>
      </c>
    </row>
    <row r="11" spans="1:21">
      <c r="A11" s="12" t="s">
        <v>379</v>
      </c>
      <c r="B11" s="359" t="s">
        <v>350</v>
      </c>
      <c r="C11" s="364">
        <v>2.8320000000000001E-2</v>
      </c>
      <c r="E11" s="467" t="s">
        <v>380</v>
      </c>
      <c r="F11" s="470">
        <v>1030</v>
      </c>
      <c r="G11" s="470">
        <v>14.47</v>
      </c>
      <c r="H11" s="470">
        <v>5.4600000000000003E-2</v>
      </c>
    </row>
    <row r="12" spans="1:21">
      <c r="A12" s="12" t="s">
        <v>381</v>
      </c>
      <c r="B12" s="359" t="s">
        <v>350</v>
      </c>
      <c r="C12" s="365">
        <v>19.260000000000002</v>
      </c>
      <c r="E12" s="464" t="s">
        <v>382</v>
      </c>
      <c r="F12" s="465" t="s">
        <v>383</v>
      </c>
      <c r="G12" s="465" t="s">
        <v>358</v>
      </c>
      <c r="H12" s="466" t="s">
        <v>384</v>
      </c>
    </row>
    <row r="13" spans="1:21">
      <c r="A13" s="12" t="s">
        <v>385</v>
      </c>
      <c r="B13" s="359" t="s">
        <v>350</v>
      </c>
      <c r="C13" s="366">
        <v>1000000</v>
      </c>
      <c r="E13" s="467" t="s">
        <v>386</v>
      </c>
      <c r="F13" s="468">
        <v>5.8</v>
      </c>
      <c r="G13" s="468">
        <v>20.329999999999998</v>
      </c>
      <c r="H13" s="469">
        <v>432.3</v>
      </c>
    </row>
    <row r="14" spans="1:21">
      <c r="A14" s="12" t="s">
        <v>387</v>
      </c>
      <c r="B14" s="359" t="s">
        <v>350</v>
      </c>
      <c r="C14" s="366">
        <f>C11/C12*C13</f>
        <v>1470.4049844236761</v>
      </c>
      <c r="D14" s="367"/>
      <c r="E14" s="467" t="s">
        <v>388</v>
      </c>
      <c r="F14" s="468">
        <v>3.72</v>
      </c>
      <c r="G14" s="468">
        <v>16.989999999999998</v>
      </c>
      <c r="H14" s="469">
        <v>231.9</v>
      </c>
    </row>
    <row r="15" spans="1:21">
      <c r="E15" s="467" t="s">
        <v>389</v>
      </c>
      <c r="F15" s="468">
        <v>5.22</v>
      </c>
      <c r="G15" s="468">
        <v>19.329999999999998</v>
      </c>
      <c r="H15" s="469">
        <v>369.8</v>
      </c>
    </row>
    <row r="16" spans="1:21">
      <c r="E16" s="467" t="s">
        <v>390</v>
      </c>
      <c r="F16" s="468">
        <v>5.05</v>
      </c>
      <c r="G16" s="468">
        <v>18.87</v>
      </c>
      <c r="H16" s="469">
        <v>349.3</v>
      </c>
    </row>
    <row r="17" spans="5:8">
      <c r="E17" s="467" t="s">
        <v>391</v>
      </c>
      <c r="F17" s="468">
        <v>5.67</v>
      </c>
      <c r="G17" s="468">
        <v>19.72</v>
      </c>
      <c r="H17" s="469">
        <v>410</v>
      </c>
    </row>
    <row r="18" spans="5:8">
      <c r="E18" s="467" t="s">
        <v>392</v>
      </c>
      <c r="F18" s="468">
        <v>5.67</v>
      </c>
      <c r="G18" s="468">
        <v>19.329999999999998</v>
      </c>
      <c r="H18" s="469">
        <v>401.9</v>
      </c>
    </row>
    <row r="19" spans="5:8">
      <c r="E19" s="467" t="s">
        <v>393</v>
      </c>
      <c r="F19" s="468">
        <v>5.83</v>
      </c>
      <c r="G19" s="468">
        <v>19.95</v>
      </c>
      <c r="H19" s="469">
        <v>426.1</v>
      </c>
    </row>
    <row r="20" spans="5:8">
      <c r="E20" s="467" t="s">
        <v>394</v>
      </c>
      <c r="F20" s="468">
        <v>6.29</v>
      </c>
      <c r="G20" s="468">
        <v>21.49</v>
      </c>
      <c r="H20" s="469">
        <v>495.4</v>
      </c>
    </row>
    <row r="21" spans="5:8">
      <c r="E21" s="467" t="s">
        <v>395</v>
      </c>
      <c r="F21" s="468">
        <v>5.25</v>
      </c>
      <c r="G21" s="468">
        <v>18.14</v>
      </c>
      <c r="H21" s="469">
        <v>349.1</v>
      </c>
    </row>
    <row r="22" spans="5:8">
      <c r="E22" s="467" t="s">
        <v>396</v>
      </c>
      <c r="F22" s="468">
        <v>6.02</v>
      </c>
      <c r="G22" s="468">
        <v>27.85</v>
      </c>
      <c r="H22" s="469">
        <v>615.20000000000005</v>
      </c>
    </row>
    <row r="23" spans="5:8">
      <c r="E23" s="467" t="s">
        <v>397</v>
      </c>
      <c r="F23" s="468">
        <v>5.83</v>
      </c>
      <c r="G23" s="468">
        <v>19.95</v>
      </c>
      <c r="H23" s="469">
        <v>426.1</v>
      </c>
    </row>
    <row r="24" spans="5:8">
      <c r="E24" s="467" t="s">
        <v>398</v>
      </c>
      <c r="F24" s="468">
        <v>5.25</v>
      </c>
      <c r="G24" s="468">
        <v>19.86</v>
      </c>
      <c r="H24" s="469">
        <v>382.2</v>
      </c>
    </row>
    <row r="25" spans="5:8">
      <c r="E25" s="467" t="s">
        <v>399</v>
      </c>
      <c r="F25" s="468">
        <v>6.07</v>
      </c>
      <c r="G25" s="468">
        <v>20.239999999999998</v>
      </c>
      <c r="H25" s="469">
        <v>450.1</v>
      </c>
    </row>
    <row r="26" spans="5:8">
      <c r="E26" s="467" t="s">
        <v>400</v>
      </c>
      <c r="F26" s="468">
        <v>5.54</v>
      </c>
      <c r="G26" s="468">
        <v>19.809999999999999</v>
      </c>
      <c r="H26" s="469">
        <v>402.2</v>
      </c>
    </row>
    <row r="27" spans="5:8">
      <c r="E27" s="467" t="s">
        <v>401</v>
      </c>
      <c r="F27" s="468">
        <v>6.64</v>
      </c>
      <c r="G27" s="468">
        <v>20.62</v>
      </c>
      <c r="H27" s="469">
        <v>501.7</v>
      </c>
    </row>
    <row r="28" spans="5:8">
      <c r="E28" s="467" t="s">
        <v>402</v>
      </c>
      <c r="F28" s="468">
        <v>6</v>
      </c>
      <c r="G28" s="468">
        <v>17.510000000000002</v>
      </c>
      <c r="H28" s="469">
        <v>385.2</v>
      </c>
    </row>
    <row r="29" spans="5:8">
      <c r="E29" s="467" t="s">
        <v>403</v>
      </c>
      <c r="F29" s="468">
        <v>5.8</v>
      </c>
      <c r="G29" s="468">
        <v>20.329999999999998</v>
      </c>
      <c r="H29" s="469">
        <v>432</v>
      </c>
    </row>
    <row r="42" spans="2:4">
      <c r="B42" s="367"/>
      <c r="C42" s="367"/>
      <c r="D42" s="367"/>
    </row>
  </sheetData>
  <mergeCells count="1">
    <mergeCell ref="E1:H1"/>
  </mergeCells>
  <pageMargins left="0.75" right="0.75" top="1" bottom="1" header="0.5" footer="0.5"/>
  <pageSetup orientation="portrait" r:id="rId1"/>
  <headerFooter alignWithMargins="0"/>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69287A-1B09-4E3D-A2F7-9C044E08CA93}">
  <sheetPr>
    <tabColor rgb="FFFFC000"/>
  </sheetPr>
  <dimension ref="A1:O29"/>
  <sheetViews>
    <sheetView workbookViewId="0">
      <selection activeCell="B13" sqref="B13"/>
    </sheetView>
  </sheetViews>
  <sheetFormatPr defaultRowHeight="12.75"/>
  <cols>
    <col min="1" max="1" width="26.7109375" customWidth="1"/>
    <col min="2" max="2" width="15" customWidth="1"/>
  </cols>
  <sheetData>
    <row r="1" spans="1:15">
      <c r="A1" s="476" t="s">
        <v>404</v>
      </c>
      <c r="B1" s="477"/>
      <c r="C1" s="477"/>
      <c r="D1" s="477"/>
      <c r="E1" s="477"/>
      <c r="F1" s="477"/>
      <c r="G1" s="477"/>
      <c r="H1" s="477"/>
      <c r="I1" s="477"/>
      <c r="J1" s="477"/>
      <c r="K1" s="477"/>
      <c r="L1" s="477"/>
      <c r="M1" s="477"/>
      <c r="N1" s="477"/>
      <c r="O1" s="477"/>
    </row>
    <row r="3" spans="1:15">
      <c r="A3" s="471" t="s">
        <v>405</v>
      </c>
      <c r="B3" s="559">
        <f>'IPPU Summary'!O41</f>
        <v>0.85362438612636726</v>
      </c>
    </row>
    <row r="4" spans="1:15">
      <c r="A4" s="471" t="s">
        <v>406</v>
      </c>
      <c r="B4" s="560">
        <f>'IPPU Summary'!O30/'IPPU Summary'!O41</f>
        <v>0.98659064931063767</v>
      </c>
    </row>
    <row r="5" spans="1:15">
      <c r="A5" s="471" t="s">
        <v>407</v>
      </c>
      <c r="B5" s="560">
        <f>'IPPU Summary'!O38/'IPPU Summary'!O41</f>
        <v>1.3409350689362264E-2</v>
      </c>
    </row>
    <row r="6" spans="1:15">
      <c r="A6" s="471" t="s">
        <v>408</v>
      </c>
      <c r="B6" s="560">
        <f>'IPPU Summary'!O12/'IPPU Summary'!O41</f>
        <v>0</v>
      </c>
    </row>
    <row r="7" spans="1:15">
      <c r="A7" s="471" t="s">
        <v>409</v>
      </c>
      <c r="B7" s="478">
        <f>B8</f>
        <v>3.7840579720449581</v>
      </c>
      <c r="C7" t="s">
        <v>410</v>
      </c>
    </row>
    <row r="8" spans="1:15">
      <c r="A8" s="471" t="s">
        <v>409</v>
      </c>
      <c r="B8" s="561">
        <f>('IPPU Summary'!O41-'IPPU Summary'!D41)/'IPPU Summary'!D41</f>
        <v>3.7840579720449581</v>
      </c>
      <c r="C8" t="s">
        <v>411</v>
      </c>
    </row>
    <row r="9" spans="1:15">
      <c r="A9" s="471" t="s">
        <v>412</v>
      </c>
      <c r="B9" s="473">
        <f>('IPPU Summary'!E41-'IPPU Summary'!D41)/'IPPU Summary'!D41</f>
        <v>1.780186363779263</v>
      </c>
      <c r="C9" t="s">
        <v>413</v>
      </c>
    </row>
    <row r="10" spans="1:15">
      <c r="A10" s="471" t="s">
        <v>414</v>
      </c>
      <c r="B10" s="560">
        <f>('IPPU Summary'!O41-'IPPU Summary'!E41)/'IPPU Summary'!E41</f>
        <v>0.7207688068585878</v>
      </c>
      <c r="C10" t="s">
        <v>415</v>
      </c>
    </row>
    <row r="11" spans="1:15">
      <c r="A11" s="471" t="s">
        <v>416</v>
      </c>
      <c r="B11" s="560">
        <f>('IPPU Summary'!O33-'IPPU Summary'!D33)/'IPPU Summary'!D33</f>
        <v>-0.84873371331619418</v>
      </c>
    </row>
    <row r="12" spans="1:15">
      <c r="A12" s="471" t="s">
        <v>417</v>
      </c>
      <c r="B12" s="560">
        <f>('IPPU Summary'!O33-'IPPU Summary'!E33)/'IPPU Summary'!E33</f>
        <v>-0.66579432008909323</v>
      </c>
    </row>
    <row r="13" spans="1:15">
      <c r="A13" s="471" t="s">
        <v>418</v>
      </c>
      <c r="B13" s="560">
        <f>('IPPU Summary'!O38-'IPPU Summary'!D38)/'IPPU Summary'!D38</f>
        <v>-0.84873898137234494</v>
      </c>
    </row>
    <row r="14" spans="1:15">
      <c r="A14" s="471" t="s">
        <v>419</v>
      </c>
      <c r="B14" s="560">
        <f>('IPPU Summary'!O38-'IPPU Summary'!E38)/'IPPU Summary'!E38</f>
        <v>-0.66584762460195823</v>
      </c>
    </row>
    <row r="16" spans="1:15">
      <c r="A16" t="s">
        <v>544</v>
      </c>
      <c r="B16">
        <v>1990</v>
      </c>
      <c r="C16">
        <v>2005</v>
      </c>
      <c r="D16">
        <v>2007</v>
      </c>
      <c r="E16">
        <v>2016</v>
      </c>
      <c r="F16">
        <v>2017</v>
      </c>
      <c r="G16">
        <v>2018</v>
      </c>
      <c r="H16">
        <v>2019</v>
      </c>
      <c r="I16">
        <v>2020</v>
      </c>
      <c r="J16">
        <v>2021</v>
      </c>
    </row>
    <row r="17" spans="1:12">
      <c r="A17">
        <v>2021</v>
      </c>
      <c r="B17" s="475">
        <f>INDEX('[22]IPPU Summary'!$D$41:$N$41,1,MATCH(B16,'[22]IPPU Summary'!$D$6:$N$6,0))</f>
        <v>0.17842082647287583</v>
      </c>
      <c r="C17" s="475">
        <f>INDEX('[22]IPPU Summary'!$D$41:$N$41,1,MATCH(C16,'[22]IPPU Summary'!$D$6:$N$6,0))</f>
        <v>0.49585462776008532</v>
      </c>
      <c r="D17" s="475">
        <f>INDEX('[22]IPPU Summary'!$D$41:$N$41,1,MATCH(D16,'[22]IPPU Summary'!$D$6:$N$6,0))</f>
        <v>0.55120340371383669</v>
      </c>
      <c r="E17" s="475">
        <f>INDEX('[22]IPPU Summary'!$D$41:$N$41,1,MATCH(E16,'[22]IPPU Summary'!$D$6:$N$6,0))</f>
        <v>0.79808176670447628</v>
      </c>
      <c r="F17" s="475">
        <f>INDEX('[22]IPPU Summary'!$D$41:$N$41,1,MATCH(F16,'[22]IPPU Summary'!$D$6:$N$6,0))</f>
        <v>0.79900291986355687</v>
      </c>
      <c r="G17" s="475">
        <f>INDEX('[22]IPPU Summary'!$D$41:$N$41,1,MATCH(G16,'[22]IPPU Summary'!$D$6:$N$6,0))</f>
        <v>0.80531172360017611</v>
      </c>
      <c r="H17" s="475">
        <f>INDEX('[22]IPPU Summary'!$D$41:$N$41,1,MATCH(H16,'[22]IPPU Summary'!$D$6:$N$6,0))</f>
        <v>0.82594768180890354</v>
      </c>
      <c r="I17" s="475">
        <f>INDEX('[22]IPPU Summary'!$D$41:$N$41,1,MATCH(I16,'[22]IPPU Summary'!$D$6:$N$6,0))</f>
        <v>0.76691468733328205</v>
      </c>
      <c r="J17" s="475">
        <f>INDEX('[22]IPPU Summary'!$D$41:$N$41,1,MATCH(J16,'[22]IPPU Summary'!$D$6:$N$6,0))</f>
        <v>0.81696677290924946</v>
      </c>
      <c r="K17" s="475"/>
      <c r="L17" s="475"/>
    </row>
    <row r="18" spans="1:12">
      <c r="A18">
        <v>2022</v>
      </c>
      <c r="B18" s="475">
        <f>INDEX('IPPU Summary'!$D$41:$O$41,1,MATCH(B16,'IPPU Summary'!$D$6:$O$6,0))</f>
        <v>0.1784310288701379</v>
      </c>
      <c r="C18" s="475">
        <f>INDEX('IPPU Summary'!$D$41:$O$41,1,MATCH(C16,'IPPU Summary'!$D$6:$O$6,0))</f>
        <v>0.49607151333986138</v>
      </c>
      <c r="D18" s="475">
        <f>INDEX('IPPU Summary'!$D$41:$O$41,1,MATCH(D16,'IPPU Summary'!$D$6:$O$6,0))</f>
        <v>0.55153559617907688</v>
      </c>
      <c r="E18" s="475">
        <f>INDEX('IPPU Summary'!$D$41:$O$41,1,MATCH(E16,'IPPU Summary'!$D$6:$O$6,0))</f>
        <v>0.79268744787572876</v>
      </c>
      <c r="F18" s="475">
        <f>INDEX('IPPU Summary'!$D$41:$O$41,1,MATCH(F16,'IPPU Summary'!$D$6:$O$6,0))</f>
        <v>0.79508686459472289</v>
      </c>
      <c r="G18" s="475">
        <f>INDEX('IPPU Summary'!$D$41:$O$41,1,MATCH(G16,'IPPU Summary'!$D$6:$O$6,0))</f>
        <v>0.80176392239191707</v>
      </c>
      <c r="H18" s="475">
        <f>INDEX('IPPU Summary'!$D$41:$O$41,1,MATCH(H16,'IPPU Summary'!$D$6:$O$6,0))</f>
        <v>0.81970154664644956</v>
      </c>
      <c r="I18" s="475">
        <f>INDEX('IPPU Summary'!$D$41:$O$41,1,MATCH(I16,'IPPU Summary'!$D$6:$O$6,0))</f>
        <v>0.76354237197288033</v>
      </c>
      <c r="J18" s="475">
        <f>INDEX('IPPU Summary'!$D$41:$O$41,1,MATCH(J16,'IPPU Summary'!$D$6:$O$6,0))</f>
        <v>0.82254099319616092</v>
      </c>
    </row>
    <row r="19" spans="1:12">
      <c r="A19" s="474" t="s">
        <v>420</v>
      </c>
      <c r="B19" s="587">
        <f>B18-B17</f>
        <v>1.0202397262071283E-5</v>
      </c>
      <c r="C19" s="587">
        <f>C18-C17</f>
        <v>2.1688557977606049E-4</v>
      </c>
      <c r="D19" s="587">
        <f t="shared" ref="D19:J19" si="0">D18-D17</f>
        <v>3.3219246524018864E-4</v>
      </c>
      <c r="E19" s="587">
        <f t="shared" si="0"/>
        <v>-5.3943188287475241E-3</v>
      </c>
      <c r="F19" s="587">
        <f t="shared" si="0"/>
        <v>-3.9160552688339845E-3</v>
      </c>
      <c r="G19" s="587">
        <f t="shared" si="0"/>
        <v>-3.5478012082590382E-3</v>
      </c>
      <c r="H19" s="587">
        <f t="shared" si="0"/>
        <v>-6.2461351624539807E-3</v>
      </c>
      <c r="I19" s="587">
        <f t="shared" si="0"/>
        <v>-3.3723153604017231E-3</v>
      </c>
      <c r="J19" s="587">
        <f t="shared" si="0"/>
        <v>5.5742202869114577E-3</v>
      </c>
      <c r="K19" s="587"/>
    </row>
    <row r="21" spans="1:12">
      <c r="A21" t="s">
        <v>545</v>
      </c>
      <c r="B21">
        <v>1990</v>
      </c>
      <c r="C21">
        <v>2005</v>
      </c>
      <c r="D21">
        <v>2007</v>
      </c>
      <c r="E21">
        <v>2016</v>
      </c>
      <c r="F21">
        <v>2017</v>
      </c>
      <c r="G21">
        <v>2018</v>
      </c>
      <c r="H21">
        <v>2019</v>
      </c>
      <c r="I21">
        <v>2020</v>
      </c>
      <c r="J21">
        <v>2021</v>
      </c>
    </row>
    <row r="22" spans="1:12">
      <c r="A22" s="479">
        <v>2021</v>
      </c>
      <c r="B22" s="472">
        <f>INDEX('[22]IPPU Summary'!$D$38:$N$38,1,MATCH(B21,'[22]IPPU Summary'!$D$6:$N$6,0))</f>
        <v>7.5674148266427654E-2</v>
      </c>
      <c r="C22" s="472">
        <f>INDEX('[22]IPPU Summary'!$D$38:$N$38,1,MATCH(C21,'[22]IPPU Summary'!$D$6:$N$6,0))</f>
        <v>3.3967615079021032E-2</v>
      </c>
      <c r="D22" s="472">
        <f>INDEX('[22]IPPU Summary'!$D$38:$N$38,1,MATCH(D21,'[22]IPPU Summary'!$D$6:$N$6,0))</f>
        <v>2.8679940794749486E-2</v>
      </c>
      <c r="E22" s="472">
        <f>INDEX('[22]IPPU Summary'!$D$38:$N$38,1,MATCH(E21,'[22]IPPU Summary'!$D$6:$N$6,0))</f>
        <v>1.3818817964025322E-2</v>
      </c>
      <c r="F22" s="472">
        <f>INDEX('[22]IPPU Summary'!$D$38:$N$38,1,MATCH(F21,'[22]IPPU Summary'!$D$6:$N$6,0))</f>
        <v>1.3494659237086416E-2</v>
      </c>
      <c r="G22" s="472">
        <f>INDEX('[22]IPPU Summary'!$D$38:$N$38,1,MATCH(G21,'[22]IPPU Summary'!$D$6:$N$6,0))</f>
        <v>1.2315399133775868E-2</v>
      </c>
      <c r="H22" s="472">
        <f>INDEX('[22]IPPU Summary'!$D$38:$N$38,1,MATCH(H21,'[22]IPPU Summary'!$D$6:$N$6,0))</f>
        <v>1.4726322972019586E-2</v>
      </c>
      <c r="I22" s="472">
        <f>INDEX('[22]IPPU Summary'!$D$38:$N$38,1,MATCH(I21,'[22]IPPU Summary'!$D$6:$N$6,0))</f>
        <v>1.3545955997431502E-2</v>
      </c>
      <c r="J22" s="472">
        <f>INDEX('[22]IPPU Summary'!$D$38:$N$38,1,MATCH(J21,'[22]IPPU Summary'!$D$6:$N$6,0))</f>
        <v>1.3709741746950986E-2</v>
      </c>
    </row>
    <row r="23" spans="1:12">
      <c r="A23">
        <v>2022</v>
      </c>
      <c r="B23" s="472">
        <f>INDEX('IPPU Summary'!$D$38:$O$38,1,MATCH(B21,'IPPU Summary'!$D$6:$O$6,0))</f>
        <v>7.567414826642764E-2</v>
      </c>
      <c r="C23" s="472">
        <f>INDEX('IPPU Summary'!$D$38:$O$38,1,MATCH(C21,'IPPU Summary'!$D$6:$O$6,0))</f>
        <v>3.4255476223758498E-2</v>
      </c>
      <c r="D23" s="472">
        <f>INDEX('IPPU Summary'!$D$38:$O$38,1,MATCH(D21,'IPPU Summary'!$D$6:$O$6,0))</f>
        <v>2.8679940794749489E-2</v>
      </c>
      <c r="E23" s="472">
        <f>INDEX('IPPU Summary'!$D$38:$O$38,1,MATCH(E21,'IPPU Summary'!$D$6:$O$6,0))</f>
        <v>1.3325288751024419E-2</v>
      </c>
      <c r="F23" s="472">
        <f>INDEX('IPPU Summary'!$D$38:$O$38,1,MATCH(F21,'IPPU Summary'!$D$6:$O$6,0))</f>
        <v>1.3003944355737818E-2</v>
      </c>
      <c r="G23" s="472">
        <f>INDEX('IPPU Summary'!$D$38:$O$38,1,MATCH(G21,'IPPU Summary'!$D$6:$O$6,0))</f>
        <v>1.184172993632295E-2</v>
      </c>
      <c r="H23" s="472">
        <f>INDEX('IPPU Summary'!$D$38:$O$38,1,MATCH(H21,'IPPU Summary'!$D$6:$O$6,0))</f>
        <v>1.4726322972019588E-2</v>
      </c>
      <c r="I23" s="472">
        <f>INDEX('IPPU Summary'!$D$38:$O$38,1,MATCH(I21,'IPPU Summary'!$D$6:$O$6,0))</f>
        <v>1.3545955997431502E-2</v>
      </c>
      <c r="J23" s="472">
        <f>INDEX('IPPU Summary'!$D$38:$O$38,1,MATCH(J21,'IPPU Summary'!$D$6:$O$6,0))</f>
        <v>1.3709741746950988E-2</v>
      </c>
    </row>
    <row r="24" spans="1:12">
      <c r="A24" s="474" t="s">
        <v>420</v>
      </c>
      <c r="B24" s="480">
        <f>(B23-B22)/B22</f>
        <v>-1.833887546240312E-16</v>
      </c>
      <c r="C24" s="480">
        <f t="shared" ref="C24:F24" si="1">(C23-C22)/C22</f>
        <v>8.4745762711864129E-3</v>
      </c>
      <c r="D24" s="480">
        <f t="shared" si="1"/>
        <v>1.2097120341994484E-16</v>
      </c>
      <c r="E24" s="480">
        <f t="shared" si="1"/>
        <v>-3.5714285714285608E-2</v>
      </c>
      <c r="F24" s="480">
        <f t="shared" si="1"/>
        <v>-3.6363636363636445E-2</v>
      </c>
      <c r="G24" s="480">
        <f>(G23-G22)/G22</f>
        <v>-3.8461538461538464E-2</v>
      </c>
      <c r="H24" s="480">
        <f>(H23-H22)/H22</f>
        <v>1.1779746235858258E-16</v>
      </c>
      <c r="I24" s="480">
        <f t="shared" ref="I24:J24" si="2">(I23-I22)/I22</f>
        <v>0</v>
      </c>
      <c r="J24" s="480">
        <f t="shared" si="2"/>
        <v>1.2653217748340193E-16</v>
      </c>
    </row>
    <row r="26" spans="1:12">
      <c r="A26" t="s">
        <v>546</v>
      </c>
      <c r="B26">
        <v>1990</v>
      </c>
      <c r="C26">
        <v>2005</v>
      </c>
      <c r="D26">
        <v>2007</v>
      </c>
      <c r="E26">
        <v>2016</v>
      </c>
      <c r="F26">
        <v>2017</v>
      </c>
      <c r="G26">
        <v>2018</v>
      </c>
      <c r="H26">
        <v>2019</v>
      </c>
      <c r="I26">
        <v>2020</v>
      </c>
      <c r="J26">
        <v>2021</v>
      </c>
    </row>
    <row r="27" spans="1:12">
      <c r="A27" s="479">
        <v>2021</v>
      </c>
      <c r="B27" s="472">
        <f>INDEX('[22]IPPU Summary'!$D$30:$N$30,1,MATCH(B26,'[22]IPPU Summary'!$D$6:$N$6,0))</f>
        <v>1.2849454664481742E-3</v>
      </c>
      <c r="C27" s="472">
        <f>INDEX('[22]IPPU Summary'!$D$30:$N$30,1,MATCH(C26,'[22]IPPU Summary'!$D$6:$N$6,0))</f>
        <v>0.4618870126810643</v>
      </c>
      <c r="D27" s="472">
        <f>INDEX('[22]IPPU Summary'!$D$30:$N$30,1,MATCH(D26,'[22]IPPU Summary'!$D$6:$N$6,0))</f>
        <v>0.52252346291908724</v>
      </c>
      <c r="E27" s="472">
        <f>INDEX('[22]IPPU Summary'!$D$30:$N$30,1,MATCH(E26,'[22]IPPU Summary'!$D$6:$N$6,0))</f>
        <v>0.78426294874045099</v>
      </c>
      <c r="F27" s="472">
        <f>INDEX('[22]IPPU Summary'!$D$30:$N$30,1,MATCH(F26,'[22]IPPU Summary'!$D$6:$N$6,0))</f>
        <v>0.7855082606264705</v>
      </c>
      <c r="G27" s="472">
        <f>INDEX('[22]IPPU Summary'!$D$30:$N$30,1,MATCH(G26,'[22]IPPU Summary'!$D$6:$N$6,0))</f>
        <v>0.79299632446640023</v>
      </c>
      <c r="H27" s="472">
        <f>INDEX('[22]IPPU Summary'!$D$30:$N$30,1,MATCH(H26,'[22]IPPU Summary'!$D$6:$N$6,0))</f>
        <v>0.81122135883688395</v>
      </c>
      <c r="I27" s="472">
        <f>INDEX('[22]IPPU Summary'!$D$30:$N$30,1,MATCH(I26,'[22]IPPU Summary'!$D$6:$N$6,0))</f>
        <v>0.75336873133585058</v>
      </c>
      <c r="J27" s="472">
        <f>INDEX('[22]IPPU Summary'!$D$30:$N$30,1,MATCH(J26,'[22]IPPU Summary'!$D$6:$N$6,0))</f>
        <v>0.80325703116229852</v>
      </c>
    </row>
    <row r="28" spans="1:12">
      <c r="A28">
        <v>2022</v>
      </c>
      <c r="B28" s="472">
        <f>INDEX('IPPU Summary'!$D$30:$O$30,1,MATCH(B26,'IPPU Summary'!$D$6:$O$6,0))</f>
        <v>1.2951478637102558E-3</v>
      </c>
      <c r="C28" s="472">
        <f>INDEX('IPPU Summary'!$D$30:$O$30,1,MATCH(C26,'IPPU Summary'!$D$6:$O$6,0))</f>
        <v>0.46181603711610286</v>
      </c>
      <c r="D28" s="472">
        <f>INDEX('IPPU Summary'!$D$30:$O$30,1,MATCH(D26,'IPPU Summary'!$D$6:$O$6,0))</f>
        <v>0.52285565538432743</v>
      </c>
      <c r="E28" s="472">
        <f>INDEX('IPPU Summary'!$D$30:$O$30,1,MATCH(E26,'IPPU Summary'!$D$6:$O$6,0))</f>
        <v>0.7793621591247043</v>
      </c>
      <c r="F28" s="472">
        <f>INDEX('IPPU Summary'!$D$30:$O$30,1,MATCH(F26,'IPPU Summary'!$D$6:$O$6,0))</f>
        <v>0.78208292023898507</v>
      </c>
      <c r="G28" s="472">
        <f>INDEX('IPPU Summary'!$D$30:$O$30,1,MATCH(G26,'IPPU Summary'!$D$6:$O$6,0))</f>
        <v>0.78992219245559414</v>
      </c>
      <c r="H28" s="472">
        <f>INDEX('IPPU Summary'!$D$30:$O$30,1,MATCH(H26,'IPPU Summary'!$D$6:$O$6,0))</f>
        <v>0.80497522367442997</v>
      </c>
      <c r="I28" s="472">
        <f>INDEX('IPPU Summary'!$D$30:$O$30,1,MATCH(I26,'IPPU Summary'!$D$6:$O$6,0))</f>
        <v>0.74999641597544886</v>
      </c>
      <c r="J28" s="472">
        <f>INDEX('IPPU Summary'!$D$30:$O$30,1,MATCH(J26,'IPPU Summary'!$D$6:$O$6,0))</f>
        <v>0.80883125144920998</v>
      </c>
    </row>
    <row r="29" spans="1:12">
      <c r="A29" s="474" t="s">
        <v>420</v>
      </c>
      <c r="B29" s="480">
        <f t="shared" ref="B29:J29" si="3">(B28-B27)/B27</f>
        <v>7.9399457241426715E-3</v>
      </c>
      <c r="C29" s="480">
        <f t="shared" si="3"/>
        <v>-1.5366434433706125E-4</v>
      </c>
      <c r="D29" s="480">
        <f t="shared" si="3"/>
        <v>6.3574650482561899E-4</v>
      </c>
      <c r="E29" s="480">
        <f t="shared" si="3"/>
        <v>-6.2489113168198275E-3</v>
      </c>
      <c r="F29" s="480">
        <f t="shared" si="3"/>
        <v>-4.360667556511248E-3</v>
      </c>
      <c r="G29" s="480">
        <f t="shared" si="3"/>
        <v>-3.8766031013758354E-3</v>
      </c>
      <c r="H29" s="480">
        <f t="shared" si="3"/>
        <v>-7.6996680306958241E-3</v>
      </c>
      <c r="I29" s="480">
        <f t="shared" si="3"/>
        <v>-4.4763144793944871E-3</v>
      </c>
      <c r="J29" s="480">
        <f t="shared" si="3"/>
        <v>6.9395225571143287E-3</v>
      </c>
    </row>
  </sheetData>
  <phoneticPr fontId="139" type="noConversion"/>
  <pageMargins left="0.7" right="0.7" top="0.75" bottom="0.75" header="0.3" footer="0.3"/>
  <pageSetup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rgb="FFFF0000"/>
  </sheetPr>
  <dimension ref="A1:T100"/>
  <sheetViews>
    <sheetView workbookViewId="0">
      <selection activeCell="A20" sqref="A20"/>
    </sheetView>
  </sheetViews>
  <sheetFormatPr defaultColWidth="9.28515625" defaultRowHeight="12.75"/>
  <cols>
    <col min="1" max="1" width="37.42578125" style="352" bestFit="1" customWidth="1"/>
    <col min="2" max="2" width="28.42578125" style="352" hidden="1" customWidth="1"/>
    <col min="3" max="3" width="21" style="352" bestFit="1" customWidth="1"/>
    <col min="4" max="4" width="12.5703125" style="352" customWidth="1"/>
    <col min="5" max="5" width="13.42578125" style="352" customWidth="1"/>
    <col min="6" max="6" width="24.42578125" style="352" customWidth="1"/>
    <col min="7" max="9" width="9.28515625" style="352" customWidth="1"/>
    <col min="10" max="10" width="18.7109375" style="352" customWidth="1"/>
    <col min="11" max="11" width="32.42578125" style="352" customWidth="1"/>
    <col min="12" max="12" width="15.5703125" style="352" bestFit="1" customWidth="1"/>
    <col min="13" max="13" width="14.85546875" style="352" bestFit="1" customWidth="1"/>
    <col min="14" max="14" width="10.5703125" style="352" customWidth="1"/>
    <col min="15" max="15" width="14.5703125" style="352" customWidth="1"/>
    <col min="16" max="17" width="13.42578125" style="352" customWidth="1"/>
    <col min="18" max="18" width="13.5703125" style="352" bestFit="1" customWidth="1"/>
    <col min="19" max="19" width="15.42578125" style="352" customWidth="1"/>
    <col min="20" max="20" width="9.28515625" style="352" customWidth="1"/>
    <col min="21" max="16384" width="9.28515625" style="352"/>
  </cols>
  <sheetData>
    <row r="1" spans="1:20">
      <c r="A1" s="368"/>
      <c r="B1" s="369"/>
      <c r="C1" s="369"/>
      <c r="D1" s="369"/>
      <c r="E1" s="369"/>
      <c r="F1" s="369"/>
      <c r="G1" s="369"/>
      <c r="H1" s="370"/>
      <c r="I1" s="619"/>
      <c r="J1" s="619"/>
      <c r="K1" s="350"/>
      <c r="L1" s="369"/>
      <c r="M1" s="351"/>
      <c r="N1" s="351"/>
      <c r="O1" s="351"/>
      <c r="P1" s="351"/>
      <c r="Q1" s="351"/>
      <c r="R1" s="369"/>
      <c r="S1" s="369"/>
      <c r="T1" s="369"/>
    </row>
    <row r="2" spans="1:20" ht="13.5" thickBot="1">
      <c r="A2" s="371"/>
      <c r="B2" s="372"/>
      <c r="C2" s="372"/>
      <c r="D2" s="372"/>
      <c r="E2" s="372"/>
      <c r="F2" s="372"/>
      <c r="G2" s="372"/>
      <c r="H2" s="373"/>
      <c r="I2" s="620"/>
      <c r="J2" s="620"/>
      <c r="K2" s="353"/>
      <c r="L2" s="372"/>
      <c r="M2" s="372"/>
      <c r="N2" s="372"/>
      <c r="O2" s="372"/>
      <c r="P2" s="372"/>
      <c r="Q2" s="372"/>
      <c r="R2" s="372"/>
      <c r="S2" s="372"/>
      <c r="T2" s="372"/>
    </row>
    <row r="3" spans="1:20" ht="14.25">
      <c r="A3" s="616" t="s">
        <v>421</v>
      </c>
      <c r="B3" s="616" t="s">
        <v>422</v>
      </c>
      <c r="C3" s="616" t="s">
        <v>423</v>
      </c>
      <c r="D3" s="616" t="s">
        <v>424</v>
      </c>
      <c r="E3" s="616" t="s">
        <v>425</v>
      </c>
      <c r="F3" s="616" t="s">
        <v>189</v>
      </c>
      <c r="G3" s="616" t="s">
        <v>426</v>
      </c>
      <c r="H3" s="618" t="s">
        <v>427</v>
      </c>
      <c r="I3" s="618"/>
      <c r="J3" s="616" t="s">
        <v>428</v>
      </c>
      <c r="K3" s="616" t="s">
        <v>429</v>
      </c>
      <c r="L3" s="618" t="s">
        <v>427</v>
      </c>
      <c r="M3" s="618"/>
      <c r="N3" s="411"/>
      <c r="O3" s="411"/>
      <c r="P3" s="411"/>
      <c r="Q3" s="411"/>
      <c r="R3" s="374"/>
      <c r="S3" s="374"/>
      <c r="T3" s="374"/>
    </row>
    <row r="4" spans="1:20" ht="26.25" thickBot="1">
      <c r="A4" s="617"/>
      <c r="B4" s="617"/>
      <c r="C4" s="617"/>
      <c r="D4" s="617"/>
      <c r="E4" s="617"/>
      <c r="F4" s="617"/>
      <c r="G4" s="617"/>
      <c r="H4" s="410" t="s">
        <v>430</v>
      </c>
      <c r="I4" s="410" t="s">
        <v>431</v>
      </c>
      <c r="J4" s="617"/>
      <c r="K4" s="617"/>
      <c r="L4" s="410" t="s">
        <v>430</v>
      </c>
      <c r="M4" s="410" t="s">
        <v>431</v>
      </c>
      <c r="N4" s="410" t="s">
        <v>432</v>
      </c>
      <c r="O4" s="375" t="s">
        <v>433</v>
      </c>
      <c r="P4" s="410" t="s">
        <v>434</v>
      </c>
      <c r="Q4" s="410" t="s">
        <v>435</v>
      </c>
      <c r="R4" s="410" t="s">
        <v>436</v>
      </c>
      <c r="S4" s="376" t="s">
        <v>437</v>
      </c>
      <c r="T4" s="376" t="s">
        <v>438</v>
      </c>
    </row>
    <row r="5" spans="1:20" ht="14.1" customHeight="1">
      <c r="A5" s="374" t="s">
        <v>99</v>
      </c>
      <c r="B5" s="374" t="s">
        <v>45</v>
      </c>
      <c r="C5" s="377" t="s">
        <v>439</v>
      </c>
      <c r="D5" s="378">
        <f>'Cement Data'!AF4</f>
        <v>0</v>
      </c>
      <c r="E5" s="379">
        <v>0</v>
      </c>
      <c r="F5" s="374" t="s">
        <v>440</v>
      </c>
      <c r="G5" s="354" t="s">
        <v>441</v>
      </c>
      <c r="H5" s="380">
        <v>-0.1</v>
      </c>
      <c r="I5" s="380">
        <v>0.1</v>
      </c>
      <c r="J5" s="354" t="s">
        <v>442</v>
      </c>
      <c r="K5" s="374"/>
      <c r="L5" s="381">
        <f t="shared" ref="L5:L22" si="0">(H5*E5)+E5</f>
        <v>0</v>
      </c>
      <c r="M5" s="381">
        <f t="shared" ref="M5:M22" si="1">(E5*I5)+E5</f>
        <v>0</v>
      </c>
      <c r="N5" s="382">
        <v>0.95</v>
      </c>
      <c r="O5" s="383">
        <f t="shared" ref="O5:O12" si="2">(L5+M5)/2</f>
        <v>0</v>
      </c>
      <c r="P5" s="384">
        <f t="shared" ref="P5:P12" si="3">O5-((O5-L5)*50%/(50%-2.5%))</f>
        <v>0</v>
      </c>
      <c r="Q5" s="384">
        <f t="shared" ref="Q5:Q12" si="4">O5+((M5-O5)*50%/(50%-2.5%))</f>
        <v>0</v>
      </c>
      <c r="R5" s="381">
        <f t="shared" ref="R5:R22" si="5">E5*I5/1.96</f>
        <v>0</v>
      </c>
      <c r="S5" s="374">
        <f t="shared" ref="S5:S22" si="6">E5</f>
        <v>0</v>
      </c>
      <c r="T5" s="374" t="e">
        <f ca="1">_xll.RiskNormal($E5,$R5,_xll.RiskName($A5))</f>
        <v>#NAME?</v>
      </c>
    </row>
    <row r="6" spans="1:20" ht="14.1" customHeight="1">
      <c r="A6" s="374" t="s">
        <v>443</v>
      </c>
      <c r="B6" s="374" t="s">
        <v>45</v>
      </c>
      <c r="C6" s="385" t="s">
        <v>444</v>
      </c>
      <c r="D6" s="378">
        <f>clinkerEF</f>
        <v>0.51</v>
      </c>
      <c r="E6" s="379">
        <v>0.51</v>
      </c>
      <c r="F6" s="374" t="s">
        <v>445</v>
      </c>
      <c r="G6" s="354" t="s">
        <v>441</v>
      </c>
      <c r="H6" s="380">
        <v>-0.15</v>
      </c>
      <c r="I6" s="380">
        <v>0.15</v>
      </c>
      <c r="J6" s="354" t="s">
        <v>442</v>
      </c>
      <c r="K6" s="374"/>
      <c r="L6" s="381">
        <f t="shared" si="0"/>
        <v>0.4335</v>
      </c>
      <c r="M6" s="381">
        <f t="shared" si="1"/>
        <v>0.58650000000000002</v>
      </c>
      <c r="N6" s="382">
        <v>0.95</v>
      </c>
      <c r="O6" s="383">
        <f t="shared" si="2"/>
        <v>0.51</v>
      </c>
      <c r="P6" s="384">
        <f t="shared" si="3"/>
        <v>0.42947368421052634</v>
      </c>
      <c r="Q6" s="384">
        <f t="shared" si="4"/>
        <v>0.59052631578947368</v>
      </c>
      <c r="R6" s="381">
        <f t="shared" si="5"/>
        <v>3.9030612244897962E-2</v>
      </c>
      <c r="S6" s="374">
        <f t="shared" si="6"/>
        <v>0.51</v>
      </c>
      <c r="T6" s="374" t="e">
        <f ca="1">_xll.RiskNormal($E6,$R6,_xll.RiskName($A6))</f>
        <v>#NAME?</v>
      </c>
    </row>
    <row r="7" spans="1:20" ht="14.1" customHeight="1">
      <c r="A7" s="481" t="s">
        <v>446</v>
      </c>
      <c r="B7" s="481" t="s">
        <v>45</v>
      </c>
      <c r="C7" s="482" t="s">
        <v>447</v>
      </c>
      <c r="D7" s="483">
        <f>CKDCorrection</f>
        <v>1.02</v>
      </c>
      <c r="E7" s="484">
        <v>1.02</v>
      </c>
      <c r="F7" s="481" t="s">
        <v>448</v>
      </c>
      <c r="G7" s="485" t="s">
        <v>441</v>
      </c>
      <c r="H7" s="486">
        <v>-0.3</v>
      </c>
      <c r="I7" s="486">
        <v>0.3</v>
      </c>
      <c r="J7" s="485" t="s">
        <v>442</v>
      </c>
      <c r="K7" s="481"/>
      <c r="L7" s="487">
        <f t="shared" si="0"/>
        <v>0.71399999999999997</v>
      </c>
      <c r="M7" s="487">
        <f t="shared" si="1"/>
        <v>1.3260000000000001</v>
      </c>
      <c r="N7" s="488">
        <v>0.95</v>
      </c>
      <c r="O7" s="489">
        <f t="shared" si="2"/>
        <v>1.02</v>
      </c>
      <c r="P7" s="490">
        <f t="shared" si="3"/>
        <v>0.69789473684210523</v>
      </c>
      <c r="Q7" s="490">
        <f t="shared" si="4"/>
        <v>1.3421052631578947</v>
      </c>
      <c r="R7" s="487">
        <f t="shared" si="5"/>
        <v>0.15612244897959185</v>
      </c>
      <c r="S7" s="481">
        <f t="shared" si="6"/>
        <v>1.02</v>
      </c>
      <c r="T7" s="481" t="e">
        <f ca="1">_xll.RiskNormal($E7,$R7,_xll.RiskName($A7))</f>
        <v>#NAME?</v>
      </c>
    </row>
    <row r="8" spans="1:20" ht="14.1" customHeight="1">
      <c r="A8" s="374" t="s">
        <v>449</v>
      </c>
      <c r="B8" s="374" t="s">
        <v>450</v>
      </c>
      <c r="C8" s="385" t="s">
        <v>451</v>
      </c>
      <c r="D8" s="387">
        <f>'Electrical T&amp;D Data'!B62</f>
        <v>9200693.8709999993</v>
      </c>
      <c r="E8" s="388">
        <v>9200693.8709999993</v>
      </c>
      <c r="F8" s="374" t="s">
        <v>452</v>
      </c>
      <c r="G8" s="354" t="s">
        <v>441</v>
      </c>
      <c r="H8" s="380">
        <v>-0.15</v>
      </c>
      <c r="I8" s="380">
        <v>0.15</v>
      </c>
      <c r="J8" s="354" t="s">
        <v>453</v>
      </c>
      <c r="K8" s="389" t="s">
        <v>454</v>
      </c>
      <c r="L8" s="381">
        <f t="shared" si="0"/>
        <v>7820589.7903499994</v>
      </c>
      <c r="M8" s="381">
        <f t="shared" si="1"/>
        <v>10580797.951649999</v>
      </c>
      <c r="N8" s="382">
        <v>0.95</v>
      </c>
      <c r="O8" s="390">
        <f t="shared" si="2"/>
        <v>9200693.8709999993</v>
      </c>
      <c r="P8" s="391">
        <f t="shared" si="3"/>
        <v>7747952.7334736837</v>
      </c>
      <c r="Q8" s="391">
        <f t="shared" si="4"/>
        <v>10653435.008526316</v>
      </c>
      <c r="R8" s="381">
        <f t="shared" si="5"/>
        <v>704134.73502551019</v>
      </c>
      <c r="S8" s="374">
        <f t="shared" si="6"/>
        <v>9200693.8709999993</v>
      </c>
      <c r="T8" s="374" t="e">
        <f ca="1">_xll.RiskNormal($E8,$R8,_xll.RiskName($A8))</f>
        <v>#NAME?</v>
      </c>
    </row>
    <row r="9" spans="1:20" ht="14.1" customHeight="1">
      <c r="A9" s="374" t="s">
        <v>455</v>
      </c>
      <c r="B9" s="374" t="s">
        <v>450</v>
      </c>
      <c r="C9" s="387" t="s">
        <v>456</v>
      </c>
      <c r="D9" s="387">
        <f>'Electrical T&amp;D Data'!I107</f>
        <v>3811150463</v>
      </c>
      <c r="E9" s="388">
        <v>3811150463</v>
      </c>
      <c r="F9" s="374" t="s">
        <v>452</v>
      </c>
      <c r="G9" s="354" t="s">
        <v>441</v>
      </c>
      <c r="H9" s="380">
        <v>-0.15</v>
      </c>
      <c r="I9" s="380">
        <v>0.15</v>
      </c>
      <c r="J9" s="354" t="s">
        <v>453</v>
      </c>
      <c r="K9" s="374"/>
      <c r="L9" s="381">
        <f t="shared" si="0"/>
        <v>3239477893.5500002</v>
      </c>
      <c r="M9" s="381">
        <f t="shared" si="1"/>
        <v>4382823032.4499998</v>
      </c>
      <c r="N9" s="382">
        <v>0.95</v>
      </c>
      <c r="O9" s="390">
        <f t="shared" si="2"/>
        <v>3811150463</v>
      </c>
      <c r="P9" s="391">
        <f t="shared" si="3"/>
        <v>3209389863.5789475</v>
      </c>
      <c r="Q9" s="391">
        <f t="shared" si="4"/>
        <v>4412911062.4210529</v>
      </c>
      <c r="R9" s="381">
        <f t="shared" si="5"/>
        <v>291669678.29081631</v>
      </c>
      <c r="S9" s="374">
        <f t="shared" si="6"/>
        <v>3811150463</v>
      </c>
      <c r="T9" s="374" t="e">
        <f ca="1">_xll.RiskNormal($E9,$R9,_xll.RiskName($A9))</f>
        <v>#NAME?</v>
      </c>
    </row>
    <row r="10" spans="1:20">
      <c r="A10" s="481" t="s">
        <v>457</v>
      </c>
      <c r="B10" s="481" t="s">
        <v>450</v>
      </c>
      <c r="C10" s="491" t="s">
        <v>458</v>
      </c>
      <c r="D10" s="492">
        <f>'Electrical T&amp;D Data'!B145</f>
        <v>6.1</v>
      </c>
      <c r="E10" s="493">
        <v>4.2366773362280776</v>
      </c>
      <c r="F10" s="481" t="s">
        <v>459</v>
      </c>
      <c r="G10" s="485" t="s">
        <v>460</v>
      </c>
      <c r="H10" s="486">
        <v>-0.16</v>
      </c>
      <c r="I10" s="486">
        <v>0.18</v>
      </c>
      <c r="J10" s="485" t="s">
        <v>461</v>
      </c>
      <c r="K10" s="481"/>
      <c r="L10" s="487">
        <f t="shared" si="0"/>
        <v>3.5588089624315851</v>
      </c>
      <c r="M10" s="487">
        <f t="shared" si="1"/>
        <v>4.9992792567491318</v>
      </c>
      <c r="N10" s="488">
        <v>0.95</v>
      </c>
      <c r="O10" s="489">
        <f t="shared" si="2"/>
        <v>4.2790441095903589</v>
      </c>
      <c r="P10" s="490">
        <f t="shared" si="3"/>
        <v>3.5209018494232285</v>
      </c>
      <c r="Q10" s="490">
        <f t="shared" si="4"/>
        <v>5.0371863697574879</v>
      </c>
      <c r="R10" s="487">
        <f t="shared" si="5"/>
        <v>0.38908261251074178</v>
      </c>
      <c r="S10" s="481">
        <f t="shared" si="6"/>
        <v>4.2366773362280776</v>
      </c>
      <c r="T10" s="481" t="e">
        <f ca="1">_xll.RiskNormal($E10,$R10,_xll.RiskName($A10))</f>
        <v>#NAME?</v>
      </c>
    </row>
    <row r="11" spans="1:20">
      <c r="A11" s="374" t="s">
        <v>462</v>
      </c>
      <c r="B11" s="374" t="s">
        <v>463</v>
      </c>
      <c r="C11" s="385" t="s">
        <v>464</v>
      </c>
      <c r="D11" s="387">
        <f>'ODS Subs Data'!C157</f>
        <v>1038642</v>
      </c>
      <c r="E11" s="388">
        <v>1038642</v>
      </c>
      <c r="F11" s="374" t="s">
        <v>465</v>
      </c>
      <c r="G11" s="354" t="s">
        <v>441</v>
      </c>
      <c r="H11" s="392">
        <v>-4.0000000000000001E-3</v>
      </c>
      <c r="I11" s="392">
        <v>4.0000000000000001E-3</v>
      </c>
      <c r="J11" s="354" t="s">
        <v>453</v>
      </c>
      <c r="K11" s="374" t="s">
        <v>466</v>
      </c>
      <c r="L11" s="381">
        <f t="shared" si="0"/>
        <v>1034487.432</v>
      </c>
      <c r="M11" s="381">
        <f t="shared" si="1"/>
        <v>1042796.568</v>
      </c>
      <c r="N11" s="382">
        <v>0.95</v>
      </c>
      <c r="O11" s="390">
        <f t="shared" si="2"/>
        <v>1038642</v>
      </c>
      <c r="P11" s="391">
        <f t="shared" si="3"/>
        <v>1034268.7705263158</v>
      </c>
      <c r="Q11" s="391">
        <f t="shared" si="4"/>
        <v>1043015.2294736842</v>
      </c>
      <c r="R11" s="381">
        <f t="shared" si="5"/>
        <v>2119.6775510204084</v>
      </c>
      <c r="S11" s="374">
        <f t="shared" si="6"/>
        <v>1038642</v>
      </c>
      <c r="T11" s="374" t="e">
        <f ca="1">_xll.RiskPert($P11,$E11,$Q11,_xll.RiskName($A11))</f>
        <v>#NAME?</v>
      </c>
    </row>
    <row r="12" spans="1:20">
      <c r="A12" s="374" t="s">
        <v>467</v>
      </c>
      <c r="B12" s="374" t="s">
        <v>463</v>
      </c>
      <c r="C12" s="385" t="s">
        <v>468</v>
      </c>
      <c r="D12" s="387">
        <f>'ODS Subs Data'!D157</f>
        <v>194263</v>
      </c>
      <c r="E12" s="388">
        <v>194263</v>
      </c>
      <c r="F12" s="374" t="s">
        <v>465</v>
      </c>
      <c r="G12" s="354" t="s">
        <v>441</v>
      </c>
      <c r="H12" s="392">
        <v>-4.0000000000000001E-3</v>
      </c>
      <c r="I12" s="392">
        <v>4.0000000000000001E-3</v>
      </c>
      <c r="J12" s="354" t="s">
        <v>453</v>
      </c>
      <c r="K12" s="374" t="s">
        <v>466</v>
      </c>
      <c r="L12" s="381">
        <f t="shared" si="0"/>
        <v>193485.948</v>
      </c>
      <c r="M12" s="381">
        <f t="shared" si="1"/>
        <v>195040.052</v>
      </c>
      <c r="N12" s="382">
        <v>0.95</v>
      </c>
      <c r="O12" s="390">
        <f t="shared" si="2"/>
        <v>194263</v>
      </c>
      <c r="P12" s="391">
        <f t="shared" si="3"/>
        <v>193445.05052631578</v>
      </c>
      <c r="Q12" s="391">
        <f t="shared" si="4"/>
        <v>195080.94947368422</v>
      </c>
      <c r="R12" s="381">
        <f t="shared" si="5"/>
        <v>396.45510204081637</v>
      </c>
      <c r="S12" s="374">
        <f t="shared" si="6"/>
        <v>194263</v>
      </c>
      <c r="T12" s="374" t="e">
        <f ca="1">_xll.RiskNormal($E12,$R12,_xll.RiskName($A12))</f>
        <v>#NAME?</v>
      </c>
    </row>
    <row r="13" spans="1:20">
      <c r="A13" s="374" t="s">
        <v>469</v>
      </c>
      <c r="B13" s="374" t="s">
        <v>463</v>
      </c>
      <c r="C13" s="385" t="s">
        <v>470</v>
      </c>
      <c r="D13" s="387">
        <f>'ODS Subs Data'!B118</f>
        <v>108547710.00088499</v>
      </c>
      <c r="E13" s="388">
        <v>108547710.00088525</v>
      </c>
      <c r="F13" s="374" t="s">
        <v>465</v>
      </c>
      <c r="G13" s="354" t="s">
        <v>441</v>
      </c>
      <c r="H13" s="392">
        <v>-4.0000000000000001E-3</v>
      </c>
      <c r="I13" s="392">
        <v>4.0000000000000001E-3</v>
      </c>
      <c r="J13" s="354" t="s">
        <v>471</v>
      </c>
      <c r="K13" s="374" t="s">
        <v>466</v>
      </c>
      <c r="L13" s="381">
        <f t="shared" si="0"/>
        <v>108113519.16088171</v>
      </c>
      <c r="M13" s="381">
        <f t="shared" si="1"/>
        <v>108981900.84088878</v>
      </c>
      <c r="N13" s="382">
        <v>0.95</v>
      </c>
      <c r="O13" s="390">
        <f t="shared" ref="O13" si="7">(L13+M13)/2</f>
        <v>108547710.00088525</v>
      </c>
      <c r="P13" s="391">
        <f t="shared" ref="P13" si="8">O13-((O13-L13)*50%/(50%-2.5%))</f>
        <v>108090667.01140784</v>
      </c>
      <c r="Q13" s="391">
        <f t="shared" ref="Q13" si="9">O13+((M13-O13)*50%/(50%-2.5%))</f>
        <v>109004752.99036266</v>
      </c>
      <c r="R13" s="381">
        <f t="shared" si="5"/>
        <v>221525.93877731686</v>
      </c>
      <c r="S13" s="374">
        <f t="shared" si="6"/>
        <v>108547710.00088525</v>
      </c>
      <c r="T13" s="374" t="e">
        <f ca="1">_xll.RiskNormal($E13,$R13,_xll.RiskName($A13))</f>
        <v>#NAME?</v>
      </c>
    </row>
    <row r="14" spans="1:20">
      <c r="A14" s="374" t="s">
        <v>472</v>
      </c>
      <c r="B14" s="374" t="s">
        <v>463</v>
      </c>
      <c r="C14" s="385" t="s">
        <v>473</v>
      </c>
      <c r="D14" s="387">
        <f>'ODS Subs Data'!C118</f>
        <v>158352117.15426794</v>
      </c>
      <c r="E14" s="388">
        <v>158352117.15426794</v>
      </c>
      <c r="F14" s="374" t="s">
        <v>465</v>
      </c>
      <c r="G14" s="354" t="s">
        <v>441</v>
      </c>
      <c r="H14" s="392">
        <v>-4.0000000000000001E-3</v>
      </c>
      <c r="I14" s="392">
        <v>4.0000000000000001E-3</v>
      </c>
      <c r="J14" s="354" t="s">
        <v>453</v>
      </c>
      <c r="K14" s="374" t="s">
        <v>466</v>
      </c>
      <c r="L14" s="381">
        <f t="shared" si="0"/>
        <v>157718708.68565086</v>
      </c>
      <c r="M14" s="381">
        <f t="shared" si="1"/>
        <v>158985525.62288502</v>
      </c>
      <c r="N14" s="382">
        <v>0.95</v>
      </c>
      <c r="O14" s="390">
        <f t="shared" ref="O14:O22" si="10">(L14+M14)/2</f>
        <v>158352117.15426794</v>
      </c>
      <c r="P14" s="391">
        <f t="shared" ref="P14:P22" si="11">O14-((O14-L14)*50%/(50%-2.5%))</f>
        <v>157685371.39782891</v>
      </c>
      <c r="Q14" s="391">
        <f t="shared" ref="Q14:Q22" si="12">O14+((M14-O14)*50%/(50%-2.5%))</f>
        <v>159018862.91070697</v>
      </c>
      <c r="R14" s="381">
        <f t="shared" si="5"/>
        <v>323167.58602911822</v>
      </c>
      <c r="S14" s="374">
        <f t="shared" si="6"/>
        <v>158352117.15426794</v>
      </c>
      <c r="T14" s="374" t="e">
        <f ca="1">_xll.RiskNormal($E14,$R14,_xll.RiskName($A14))</f>
        <v>#NAME?</v>
      </c>
    </row>
    <row r="15" spans="1:20">
      <c r="A15" s="374" t="s">
        <v>151</v>
      </c>
      <c r="B15" s="374" t="s">
        <v>463</v>
      </c>
      <c r="C15" s="393" t="s">
        <v>474</v>
      </c>
      <c r="D15" s="387">
        <f>'ODS Subs'!L24</f>
        <v>1632588</v>
      </c>
      <c r="E15" s="388">
        <v>1591832</v>
      </c>
      <c r="F15" s="374" t="s">
        <v>475</v>
      </c>
      <c r="G15" s="354" t="s">
        <v>441</v>
      </c>
      <c r="H15" s="392">
        <v>-1E-3</v>
      </c>
      <c r="I15" s="392">
        <v>1E-3</v>
      </c>
      <c r="J15" s="354" t="s">
        <v>453</v>
      </c>
      <c r="K15" s="374" t="s">
        <v>476</v>
      </c>
      <c r="L15" s="381">
        <f t="shared" si="0"/>
        <v>1590240.1680000001</v>
      </c>
      <c r="M15" s="381">
        <f t="shared" si="1"/>
        <v>1593423.8319999999</v>
      </c>
      <c r="N15" s="382">
        <v>0.95</v>
      </c>
      <c r="O15" s="390">
        <f t="shared" si="10"/>
        <v>1591832</v>
      </c>
      <c r="P15" s="391">
        <f t="shared" si="11"/>
        <v>1590156.3873684211</v>
      </c>
      <c r="Q15" s="391">
        <f t="shared" si="12"/>
        <v>1593507.6126315789</v>
      </c>
      <c r="R15" s="381">
        <f t="shared" si="5"/>
        <v>812.15918367346944</v>
      </c>
      <c r="S15" s="374">
        <f t="shared" si="6"/>
        <v>1591832</v>
      </c>
      <c r="T15" s="374" t="e">
        <f ca="1">_xll.RiskNormal($E15,$R15,_xll.RiskName($A15))</f>
        <v>#NAME?</v>
      </c>
    </row>
    <row r="16" spans="1:20">
      <c r="A16" s="374" t="s">
        <v>477</v>
      </c>
      <c r="B16" s="374" t="s">
        <v>463</v>
      </c>
      <c r="C16" s="385" t="s">
        <v>478</v>
      </c>
      <c r="D16" s="387">
        <f>'ODS Subs Data'!C34</f>
        <v>328329953</v>
      </c>
      <c r="E16" s="388">
        <v>328329953</v>
      </c>
      <c r="F16" s="374" t="s">
        <v>475</v>
      </c>
      <c r="G16" s="354" t="s">
        <v>441</v>
      </c>
      <c r="H16" s="392">
        <v>-1E-3</v>
      </c>
      <c r="I16" s="392">
        <v>1E-3</v>
      </c>
      <c r="J16" s="354" t="s">
        <v>453</v>
      </c>
      <c r="K16" s="374" t="s">
        <v>476</v>
      </c>
      <c r="L16" s="381">
        <f t="shared" si="0"/>
        <v>328001623.04699999</v>
      </c>
      <c r="M16" s="381">
        <f t="shared" si="1"/>
        <v>328658282.95300001</v>
      </c>
      <c r="N16" s="382">
        <v>0.95</v>
      </c>
      <c r="O16" s="390">
        <f t="shared" si="10"/>
        <v>328329953</v>
      </c>
      <c r="P16" s="391">
        <f t="shared" si="11"/>
        <v>327984342.52315789</v>
      </c>
      <c r="Q16" s="391">
        <f t="shared" si="12"/>
        <v>328675563.47684211</v>
      </c>
      <c r="R16" s="381">
        <f t="shared" si="5"/>
        <v>167515.28214285715</v>
      </c>
      <c r="S16" s="374">
        <f t="shared" si="6"/>
        <v>328329953</v>
      </c>
      <c r="T16" s="374" t="e">
        <f ca="1">_xll.RiskNormal($E16,$R16,_xll.RiskName($A16))</f>
        <v>#NAME?</v>
      </c>
    </row>
    <row r="17" spans="1:20">
      <c r="A17" s="374" t="s">
        <v>479</v>
      </c>
      <c r="B17" s="374" t="s">
        <v>463</v>
      </c>
      <c r="C17" s="385" t="s">
        <v>480</v>
      </c>
      <c r="D17" s="378">
        <f>'ODS Subs Data'!AE46</f>
        <v>126.46976433048</v>
      </c>
      <c r="E17" s="379">
        <v>133.44487787965693</v>
      </c>
      <c r="F17" s="374" t="s">
        <v>459</v>
      </c>
      <c r="G17" s="354" t="s">
        <v>460</v>
      </c>
      <c r="H17" s="380">
        <v>-1.1408562399371883E-2</v>
      </c>
      <c r="I17" s="380">
        <v>0.13604915441637522</v>
      </c>
      <c r="J17" s="354" t="s">
        <v>481</v>
      </c>
      <c r="K17" s="374" t="s">
        <v>482</v>
      </c>
      <c r="L17" s="381">
        <f t="shared" si="0"/>
        <v>131.9224636634903</v>
      </c>
      <c r="M17" s="381">
        <f t="shared" si="1"/>
        <v>151.5999406763807</v>
      </c>
      <c r="N17" s="382">
        <v>0.95</v>
      </c>
      <c r="O17" s="383">
        <f t="shared" si="10"/>
        <v>141.7612021699355</v>
      </c>
      <c r="P17" s="384">
        <f t="shared" si="11"/>
        <v>131.40463532104582</v>
      </c>
      <c r="Q17" s="384">
        <f t="shared" si="12"/>
        <v>152.11776901882519</v>
      </c>
      <c r="R17" s="381">
        <f t="shared" si="5"/>
        <v>9.2627871411856013</v>
      </c>
      <c r="S17" s="374">
        <f t="shared" si="6"/>
        <v>133.44487787965693</v>
      </c>
      <c r="T17" s="374" t="e">
        <f ca="1">_xll.RiskPert($P17,$E17,$Q17,_xll.RiskName($A17))</f>
        <v>#NAME?</v>
      </c>
    </row>
    <row r="18" spans="1:20">
      <c r="A18" s="374" t="s">
        <v>483</v>
      </c>
      <c r="B18" s="374" t="s">
        <v>463</v>
      </c>
      <c r="C18" s="385" t="s">
        <v>484</v>
      </c>
      <c r="D18" s="378">
        <f>'ODS Subs Data'!AE47</f>
        <v>26.643254329600001</v>
      </c>
      <c r="E18" s="379">
        <v>36.742690990500002</v>
      </c>
      <c r="F18" s="374" t="s">
        <v>459</v>
      </c>
      <c r="G18" s="354" t="s">
        <v>460</v>
      </c>
      <c r="H18" s="380">
        <v>-1.1408562399371883E-2</v>
      </c>
      <c r="I18" s="380">
        <v>0.13604915441637522</v>
      </c>
      <c r="J18" s="354" t="s">
        <v>481</v>
      </c>
      <c r="K18" s="374" t="s">
        <v>482</v>
      </c>
      <c r="L18" s="381">
        <f t="shared" ref="L18" si="13">(H18*E18)+E18</f>
        <v>36.323509707614043</v>
      </c>
      <c r="M18" s="381">
        <f t="shared" ref="M18" si="14">(E18*I18)+E18</f>
        <v>41.741503030739693</v>
      </c>
      <c r="N18" s="382">
        <v>0.95</v>
      </c>
      <c r="O18" s="383">
        <f t="shared" ref="O18" si="15">(L18+M18)/2</f>
        <v>39.032506369176872</v>
      </c>
      <c r="P18" s="384">
        <f t="shared" ref="P18" si="16">O18-((O18-L18)*50%/(50%-2.5%))</f>
        <v>36.180930935952844</v>
      </c>
      <c r="Q18" s="384">
        <f t="shared" ref="Q18" si="17">O18+((M18-O18)*50%/(50%-2.5%))</f>
        <v>41.884081802400893</v>
      </c>
      <c r="R18" s="381">
        <f t="shared" ref="R18" si="18">E18*I18/1.96</f>
        <v>2.5504143062447415</v>
      </c>
      <c r="S18" s="374">
        <f t="shared" ref="S18" si="19">E18</f>
        <v>36.742690990500002</v>
      </c>
      <c r="T18" s="374" t="e">
        <f ca="1">_xll.RiskPert($P18,$E18,$Q18,_xll.RiskName(#REF!))</f>
        <v>#NAME?</v>
      </c>
    </row>
    <row r="19" spans="1:20">
      <c r="A19" s="374" t="s">
        <v>485</v>
      </c>
      <c r="B19" s="374" t="s">
        <v>463</v>
      </c>
      <c r="C19" s="385" t="s">
        <v>486</v>
      </c>
      <c r="D19" s="378">
        <f>'ODS Subs Data'!AE50</f>
        <v>17.014575400000002</v>
      </c>
      <c r="E19" s="379">
        <v>16.254514839999999</v>
      </c>
      <c r="F19" s="374" t="s">
        <v>459</v>
      </c>
      <c r="G19" s="354" t="s">
        <v>460</v>
      </c>
      <c r="H19" s="380">
        <v>-0.55348115649864982</v>
      </c>
      <c r="I19" s="380">
        <v>0.65433096832355764</v>
      </c>
      <c r="J19" s="354" t="s">
        <v>481</v>
      </c>
      <c r="K19" s="374" t="s">
        <v>482</v>
      </c>
      <c r="L19" s="381">
        <f t="shared" si="0"/>
        <v>7.2579471680323344</v>
      </c>
      <c r="M19" s="381">
        <f t="shared" si="1"/>
        <v>26.890347274886835</v>
      </c>
      <c r="N19" s="382">
        <v>0.95</v>
      </c>
      <c r="O19" s="383">
        <f t="shared" si="10"/>
        <v>17.074147221459583</v>
      </c>
      <c r="P19" s="384">
        <f t="shared" si="11"/>
        <v>6.7413050599572149</v>
      </c>
      <c r="Q19" s="384">
        <f t="shared" si="12"/>
        <v>27.406989382961953</v>
      </c>
      <c r="R19" s="381">
        <f t="shared" si="5"/>
        <v>5.4264451198402224</v>
      </c>
      <c r="S19" s="374">
        <f t="shared" si="6"/>
        <v>16.254514839999999</v>
      </c>
      <c r="T19" s="374" t="e">
        <f ca="1">_xll.RiskPert($P19,$E19,$Q19,_xll.RiskName($A19))</f>
        <v>#NAME?</v>
      </c>
    </row>
    <row r="20" spans="1:20">
      <c r="A20" s="374" t="s">
        <v>487</v>
      </c>
      <c r="B20" s="374" t="s">
        <v>463</v>
      </c>
      <c r="C20" s="385" t="s">
        <v>488</v>
      </c>
      <c r="D20" s="378">
        <f>'ODS Subs Data'!AE51</f>
        <v>14.1360476226</v>
      </c>
      <c r="E20" s="379">
        <v>16.136903094000001</v>
      </c>
      <c r="F20" s="374" t="s">
        <v>459</v>
      </c>
      <c r="G20" s="354" t="s">
        <v>460</v>
      </c>
      <c r="H20" s="380">
        <v>-8.6405734699939118E-2</v>
      </c>
      <c r="I20" s="380">
        <v>6.5735332399711896E-2</v>
      </c>
      <c r="J20" s="354" t="s">
        <v>481</v>
      </c>
      <c r="K20" s="374" t="s">
        <v>482</v>
      </c>
      <c r="L20" s="381">
        <f t="shared" si="0"/>
        <v>14.74258212638121</v>
      </c>
      <c r="M20" s="381">
        <f t="shared" si="1"/>
        <v>17.197667782786031</v>
      </c>
      <c r="N20" s="382">
        <v>0.95</v>
      </c>
      <c r="O20" s="383">
        <f t="shared" si="10"/>
        <v>15.970124954583621</v>
      </c>
      <c r="P20" s="384">
        <f t="shared" si="11"/>
        <v>14.677974609107398</v>
      </c>
      <c r="Q20" s="384">
        <f t="shared" si="12"/>
        <v>17.262275300059841</v>
      </c>
      <c r="R20" s="381">
        <f t="shared" si="5"/>
        <v>0.5412064738704232</v>
      </c>
      <c r="S20" s="374">
        <f t="shared" si="6"/>
        <v>16.136903094000001</v>
      </c>
      <c r="T20" s="374" t="e">
        <f ca="1">_xll.RiskPert($P20,$E20,$Q20,_xll.RiskName($A20))</f>
        <v>#NAME?</v>
      </c>
    </row>
    <row r="21" spans="1:20">
      <c r="A21" s="374" t="s">
        <v>489</v>
      </c>
      <c r="B21" s="374" t="s">
        <v>463</v>
      </c>
      <c r="C21" s="385" t="s">
        <v>490</v>
      </c>
      <c r="D21" s="378">
        <f>'ODS Subs Data'!AE52</f>
        <v>2.0080334999999998</v>
      </c>
      <c r="E21" s="379">
        <v>2.3144109500000001</v>
      </c>
      <c r="F21" s="374" t="s">
        <v>459</v>
      </c>
      <c r="G21" s="354" t="s">
        <v>460</v>
      </c>
      <c r="H21" s="380">
        <v>-0.23989867647363994</v>
      </c>
      <c r="I21" s="380">
        <v>0.10915249231868454</v>
      </c>
      <c r="J21" s="354" t="s">
        <v>481</v>
      </c>
      <c r="K21" s="374" t="s">
        <v>482</v>
      </c>
      <c r="L21" s="381">
        <f t="shared" si="0"/>
        <v>1.7591868262789006</v>
      </c>
      <c r="M21" s="381">
        <f t="shared" si="1"/>
        <v>2.5670346734421545</v>
      </c>
      <c r="N21" s="382">
        <v>0.95</v>
      </c>
      <c r="O21" s="383">
        <f t="shared" si="10"/>
        <v>2.1631107498605275</v>
      </c>
      <c r="P21" s="384">
        <f t="shared" si="11"/>
        <v>1.7379276724061834</v>
      </c>
      <c r="Q21" s="384">
        <f t="shared" si="12"/>
        <v>2.5882938273148719</v>
      </c>
      <c r="R21" s="381">
        <f t="shared" si="5"/>
        <v>0.1288896548174257</v>
      </c>
      <c r="S21" s="374">
        <f t="shared" si="6"/>
        <v>2.3144109500000001</v>
      </c>
      <c r="T21" s="374" t="e">
        <f ca="1">_xll.RiskPert($P21,$E21,$Q21,_xll.RiskName($A21))</f>
        <v>#NAME?</v>
      </c>
    </row>
    <row r="22" spans="1:20">
      <c r="A22" s="374" t="s">
        <v>491</v>
      </c>
      <c r="B22" s="374" t="s">
        <v>463</v>
      </c>
      <c r="C22" s="385" t="s">
        <v>492</v>
      </c>
      <c r="D22" s="378">
        <f>'ODS Subs Data'!AE53</f>
        <v>2.4728295379999996</v>
      </c>
      <c r="E22" s="379">
        <v>2.7553396179999998</v>
      </c>
      <c r="F22" s="374" t="s">
        <v>459</v>
      </c>
      <c r="G22" s="354" t="s">
        <v>460</v>
      </c>
      <c r="H22" s="380">
        <v>-0.17498365877062119</v>
      </c>
      <c r="I22" s="380">
        <v>6.5034162562489006E-2</v>
      </c>
      <c r="J22" s="354" t="s">
        <v>481</v>
      </c>
      <c r="K22" s="374" t="s">
        <v>482</v>
      </c>
      <c r="L22" s="381">
        <f t="shared" si="0"/>
        <v>2.2732002104867139</v>
      </c>
      <c r="M22" s="381">
        <f t="shared" si="1"/>
        <v>2.9345308226318783</v>
      </c>
      <c r="N22" s="382">
        <v>0.95</v>
      </c>
      <c r="O22" s="383">
        <f t="shared" si="10"/>
        <v>2.6038655165592961</v>
      </c>
      <c r="P22" s="384">
        <f t="shared" si="11"/>
        <v>2.2557967733249988</v>
      </c>
      <c r="Q22" s="384">
        <f t="shared" si="12"/>
        <v>2.9519342597935934</v>
      </c>
      <c r="R22" s="381">
        <f t="shared" si="5"/>
        <v>9.1424083995856303E-2</v>
      </c>
      <c r="S22" s="374">
        <f t="shared" si="6"/>
        <v>2.7553396179999998</v>
      </c>
      <c r="T22" s="374" t="e">
        <f ca="1">_xll.RiskPert($P22,$E22,$Q22,_xll.RiskName($A22))</f>
        <v>#NAME?</v>
      </c>
    </row>
    <row r="23" spans="1:20">
      <c r="A23" s="374" t="s">
        <v>493</v>
      </c>
      <c r="B23" s="374" t="s">
        <v>463</v>
      </c>
      <c r="C23" s="385" t="s">
        <v>494</v>
      </c>
      <c r="D23" s="387">
        <f>'ODS Subs Data'!B222</f>
        <v>102800000</v>
      </c>
      <c r="E23" s="388">
        <v>102800000</v>
      </c>
      <c r="F23" s="374" t="s">
        <v>495</v>
      </c>
      <c r="G23" s="354" t="s">
        <v>441</v>
      </c>
      <c r="H23" s="380">
        <f>-I23</f>
        <v>-1.8619999999999998E-2</v>
      </c>
      <c r="I23" s="380">
        <f>R23*1.96/E23</f>
        <v>1.8619999999999998E-2</v>
      </c>
      <c r="J23" s="354" t="s">
        <v>496</v>
      </c>
      <c r="K23" s="374" t="s">
        <v>497</v>
      </c>
      <c r="L23" s="381">
        <f t="shared" ref="L23:L28" si="20">(H23*E23)+E23</f>
        <v>100885864</v>
      </c>
      <c r="M23" s="381">
        <f t="shared" ref="M23:M28" si="21">(E23*I23)+E23</f>
        <v>104714136</v>
      </c>
      <c r="N23" s="382">
        <v>0.95</v>
      </c>
      <c r="O23" s="383">
        <f t="shared" ref="O23:O28" si="22">(L23+M23)/2</f>
        <v>102800000</v>
      </c>
      <c r="P23" s="384">
        <f t="shared" ref="P23:P28" si="23">O23-((O23-L23)*50%/(50%-2.5%))</f>
        <v>100785120</v>
      </c>
      <c r="Q23" s="384">
        <f t="shared" ref="Q23:Q28" si="24">O23+((M23-O23)*50%/(50%-2.5%))</f>
        <v>104814880</v>
      </c>
      <c r="R23" s="381">
        <v>976599.99999999988</v>
      </c>
      <c r="S23" s="374">
        <f t="shared" ref="S23:S28" si="25">E23</f>
        <v>102800000</v>
      </c>
      <c r="T23" s="374" t="e">
        <f ca="1">_xll.RiskNormal($E23,$R23,_xll.RiskName($A23))</f>
        <v>#NAME?</v>
      </c>
    </row>
    <row r="24" spans="1:20">
      <c r="A24" s="374" t="s">
        <v>498</v>
      </c>
      <c r="B24" s="374"/>
      <c r="C24" s="385" t="s">
        <v>499</v>
      </c>
      <c r="D24" s="387">
        <f>'ODS Subs Data'!B227</f>
        <v>108920000</v>
      </c>
      <c r="E24" s="388">
        <v>108920000</v>
      </c>
      <c r="F24" s="374" t="s">
        <v>495</v>
      </c>
      <c r="G24" s="354" t="s">
        <v>441</v>
      </c>
      <c r="H24" s="380">
        <f>-I24</f>
        <v>-7.0559999999999998E-3</v>
      </c>
      <c r="I24" s="380">
        <f>R24*1.96/E24</f>
        <v>7.0559999999999998E-3</v>
      </c>
      <c r="J24" s="354" t="s">
        <v>500</v>
      </c>
      <c r="K24" s="374" t="s">
        <v>501</v>
      </c>
      <c r="L24" s="381">
        <f t="shared" ref="L24" si="26">(H24*E24)+E24</f>
        <v>108151460.48</v>
      </c>
      <c r="M24" s="381">
        <f t="shared" ref="M24" si="27">(E24*I24)+E24</f>
        <v>109688539.52</v>
      </c>
      <c r="N24" s="382">
        <v>1.95</v>
      </c>
      <c r="O24" s="383">
        <f t="shared" ref="O24" si="28">(L24+M24)/2</f>
        <v>108920000</v>
      </c>
      <c r="P24" s="384">
        <f t="shared" ref="P24" si="29">O24-((O24-L24)*50%/(50%-2.5%))</f>
        <v>108111011.03157896</v>
      </c>
      <c r="Q24" s="384">
        <f t="shared" ref="Q24" si="30">O24+((M24-O24)*50%/(50%-2.5%))</f>
        <v>109728988.96842104</v>
      </c>
      <c r="R24" s="381">
        <v>392112</v>
      </c>
      <c r="S24" s="374">
        <f t="shared" ref="S24" si="31">E24</f>
        <v>108920000</v>
      </c>
      <c r="T24" s="374" t="e">
        <f ca="1">_xll.RiskNormal($E24,$R24,_xll.RiskName($A24))</f>
        <v>#NAME?</v>
      </c>
    </row>
    <row r="25" spans="1:20">
      <c r="A25" s="374" t="s">
        <v>502</v>
      </c>
      <c r="B25" s="374" t="s">
        <v>463</v>
      </c>
      <c r="C25" s="385" t="s">
        <v>503</v>
      </c>
      <c r="D25" s="387">
        <f>'ODS Subs Data'!C222</f>
        <v>21400000</v>
      </c>
      <c r="E25" s="388">
        <v>21400000</v>
      </c>
      <c r="F25" s="374" t="s">
        <v>495</v>
      </c>
      <c r="G25" s="354" t="s">
        <v>441</v>
      </c>
      <c r="H25" s="380">
        <f>-I25</f>
        <v>-0.105056</v>
      </c>
      <c r="I25" s="380">
        <f>R25*1.96/E25</f>
        <v>0.105056</v>
      </c>
      <c r="J25" s="354" t="s">
        <v>496</v>
      </c>
      <c r="K25" s="374" t="s">
        <v>497</v>
      </c>
      <c r="L25" s="381">
        <f t="shared" si="20"/>
        <v>19151801.600000001</v>
      </c>
      <c r="M25" s="381">
        <f t="shared" si="21"/>
        <v>23648198.399999999</v>
      </c>
      <c r="N25" s="382">
        <v>0.95</v>
      </c>
      <c r="O25" s="383">
        <f t="shared" si="22"/>
        <v>21400000</v>
      </c>
      <c r="P25" s="384">
        <f t="shared" si="23"/>
        <v>19033475.368421055</v>
      </c>
      <c r="Q25" s="384">
        <f t="shared" si="24"/>
        <v>23766524.631578945</v>
      </c>
      <c r="R25" s="381">
        <v>1147040</v>
      </c>
      <c r="S25" s="374">
        <f t="shared" si="25"/>
        <v>21400000</v>
      </c>
      <c r="T25" s="374" t="e">
        <f ca="1">_xll.RiskNormal($E25,$R25,_xll.RiskName($A25))</f>
        <v>#NAME?</v>
      </c>
    </row>
    <row r="26" spans="1:20">
      <c r="A26" s="374" t="s">
        <v>504</v>
      </c>
      <c r="B26" s="374"/>
      <c r="C26" s="385" t="s">
        <v>505</v>
      </c>
      <c r="D26" s="387">
        <f>'ODS Subs Data'!C227</f>
        <v>20910000</v>
      </c>
      <c r="E26" s="388">
        <v>20910000</v>
      </c>
      <c r="F26" s="374" t="s">
        <v>495</v>
      </c>
      <c r="G26" s="354" t="s">
        <v>441</v>
      </c>
      <c r="H26" s="380">
        <f>-I26</f>
        <v>-1.6071999999999999E-2</v>
      </c>
      <c r="I26" s="380">
        <f>R26*1.96/E26</f>
        <v>1.6071999999999999E-2</v>
      </c>
      <c r="J26" s="354" t="s">
        <v>500</v>
      </c>
      <c r="K26" s="374" t="s">
        <v>501</v>
      </c>
      <c r="L26" s="381">
        <f t="shared" ref="L26" si="32">(H26*E26)+E26</f>
        <v>20573934.48</v>
      </c>
      <c r="M26" s="381">
        <f t="shared" ref="M26" si="33">(E26*I26)+E26</f>
        <v>21246065.52</v>
      </c>
      <c r="N26" s="382">
        <v>1.95</v>
      </c>
      <c r="O26" s="383">
        <f t="shared" ref="O26" si="34">(L26+M26)/2</f>
        <v>20910000</v>
      </c>
      <c r="P26" s="384">
        <f t="shared" ref="P26" si="35">O26-((O26-L26)*50%/(50%-2.5%))</f>
        <v>20556246.821052633</v>
      </c>
      <c r="Q26" s="384">
        <f t="shared" ref="Q26" si="36">O26+((M26-O26)*50%/(50%-2.5%))</f>
        <v>21263753.178947367</v>
      </c>
      <c r="R26" s="381">
        <v>171461.99999999997</v>
      </c>
      <c r="S26" s="374">
        <f t="shared" ref="S26" si="37">E26</f>
        <v>20910000</v>
      </c>
      <c r="T26" s="374" t="e">
        <f ca="1">_xll.RiskNormal($E26,$R26,_xll.RiskName($A26))</f>
        <v>#NAME?</v>
      </c>
    </row>
    <row r="27" spans="1:20">
      <c r="A27" s="374" t="s">
        <v>506</v>
      </c>
      <c r="B27" s="374" t="s">
        <v>463</v>
      </c>
      <c r="C27" s="385" t="s">
        <v>507</v>
      </c>
      <c r="D27" s="387">
        <f>'ODS Subs Data'!D226</f>
        <v>61191402</v>
      </c>
      <c r="E27" s="388">
        <v>61150646</v>
      </c>
      <c r="F27" s="374" t="s">
        <v>475</v>
      </c>
      <c r="G27" s="354" t="s">
        <v>441</v>
      </c>
      <c r="H27" s="392">
        <v>-1E-3</v>
      </c>
      <c r="I27" s="392">
        <v>1E-3</v>
      </c>
      <c r="J27" s="354" t="s">
        <v>453</v>
      </c>
      <c r="K27" s="374" t="s">
        <v>476</v>
      </c>
      <c r="L27" s="381">
        <f t="shared" si="20"/>
        <v>61089495.354000002</v>
      </c>
      <c r="M27" s="381">
        <f t="shared" si="21"/>
        <v>61211796.645999998</v>
      </c>
      <c r="N27" s="382">
        <v>0.95</v>
      </c>
      <c r="O27" s="383">
        <f t="shared" si="22"/>
        <v>61150646</v>
      </c>
      <c r="P27" s="384">
        <f t="shared" si="23"/>
        <v>61086276.898947373</v>
      </c>
      <c r="Q27" s="384">
        <f t="shared" si="24"/>
        <v>61215015.101052627</v>
      </c>
      <c r="R27" s="381">
        <f t="shared" ref="R27:R28" si="38">E27*I27/1.96</f>
        <v>31199.309183673471</v>
      </c>
      <c r="S27" s="374">
        <f t="shared" si="25"/>
        <v>61150646</v>
      </c>
      <c r="T27" s="374" t="e">
        <f ca="1">_xll.RiskNormal($E27,$R27,_xll.RiskName($A27))</f>
        <v>#NAME?</v>
      </c>
    </row>
    <row r="28" spans="1:20">
      <c r="A28" s="374" t="s">
        <v>508</v>
      </c>
      <c r="B28" s="374" t="s">
        <v>463</v>
      </c>
      <c r="C28" s="385" t="s">
        <v>509</v>
      </c>
      <c r="D28" s="387">
        <f>'ODS Subs Data'!E226</f>
        <v>1632588</v>
      </c>
      <c r="E28" s="388">
        <v>1591832</v>
      </c>
      <c r="F28" s="374" t="s">
        <v>475</v>
      </c>
      <c r="G28" s="354" t="s">
        <v>441</v>
      </c>
      <c r="H28" s="392">
        <v>-1E-3</v>
      </c>
      <c r="I28" s="392">
        <v>1E-3</v>
      </c>
      <c r="J28" s="354" t="s">
        <v>453</v>
      </c>
      <c r="K28" s="374" t="s">
        <v>476</v>
      </c>
      <c r="L28" s="381">
        <f t="shared" si="20"/>
        <v>1590240.1680000001</v>
      </c>
      <c r="M28" s="381">
        <f t="shared" si="21"/>
        <v>1593423.8319999999</v>
      </c>
      <c r="N28" s="382">
        <v>0.95</v>
      </c>
      <c r="O28" s="383">
        <f t="shared" si="22"/>
        <v>1591832</v>
      </c>
      <c r="P28" s="384">
        <f t="shared" si="23"/>
        <v>1590156.3873684211</v>
      </c>
      <c r="Q28" s="384">
        <f t="shared" si="24"/>
        <v>1593507.6126315789</v>
      </c>
      <c r="R28" s="381">
        <f t="shared" si="38"/>
        <v>812.15918367346944</v>
      </c>
      <c r="S28" s="374">
        <f t="shared" si="25"/>
        <v>1591832</v>
      </c>
      <c r="T28" s="374" t="e">
        <f ca="1">_xll.RiskNormal($E28,$R28,_xll.RiskName($A28))</f>
        <v>#NAME?</v>
      </c>
    </row>
    <row r="29" spans="1:20">
      <c r="A29" s="374"/>
      <c r="B29" s="374"/>
      <c r="C29" s="385"/>
      <c r="D29" s="378"/>
      <c r="E29" s="388"/>
      <c r="F29" s="374"/>
      <c r="G29" s="374"/>
      <c r="H29" s="386"/>
      <c r="I29" s="386"/>
      <c r="J29" s="374"/>
      <c r="K29" s="374"/>
      <c r="L29" s="381"/>
      <c r="M29" s="381"/>
      <c r="N29" s="382"/>
      <c r="O29" s="394"/>
      <c r="P29" s="395"/>
      <c r="Q29" s="395"/>
      <c r="R29" s="381"/>
      <c r="S29" s="381"/>
      <c r="T29" s="374"/>
    </row>
    <row r="30" spans="1:20">
      <c r="A30" s="374"/>
      <c r="B30" s="374"/>
      <c r="C30" s="385"/>
      <c r="D30" s="378"/>
      <c r="E30" s="379"/>
      <c r="F30" s="374"/>
      <c r="G30" s="374"/>
      <c r="H30" s="386"/>
      <c r="I30" s="386"/>
      <c r="J30" s="374"/>
      <c r="K30" s="374"/>
      <c r="L30" s="381"/>
      <c r="M30" s="381"/>
      <c r="N30" s="382"/>
      <c r="O30" s="394"/>
      <c r="P30" s="395"/>
      <c r="Q30" s="395"/>
      <c r="R30" s="381"/>
      <c r="S30" s="381"/>
      <c r="T30" s="374"/>
    </row>
    <row r="31" spans="1:20">
      <c r="A31" s="374"/>
      <c r="B31" s="374"/>
      <c r="C31" s="385"/>
      <c r="D31" s="378"/>
      <c r="E31" s="379"/>
      <c r="F31" s="374"/>
      <c r="G31" s="374"/>
      <c r="H31" s="386"/>
      <c r="I31" s="386"/>
      <c r="J31" s="374"/>
      <c r="K31" s="374"/>
      <c r="L31" s="381"/>
      <c r="M31" s="381"/>
      <c r="N31" s="382"/>
      <c r="O31" s="394"/>
      <c r="P31" s="395"/>
      <c r="Q31" s="395"/>
      <c r="R31" s="381"/>
      <c r="S31" s="381"/>
      <c r="T31" s="374"/>
    </row>
    <row r="32" spans="1:20">
      <c r="A32" s="374"/>
      <c r="B32" s="374"/>
      <c r="C32" s="385"/>
      <c r="D32" s="378"/>
      <c r="E32" s="379"/>
      <c r="F32" s="374"/>
      <c r="G32" s="374"/>
      <c r="H32" s="386"/>
      <c r="I32" s="386"/>
      <c r="J32" s="374"/>
      <c r="K32" s="374"/>
      <c r="L32" s="381"/>
      <c r="M32" s="381"/>
      <c r="N32" s="382"/>
      <c r="O32" s="394"/>
      <c r="P32" s="395"/>
      <c r="Q32" s="395"/>
      <c r="R32" s="381"/>
      <c r="S32" s="381"/>
      <c r="T32" s="374"/>
    </row>
    <row r="33" spans="1:20">
      <c r="A33" s="374"/>
      <c r="B33" s="374"/>
      <c r="C33" s="385"/>
      <c r="D33" s="378"/>
      <c r="E33" s="379"/>
      <c r="F33" s="374"/>
      <c r="G33" s="374"/>
      <c r="H33" s="386"/>
      <c r="I33" s="386"/>
      <c r="J33" s="374"/>
      <c r="K33" s="374"/>
      <c r="L33" s="381"/>
      <c r="M33" s="381"/>
      <c r="N33" s="382"/>
      <c r="O33" s="394"/>
      <c r="P33" s="395"/>
      <c r="Q33" s="395"/>
      <c r="R33" s="381"/>
      <c r="S33" s="381"/>
      <c r="T33" s="374"/>
    </row>
    <row r="34" spans="1:20">
      <c r="A34" s="374"/>
      <c r="B34" s="374"/>
      <c r="C34" s="385"/>
      <c r="D34" s="378"/>
      <c r="E34" s="379"/>
      <c r="F34" s="374"/>
      <c r="G34" s="374"/>
      <c r="H34" s="386"/>
      <c r="I34" s="386"/>
      <c r="J34" s="374"/>
      <c r="K34" s="374"/>
      <c r="L34" s="381"/>
      <c r="M34" s="381"/>
      <c r="N34" s="382"/>
      <c r="O34" s="394"/>
      <c r="P34" s="395"/>
      <c r="Q34" s="395"/>
      <c r="R34" s="381"/>
      <c r="S34" s="381"/>
      <c r="T34" s="374"/>
    </row>
    <row r="35" spans="1:20">
      <c r="A35" s="374"/>
      <c r="B35" s="374"/>
      <c r="C35" s="385"/>
      <c r="D35" s="378"/>
      <c r="E35" s="379"/>
      <c r="F35" s="374"/>
      <c r="G35" s="374"/>
      <c r="H35" s="386"/>
      <c r="I35" s="386"/>
      <c r="J35" s="374"/>
      <c r="K35" s="374"/>
      <c r="L35" s="381"/>
      <c r="M35" s="381"/>
      <c r="N35" s="382"/>
      <c r="O35" s="394"/>
      <c r="P35" s="395"/>
      <c r="Q35" s="395"/>
      <c r="R35" s="381"/>
      <c r="S35" s="381"/>
      <c r="T35" s="374"/>
    </row>
    <row r="36" spans="1:20">
      <c r="A36" s="374"/>
      <c r="B36" s="374"/>
      <c r="C36" s="385"/>
      <c r="D36" s="378"/>
      <c r="E36" s="379"/>
      <c r="F36" s="374"/>
      <c r="G36" s="374"/>
      <c r="H36" s="386"/>
      <c r="I36" s="386"/>
      <c r="J36" s="374"/>
      <c r="K36" s="374"/>
      <c r="L36" s="381"/>
      <c r="M36" s="381"/>
      <c r="N36" s="382"/>
      <c r="O36" s="394"/>
      <c r="P36" s="395"/>
      <c r="Q36" s="395"/>
      <c r="R36" s="381"/>
      <c r="S36" s="381"/>
      <c r="T36" s="374"/>
    </row>
    <row r="37" spans="1:20">
      <c r="A37" s="374"/>
      <c r="B37" s="374"/>
      <c r="C37" s="385"/>
      <c r="D37" s="378"/>
      <c r="E37" s="379"/>
      <c r="F37" s="374"/>
      <c r="G37" s="374"/>
      <c r="H37" s="386"/>
      <c r="I37" s="386"/>
      <c r="J37" s="374"/>
      <c r="K37" s="374"/>
      <c r="L37" s="381"/>
      <c r="M37" s="381"/>
      <c r="N37" s="382"/>
      <c r="O37" s="394"/>
      <c r="P37" s="395"/>
      <c r="Q37" s="395"/>
      <c r="R37" s="381"/>
      <c r="S37" s="381"/>
      <c r="T37" s="374"/>
    </row>
    <row r="38" spans="1:20">
      <c r="A38" s="374"/>
      <c r="B38" s="374"/>
      <c r="C38" s="385"/>
      <c r="D38" s="378"/>
      <c r="E38" s="379"/>
      <c r="F38" s="374"/>
      <c r="G38" s="374"/>
      <c r="H38" s="386"/>
      <c r="I38" s="386"/>
      <c r="J38" s="374"/>
      <c r="K38" s="374"/>
      <c r="L38" s="381"/>
      <c r="M38" s="381"/>
      <c r="N38" s="382"/>
      <c r="O38" s="394"/>
      <c r="P38" s="395"/>
      <c r="Q38" s="395"/>
      <c r="R38" s="381"/>
      <c r="S38" s="381"/>
      <c r="T38" s="374"/>
    </row>
    <row r="39" spans="1:20">
      <c r="A39" s="374"/>
      <c r="B39" s="374"/>
      <c r="C39" s="385"/>
      <c r="D39" s="378"/>
      <c r="E39" s="379"/>
      <c r="F39" s="374"/>
      <c r="G39" s="374"/>
      <c r="H39" s="386"/>
      <c r="I39" s="386"/>
      <c r="J39" s="374"/>
      <c r="K39" s="374"/>
      <c r="L39" s="381"/>
      <c r="M39" s="381"/>
      <c r="N39" s="382"/>
      <c r="O39" s="394"/>
      <c r="P39" s="395"/>
      <c r="Q39" s="395"/>
      <c r="R39" s="381"/>
      <c r="S39" s="381"/>
      <c r="T39" s="374"/>
    </row>
    <row r="40" spans="1:20">
      <c r="A40" s="374"/>
      <c r="B40" s="374"/>
      <c r="C40" s="385"/>
      <c r="D40" s="378"/>
      <c r="E40" s="379"/>
      <c r="F40" s="374"/>
      <c r="G40" s="374"/>
      <c r="H40" s="386"/>
      <c r="I40" s="386"/>
      <c r="J40" s="374"/>
      <c r="K40" s="374"/>
      <c r="L40" s="381"/>
      <c r="M40" s="381"/>
      <c r="N40" s="382"/>
      <c r="O40" s="394"/>
      <c r="P40" s="395"/>
      <c r="Q40" s="395"/>
      <c r="R40" s="381"/>
      <c r="S40" s="381"/>
      <c r="T40" s="374"/>
    </row>
    <row r="41" spans="1:20">
      <c r="A41" s="374"/>
      <c r="B41" s="374"/>
      <c r="C41" s="385"/>
      <c r="D41" s="378"/>
      <c r="E41" s="379"/>
      <c r="F41" s="374"/>
      <c r="G41" s="374"/>
      <c r="H41" s="386"/>
      <c r="I41" s="386"/>
      <c r="J41" s="374"/>
      <c r="K41" s="374"/>
      <c r="L41" s="381"/>
      <c r="M41" s="381"/>
      <c r="N41" s="382"/>
      <c r="O41" s="394"/>
      <c r="P41" s="395"/>
      <c r="Q41" s="395"/>
      <c r="R41" s="381"/>
      <c r="S41" s="381"/>
      <c r="T41" s="374"/>
    </row>
    <row r="42" spans="1:20">
      <c r="A42" s="374"/>
      <c r="B42" s="374"/>
      <c r="C42" s="385"/>
      <c r="D42" s="378"/>
      <c r="E42" s="379"/>
      <c r="F42" s="374"/>
      <c r="G42" s="374"/>
      <c r="H42" s="386"/>
      <c r="I42" s="386"/>
      <c r="J42" s="374"/>
      <c r="K42" s="374"/>
      <c r="L42" s="381"/>
      <c r="M42" s="381"/>
      <c r="N42" s="382"/>
      <c r="O42" s="394"/>
      <c r="P42" s="395"/>
      <c r="Q42" s="395"/>
      <c r="R42" s="381"/>
      <c r="S42" s="381"/>
      <c r="T42" s="374"/>
    </row>
    <row r="43" spans="1:20">
      <c r="A43" s="374"/>
      <c r="B43" s="374"/>
      <c r="C43" s="385"/>
      <c r="D43" s="378"/>
      <c r="E43" s="379"/>
      <c r="F43" s="374"/>
      <c r="G43" s="374"/>
      <c r="H43" s="386"/>
      <c r="I43" s="386"/>
      <c r="J43" s="374"/>
      <c r="K43" s="374"/>
      <c r="L43" s="381"/>
      <c r="M43" s="381"/>
      <c r="N43" s="382"/>
      <c r="O43" s="394"/>
      <c r="P43" s="395"/>
      <c r="Q43" s="395"/>
      <c r="R43" s="381"/>
      <c r="S43" s="381"/>
      <c r="T43" s="374"/>
    </row>
    <row r="44" spans="1:20">
      <c r="A44" s="374"/>
      <c r="B44" s="374"/>
      <c r="C44" s="385"/>
      <c r="D44" s="378"/>
      <c r="E44" s="379"/>
      <c r="F44" s="374"/>
      <c r="G44" s="374"/>
      <c r="H44" s="386"/>
      <c r="I44" s="386"/>
      <c r="J44" s="374"/>
      <c r="K44" s="374"/>
      <c r="L44" s="381"/>
      <c r="M44" s="381"/>
      <c r="N44" s="382"/>
      <c r="O44" s="394"/>
      <c r="P44" s="395"/>
      <c r="Q44" s="395"/>
      <c r="R44" s="381"/>
      <c r="S44" s="381"/>
      <c r="T44" s="374"/>
    </row>
    <row r="45" spans="1:20">
      <c r="A45" s="374"/>
      <c r="B45" s="374"/>
      <c r="C45" s="385"/>
      <c r="D45" s="378"/>
      <c r="E45" s="379"/>
      <c r="F45" s="374"/>
      <c r="G45" s="374"/>
      <c r="H45" s="386"/>
      <c r="I45" s="386"/>
      <c r="J45" s="374"/>
      <c r="K45" s="374"/>
      <c r="L45" s="381"/>
      <c r="M45" s="381"/>
      <c r="N45" s="382"/>
      <c r="O45" s="394"/>
      <c r="P45" s="395"/>
      <c r="Q45" s="395"/>
      <c r="R45" s="381"/>
      <c r="S45" s="381"/>
      <c r="T45" s="374"/>
    </row>
    <row r="46" spans="1:20">
      <c r="A46" s="374"/>
      <c r="B46" s="374"/>
      <c r="C46" s="385"/>
      <c r="D46" s="378"/>
      <c r="E46" s="379"/>
      <c r="F46" s="374"/>
      <c r="G46" s="374"/>
      <c r="H46" s="386"/>
      <c r="I46" s="386"/>
      <c r="J46" s="374"/>
      <c r="K46" s="374"/>
      <c r="L46" s="381"/>
      <c r="M46" s="381"/>
      <c r="N46" s="382"/>
      <c r="O46" s="394"/>
      <c r="P46" s="395"/>
      <c r="Q46" s="395"/>
      <c r="R46" s="381"/>
      <c r="S46" s="381"/>
      <c r="T46" s="374"/>
    </row>
    <row r="47" spans="1:20">
      <c r="A47" s="374"/>
      <c r="B47" s="374"/>
      <c r="C47" s="385"/>
      <c r="D47" s="378"/>
      <c r="E47" s="379"/>
      <c r="F47" s="374"/>
      <c r="G47" s="374"/>
      <c r="H47" s="386"/>
      <c r="I47" s="386"/>
      <c r="J47" s="374"/>
      <c r="K47" s="374"/>
      <c r="L47" s="381"/>
      <c r="M47" s="381"/>
      <c r="N47" s="382"/>
      <c r="O47" s="394"/>
      <c r="P47" s="395"/>
      <c r="Q47" s="395"/>
      <c r="R47" s="381"/>
      <c r="S47" s="381"/>
      <c r="T47" s="374"/>
    </row>
    <row r="48" spans="1:20">
      <c r="A48" s="374"/>
      <c r="B48" s="374"/>
      <c r="C48" s="385"/>
      <c r="D48" s="378"/>
      <c r="E48" s="379"/>
      <c r="F48" s="374"/>
      <c r="G48" s="374"/>
      <c r="H48" s="386"/>
      <c r="I48" s="386"/>
      <c r="J48" s="374"/>
      <c r="K48" s="374"/>
      <c r="L48" s="381"/>
      <c r="M48" s="381"/>
      <c r="N48" s="382"/>
      <c r="O48" s="394"/>
      <c r="P48" s="395"/>
      <c r="Q48" s="395"/>
      <c r="R48" s="381"/>
      <c r="S48" s="381"/>
      <c r="T48" s="374"/>
    </row>
    <row r="49" spans="1:20">
      <c r="A49" s="374"/>
      <c r="B49" s="374"/>
      <c r="C49" s="385"/>
      <c r="D49" s="378"/>
      <c r="E49" s="379"/>
      <c r="F49" s="374"/>
      <c r="G49" s="374"/>
      <c r="H49" s="386"/>
      <c r="I49" s="386"/>
      <c r="J49" s="374"/>
      <c r="K49" s="374"/>
      <c r="L49" s="381"/>
      <c r="M49" s="381"/>
      <c r="N49" s="382"/>
      <c r="O49" s="394"/>
      <c r="P49" s="395"/>
      <c r="Q49" s="395"/>
      <c r="R49" s="381"/>
      <c r="S49" s="381"/>
      <c r="T49" s="374"/>
    </row>
    <row r="50" spans="1:20">
      <c r="A50" s="374"/>
      <c r="B50" s="374"/>
      <c r="C50" s="385"/>
      <c r="D50" s="378"/>
      <c r="E50" s="379"/>
      <c r="F50" s="374"/>
      <c r="G50" s="374"/>
      <c r="H50" s="386"/>
      <c r="I50" s="386"/>
      <c r="J50" s="374"/>
      <c r="K50" s="374"/>
      <c r="L50" s="381"/>
      <c r="M50" s="381"/>
      <c r="N50" s="382"/>
      <c r="O50" s="394"/>
      <c r="P50" s="395"/>
      <c r="Q50" s="395"/>
      <c r="R50" s="381"/>
      <c r="S50" s="381"/>
      <c r="T50" s="374"/>
    </row>
    <row r="51" spans="1:20">
      <c r="A51" s="374"/>
      <c r="B51" s="374"/>
      <c r="C51" s="385"/>
      <c r="D51" s="378"/>
      <c r="E51" s="379"/>
      <c r="F51" s="374"/>
      <c r="G51" s="374"/>
      <c r="H51" s="386"/>
      <c r="I51" s="386"/>
      <c r="J51" s="374"/>
      <c r="K51" s="374"/>
      <c r="L51" s="381"/>
      <c r="M51" s="381"/>
      <c r="N51" s="382"/>
      <c r="O51" s="394"/>
      <c r="P51" s="395"/>
      <c r="Q51" s="395"/>
      <c r="R51" s="381"/>
      <c r="S51" s="381"/>
      <c r="T51" s="374"/>
    </row>
    <row r="52" spans="1:20">
      <c r="A52" s="374"/>
      <c r="B52" s="374"/>
      <c r="C52" s="385"/>
      <c r="D52" s="378"/>
      <c r="E52" s="379"/>
      <c r="F52" s="374"/>
      <c r="G52" s="374"/>
      <c r="H52" s="386"/>
      <c r="I52" s="386"/>
      <c r="J52" s="374"/>
      <c r="K52" s="374"/>
      <c r="L52" s="381"/>
      <c r="M52" s="381"/>
      <c r="N52" s="382"/>
      <c r="O52" s="394"/>
      <c r="P52" s="395"/>
      <c r="Q52" s="395"/>
      <c r="R52" s="381"/>
      <c r="S52" s="381"/>
      <c r="T52" s="374"/>
    </row>
    <row r="53" spans="1:20">
      <c r="A53" s="374"/>
      <c r="B53" s="374"/>
      <c r="C53" s="385"/>
      <c r="D53" s="378"/>
      <c r="E53" s="379"/>
      <c r="F53" s="374"/>
      <c r="G53" s="374"/>
      <c r="H53" s="386"/>
      <c r="I53" s="386"/>
      <c r="J53" s="374"/>
      <c r="K53" s="374"/>
      <c r="L53" s="381"/>
      <c r="M53" s="381"/>
      <c r="N53" s="382"/>
      <c r="O53" s="394"/>
      <c r="P53" s="395"/>
      <c r="Q53" s="395"/>
      <c r="R53" s="381"/>
      <c r="S53" s="381"/>
      <c r="T53" s="374"/>
    </row>
    <row r="54" spans="1:20">
      <c r="A54" s="374"/>
      <c r="B54" s="374"/>
      <c r="C54" s="385"/>
      <c r="D54" s="378"/>
      <c r="E54" s="379"/>
      <c r="F54" s="374"/>
      <c r="G54" s="374"/>
      <c r="H54" s="386"/>
      <c r="I54" s="386"/>
      <c r="J54" s="374"/>
      <c r="K54" s="374"/>
      <c r="L54" s="381"/>
      <c r="M54" s="381"/>
      <c r="N54" s="382"/>
      <c r="O54" s="394"/>
      <c r="P54" s="395"/>
      <c r="Q54" s="395"/>
      <c r="R54" s="381"/>
      <c r="S54" s="381"/>
      <c r="T54" s="374"/>
    </row>
    <row r="55" spans="1:20">
      <c r="A55" s="374"/>
      <c r="B55" s="374"/>
      <c r="C55" s="385"/>
      <c r="D55" s="378"/>
      <c r="E55" s="379"/>
      <c r="F55" s="374"/>
      <c r="G55" s="374"/>
      <c r="H55" s="386"/>
      <c r="I55" s="386"/>
      <c r="J55" s="374"/>
      <c r="K55" s="374"/>
      <c r="L55" s="381"/>
      <c r="M55" s="381"/>
      <c r="N55" s="382"/>
      <c r="O55" s="394"/>
      <c r="P55" s="395"/>
      <c r="Q55" s="395"/>
      <c r="R55" s="381"/>
      <c r="S55" s="381"/>
      <c r="T55" s="374"/>
    </row>
    <row r="56" spans="1:20">
      <c r="A56" s="374"/>
      <c r="B56" s="374"/>
      <c r="C56" s="385"/>
      <c r="D56" s="378"/>
      <c r="E56" s="379"/>
      <c r="F56" s="374"/>
      <c r="G56" s="374"/>
      <c r="H56" s="386"/>
      <c r="I56" s="386"/>
      <c r="J56" s="374"/>
      <c r="K56" s="374"/>
      <c r="L56" s="381"/>
      <c r="M56" s="381"/>
      <c r="N56" s="382"/>
      <c r="O56" s="394"/>
      <c r="P56" s="395"/>
      <c r="Q56" s="395"/>
      <c r="R56" s="381"/>
      <c r="S56" s="381"/>
      <c r="T56" s="374"/>
    </row>
    <row r="57" spans="1:20">
      <c r="A57" s="374"/>
      <c r="B57" s="374"/>
      <c r="C57" s="385"/>
      <c r="D57" s="378"/>
      <c r="E57" s="379"/>
      <c r="F57" s="374"/>
      <c r="G57" s="374"/>
      <c r="H57" s="386"/>
      <c r="I57" s="386"/>
      <c r="J57" s="374"/>
      <c r="K57" s="374"/>
      <c r="L57" s="381"/>
      <c r="M57" s="381"/>
      <c r="N57" s="382"/>
      <c r="O57" s="394"/>
      <c r="P57" s="395"/>
      <c r="Q57" s="395"/>
      <c r="R57" s="381"/>
      <c r="S57" s="381"/>
      <c r="T57" s="374"/>
    </row>
    <row r="58" spans="1:20">
      <c r="A58" s="374"/>
      <c r="B58" s="374"/>
      <c r="C58" s="385"/>
      <c r="D58" s="378"/>
      <c r="E58" s="379"/>
      <c r="F58" s="374"/>
      <c r="G58" s="374"/>
      <c r="H58" s="386"/>
      <c r="I58" s="386"/>
      <c r="J58" s="374"/>
      <c r="K58" s="374"/>
      <c r="L58" s="381"/>
      <c r="M58" s="381"/>
      <c r="N58" s="382"/>
      <c r="O58" s="394"/>
      <c r="P58" s="395"/>
      <c r="Q58" s="395"/>
      <c r="R58" s="381"/>
      <c r="S58" s="381"/>
      <c r="T58" s="374"/>
    </row>
    <row r="59" spans="1:20">
      <c r="A59" s="374"/>
      <c r="B59" s="374"/>
      <c r="C59" s="385"/>
      <c r="D59" s="378"/>
      <c r="E59" s="379"/>
      <c r="F59" s="374"/>
      <c r="G59" s="374"/>
      <c r="H59" s="386"/>
      <c r="I59" s="386"/>
      <c r="J59" s="374"/>
      <c r="K59" s="374"/>
      <c r="L59" s="381"/>
      <c r="M59" s="381"/>
      <c r="N59" s="382"/>
      <c r="O59" s="394"/>
      <c r="P59" s="395"/>
      <c r="Q59" s="395"/>
      <c r="R59" s="381"/>
      <c r="S59" s="381"/>
      <c r="T59" s="374"/>
    </row>
    <row r="60" spans="1:20">
      <c r="A60" s="374"/>
      <c r="B60" s="374"/>
      <c r="C60" s="385"/>
      <c r="D60" s="378"/>
      <c r="E60" s="379"/>
      <c r="F60" s="374"/>
      <c r="G60" s="374"/>
      <c r="H60" s="386"/>
      <c r="I60" s="386"/>
      <c r="J60" s="374"/>
      <c r="K60" s="374"/>
      <c r="L60" s="381"/>
      <c r="M60" s="381"/>
      <c r="N60" s="382"/>
      <c r="O60" s="394"/>
      <c r="P60" s="395"/>
      <c r="Q60" s="395"/>
      <c r="R60" s="381"/>
      <c r="S60" s="381"/>
      <c r="T60" s="374"/>
    </row>
    <row r="61" spans="1:20">
      <c r="A61" s="374"/>
      <c r="B61" s="374"/>
      <c r="C61" s="385"/>
      <c r="D61" s="378"/>
      <c r="E61" s="379"/>
      <c r="F61" s="374"/>
      <c r="G61" s="374"/>
      <c r="H61" s="386"/>
      <c r="I61" s="386"/>
      <c r="J61" s="374"/>
      <c r="K61" s="374"/>
      <c r="L61" s="381"/>
      <c r="M61" s="381"/>
      <c r="N61" s="382"/>
      <c r="O61" s="394"/>
      <c r="P61" s="395"/>
      <c r="Q61" s="395"/>
      <c r="R61" s="381"/>
      <c r="S61" s="381"/>
      <c r="T61" s="374"/>
    </row>
    <row r="62" spans="1:20">
      <c r="A62" s="374"/>
      <c r="B62" s="374"/>
      <c r="C62" s="385"/>
      <c r="D62" s="378"/>
      <c r="E62" s="379"/>
      <c r="F62" s="374"/>
      <c r="G62" s="374"/>
      <c r="H62" s="386"/>
      <c r="I62" s="386"/>
      <c r="J62" s="374"/>
      <c r="K62" s="374"/>
      <c r="L62" s="381"/>
      <c r="M62" s="381"/>
      <c r="N62" s="382"/>
      <c r="O62" s="394"/>
      <c r="P62" s="395"/>
      <c r="Q62" s="395"/>
      <c r="R62" s="381"/>
      <c r="S62" s="381"/>
      <c r="T62" s="374"/>
    </row>
    <row r="63" spans="1:20">
      <c r="A63" s="374"/>
      <c r="B63" s="374"/>
      <c r="C63" s="385"/>
      <c r="D63" s="378"/>
      <c r="E63" s="379"/>
      <c r="F63" s="374"/>
      <c r="G63" s="374"/>
      <c r="H63" s="386"/>
      <c r="I63" s="386"/>
      <c r="J63" s="374"/>
      <c r="K63" s="374"/>
      <c r="L63" s="381"/>
      <c r="M63" s="381"/>
      <c r="N63" s="382"/>
      <c r="O63" s="394"/>
      <c r="P63" s="395"/>
      <c r="Q63" s="395"/>
      <c r="R63" s="381"/>
      <c r="S63" s="381"/>
      <c r="T63" s="374"/>
    </row>
    <row r="64" spans="1:20">
      <c r="A64" s="374"/>
      <c r="B64" s="374"/>
      <c r="C64" s="385"/>
      <c r="D64" s="378"/>
      <c r="E64" s="379"/>
      <c r="F64" s="374"/>
      <c r="G64" s="374"/>
      <c r="H64" s="386"/>
      <c r="I64" s="386"/>
      <c r="J64" s="374"/>
      <c r="K64" s="374"/>
      <c r="L64" s="381"/>
      <c r="M64" s="381"/>
      <c r="N64" s="382"/>
      <c r="O64" s="394"/>
      <c r="P64" s="395"/>
      <c r="Q64" s="395"/>
      <c r="R64" s="381"/>
      <c r="S64" s="381"/>
      <c r="T64" s="374"/>
    </row>
    <row r="65" spans="1:20">
      <c r="A65" s="374"/>
      <c r="B65" s="374"/>
      <c r="C65" s="385"/>
      <c r="D65" s="378"/>
      <c r="E65" s="379"/>
      <c r="F65" s="374"/>
      <c r="G65" s="374"/>
      <c r="H65" s="386"/>
      <c r="I65" s="386"/>
      <c r="J65" s="374"/>
      <c r="K65" s="374"/>
      <c r="L65" s="381"/>
      <c r="M65" s="381"/>
      <c r="N65" s="382"/>
      <c r="O65" s="394"/>
      <c r="P65" s="395"/>
      <c r="Q65" s="395"/>
      <c r="R65" s="381"/>
      <c r="S65" s="381"/>
      <c r="T65" s="374"/>
    </row>
    <row r="66" spans="1:20">
      <c r="A66" s="374"/>
      <c r="B66" s="374"/>
      <c r="C66" s="385"/>
      <c r="D66" s="378"/>
      <c r="E66" s="379"/>
      <c r="F66" s="374"/>
      <c r="G66" s="374"/>
      <c r="H66" s="386"/>
      <c r="I66" s="386"/>
      <c r="J66" s="374"/>
      <c r="K66" s="374"/>
      <c r="L66" s="381"/>
      <c r="M66" s="381"/>
      <c r="N66" s="382"/>
      <c r="O66" s="394"/>
      <c r="P66" s="395"/>
      <c r="Q66" s="395"/>
      <c r="R66" s="381"/>
      <c r="S66" s="381"/>
      <c r="T66" s="374"/>
    </row>
    <row r="67" spans="1:20">
      <c r="A67" s="374"/>
      <c r="B67" s="374"/>
      <c r="C67" s="385"/>
      <c r="D67" s="378"/>
      <c r="E67" s="379"/>
      <c r="F67" s="374"/>
      <c r="G67" s="374"/>
      <c r="H67" s="386"/>
      <c r="I67" s="386"/>
      <c r="J67" s="374"/>
      <c r="K67" s="374"/>
      <c r="L67" s="381"/>
      <c r="M67" s="381"/>
      <c r="N67" s="382"/>
      <c r="O67" s="394"/>
      <c r="P67" s="395"/>
      <c r="Q67" s="395"/>
      <c r="R67" s="381"/>
      <c r="S67" s="381"/>
      <c r="T67" s="374"/>
    </row>
    <row r="68" spans="1:20">
      <c r="A68" s="374"/>
      <c r="B68" s="374"/>
      <c r="C68" s="385"/>
      <c r="D68" s="378"/>
      <c r="E68" s="379"/>
      <c r="F68" s="374"/>
      <c r="G68" s="374"/>
      <c r="H68" s="386"/>
      <c r="I68" s="386"/>
      <c r="J68" s="374"/>
      <c r="K68" s="374"/>
      <c r="L68" s="381"/>
      <c r="M68" s="381"/>
      <c r="N68" s="382"/>
      <c r="O68" s="394"/>
      <c r="P68" s="395"/>
      <c r="Q68" s="395"/>
      <c r="R68" s="381"/>
      <c r="S68" s="381"/>
      <c r="T68" s="374"/>
    </row>
    <row r="69" spans="1:20">
      <c r="A69" s="374"/>
      <c r="B69" s="374"/>
      <c r="C69" s="385"/>
      <c r="D69" s="378"/>
      <c r="E69" s="379"/>
      <c r="F69" s="374"/>
      <c r="G69" s="374"/>
      <c r="H69" s="386"/>
      <c r="I69" s="386"/>
      <c r="J69" s="374"/>
      <c r="K69" s="374"/>
      <c r="L69" s="381"/>
      <c r="M69" s="381"/>
      <c r="N69" s="382"/>
      <c r="O69" s="394"/>
      <c r="P69" s="395"/>
      <c r="Q69" s="395"/>
      <c r="R69" s="381"/>
      <c r="S69" s="381"/>
      <c r="T69" s="374"/>
    </row>
    <row r="70" spans="1:20">
      <c r="A70" s="374"/>
      <c r="B70" s="374"/>
      <c r="C70" s="385"/>
      <c r="D70" s="378"/>
      <c r="E70" s="379"/>
      <c r="F70" s="374"/>
      <c r="G70" s="374"/>
      <c r="H70" s="386"/>
      <c r="I70" s="386"/>
      <c r="J70" s="374"/>
      <c r="K70" s="374"/>
      <c r="L70" s="381"/>
      <c r="M70" s="381"/>
      <c r="N70" s="382"/>
      <c r="O70" s="394"/>
      <c r="P70" s="395"/>
      <c r="Q70" s="395"/>
      <c r="R70" s="381"/>
      <c r="S70" s="381"/>
      <c r="T70" s="374"/>
    </row>
    <row r="71" spans="1:20">
      <c r="A71" s="374"/>
      <c r="B71" s="374"/>
      <c r="C71" s="385"/>
      <c r="D71" s="378"/>
      <c r="E71" s="379"/>
      <c r="F71" s="374"/>
      <c r="G71" s="374"/>
      <c r="H71" s="386"/>
      <c r="I71" s="386"/>
      <c r="J71" s="374"/>
      <c r="K71" s="374"/>
      <c r="L71" s="381"/>
      <c r="M71" s="381"/>
      <c r="N71" s="382"/>
      <c r="O71" s="394"/>
      <c r="P71" s="395"/>
      <c r="Q71" s="395"/>
      <c r="R71" s="381"/>
      <c r="S71" s="381"/>
      <c r="T71" s="374"/>
    </row>
    <row r="72" spans="1:20">
      <c r="A72" s="374"/>
      <c r="B72" s="374"/>
      <c r="C72" s="385"/>
      <c r="D72" s="378"/>
      <c r="E72" s="379"/>
      <c r="F72" s="374"/>
      <c r="G72" s="374"/>
      <c r="H72" s="386"/>
      <c r="I72" s="386"/>
      <c r="J72" s="374"/>
      <c r="K72" s="374"/>
      <c r="L72" s="381"/>
      <c r="M72" s="381"/>
      <c r="N72" s="382"/>
      <c r="O72" s="394"/>
      <c r="P72" s="395"/>
      <c r="Q72" s="395"/>
      <c r="R72" s="381"/>
      <c r="S72" s="381"/>
      <c r="T72" s="374"/>
    </row>
    <row r="73" spans="1:20">
      <c r="A73" s="374"/>
      <c r="B73" s="374"/>
      <c r="C73" s="385"/>
      <c r="D73" s="378"/>
      <c r="E73" s="379"/>
      <c r="F73" s="374"/>
      <c r="G73" s="374"/>
      <c r="H73" s="386"/>
      <c r="I73" s="386"/>
      <c r="J73" s="374"/>
      <c r="K73" s="374"/>
      <c r="L73" s="381"/>
      <c r="M73" s="381"/>
      <c r="N73" s="382"/>
      <c r="O73" s="394"/>
      <c r="P73" s="395"/>
      <c r="Q73" s="395"/>
      <c r="R73" s="381"/>
      <c r="S73" s="381"/>
      <c r="T73" s="374"/>
    </row>
    <row r="74" spans="1:20">
      <c r="A74" s="374"/>
      <c r="B74" s="374"/>
      <c r="C74" s="385"/>
      <c r="D74" s="378"/>
      <c r="E74" s="379"/>
      <c r="F74" s="374"/>
      <c r="G74" s="374"/>
      <c r="H74" s="386"/>
      <c r="I74" s="386"/>
      <c r="J74" s="374"/>
      <c r="K74" s="374"/>
      <c r="L74" s="381"/>
      <c r="M74" s="381"/>
      <c r="N74" s="382"/>
      <c r="O74" s="394"/>
      <c r="P74" s="395"/>
      <c r="Q74" s="395"/>
      <c r="R74" s="381"/>
      <c r="S74" s="381"/>
      <c r="T74" s="374"/>
    </row>
    <row r="75" spans="1:20">
      <c r="A75" s="374"/>
      <c r="B75" s="374"/>
      <c r="C75" s="385"/>
      <c r="D75" s="378"/>
      <c r="E75" s="379"/>
      <c r="F75" s="374"/>
      <c r="G75" s="374"/>
      <c r="H75" s="386"/>
      <c r="I75" s="386"/>
      <c r="J75" s="374"/>
      <c r="K75" s="374"/>
      <c r="L75" s="381"/>
      <c r="M75" s="381"/>
      <c r="N75" s="382"/>
      <c r="O75" s="394"/>
      <c r="P75" s="395"/>
      <c r="Q75" s="395"/>
      <c r="R75" s="381"/>
      <c r="S75" s="381"/>
      <c r="T75" s="374"/>
    </row>
    <row r="76" spans="1:20">
      <c r="A76" s="374"/>
      <c r="B76" s="374"/>
      <c r="C76" s="385"/>
      <c r="D76" s="378"/>
      <c r="E76" s="379"/>
      <c r="F76" s="374"/>
      <c r="G76" s="374"/>
      <c r="H76" s="386"/>
      <c r="I76" s="386"/>
      <c r="J76" s="374"/>
      <c r="K76" s="374"/>
      <c r="L76" s="381"/>
      <c r="M76" s="381"/>
      <c r="N76" s="382"/>
      <c r="O76" s="394"/>
      <c r="P76" s="395"/>
      <c r="Q76" s="395"/>
      <c r="R76" s="381"/>
      <c r="S76" s="381"/>
      <c r="T76" s="374"/>
    </row>
    <row r="77" spans="1:20">
      <c r="A77" s="374"/>
      <c r="B77" s="374"/>
      <c r="C77" s="385"/>
      <c r="D77" s="378"/>
      <c r="E77" s="379"/>
      <c r="F77" s="374"/>
      <c r="G77" s="374"/>
      <c r="H77" s="386"/>
      <c r="I77" s="386"/>
      <c r="J77" s="374"/>
      <c r="K77" s="374"/>
      <c r="L77" s="381"/>
      <c r="M77" s="381"/>
      <c r="N77" s="382"/>
      <c r="O77" s="394"/>
      <c r="P77" s="395"/>
      <c r="Q77" s="395"/>
      <c r="R77" s="381"/>
      <c r="S77" s="381"/>
      <c r="T77" s="374"/>
    </row>
    <row r="78" spans="1:20">
      <c r="A78" s="374"/>
      <c r="B78" s="374"/>
      <c r="C78" s="385"/>
      <c r="D78" s="378"/>
      <c r="E78" s="379"/>
      <c r="F78" s="374"/>
      <c r="G78" s="374"/>
      <c r="H78" s="386"/>
      <c r="I78" s="386"/>
      <c r="J78" s="374"/>
      <c r="K78" s="374"/>
      <c r="L78" s="381"/>
      <c r="M78" s="381"/>
      <c r="N78" s="382"/>
      <c r="O78" s="394"/>
      <c r="P78" s="395"/>
      <c r="Q78" s="395"/>
      <c r="R78" s="381"/>
      <c r="S78" s="381"/>
      <c r="T78" s="374"/>
    </row>
    <row r="79" spans="1:20">
      <c r="A79" s="374"/>
      <c r="B79" s="374"/>
      <c r="C79" s="385"/>
      <c r="D79" s="378"/>
      <c r="E79" s="379"/>
      <c r="F79" s="374"/>
      <c r="G79" s="374"/>
      <c r="H79" s="386"/>
      <c r="I79" s="386"/>
      <c r="J79" s="374"/>
      <c r="K79" s="374"/>
      <c r="L79" s="381"/>
      <c r="M79" s="381"/>
      <c r="N79" s="382"/>
      <c r="O79" s="394"/>
      <c r="P79" s="395"/>
      <c r="Q79" s="395"/>
      <c r="R79" s="381"/>
      <c r="S79" s="381"/>
      <c r="T79" s="374"/>
    </row>
    <row r="80" spans="1:20">
      <c r="A80" s="374"/>
      <c r="B80" s="374"/>
      <c r="C80" s="385"/>
      <c r="D80" s="378"/>
      <c r="E80" s="379"/>
      <c r="F80" s="374"/>
      <c r="G80" s="374"/>
      <c r="H80" s="386"/>
      <c r="I80" s="386"/>
      <c r="J80" s="374"/>
      <c r="K80" s="374"/>
      <c r="L80" s="381"/>
      <c r="M80" s="381"/>
      <c r="N80" s="382"/>
      <c r="O80" s="394"/>
      <c r="P80" s="395"/>
      <c r="Q80" s="395"/>
      <c r="R80" s="381"/>
      <c r="S80" s="381"/>
      <c r="T80" s="374"/>
    </row>
    <row r="81" spans="1:20">
      <c r="A81" s="374"/>
      <c r="B81" s="374"/>
      <c r="C81" s="385"/>
      <c r="D81" s="378"/>
      <c r="E81" s="379"/>
      <c r="F81" s="374"/>
      <c r="G81" s="374"/>
      <c r="H81" s="386"/>
      <c r="I81" s="386"/>
      <c r="J81" s="374"/>
      <c r="K81" s="374"/>
      <c r="L81" s="381"/>
      <c r="M81" s="381"/>
      <c r="N81" s="382"/>
      <c r="O81" s="394"/>
      <c r="P81" s="395"/>
      <c r="Q81" s="395"/>
      <c r="R81" s="381"/>
      <c r="S81" s="381"/>
      <c r="T81" s="374"/>
    </row>
    <row r="82" spans="1:20">
      <c r="A82" s="374"/>
      <c r="B82" s="374"/>
      <c r="C82" s="385"/>
      <c r="D82" s="378"/>
      <c r="E82" s="379"/>
      <c r="F82" s="374"/>
      <c r="G82" s="374"/>
      <c r="H82" s="386"/>
      <c r="I82" s="386"/>
      <c r="J82" s="374"/>
      <c r="K82" s="374"/>
      <c r="L82" s="381"/>
      <c r="M82" s="381"/>
      <c r="N82" s="382"/>
      <c r="O82" s="394"/>
      <c r="P82" s="395"/>
      <c r="Q82" s="395"/>
      <c r="R82" s="381"/>
      <c r="S82" s="381"/>
      <c r="T82" s="374"/>
    </row>
    <row r="83" spans="1:20">
      <c r="A83" s="374"/>
      <c r="B83" s="374"/>
      <c r="C83" s="385"/>
      <c r="D83" s="378"/>
      <c r="E83" s="379"/>
      <c r="F83" s="374"/>
      <c r="G83" s="374"/>
      <c r="H83" s="386"/>
      <c r="I83" s="386"/>
      <c r="J83" s="374"/>
      <c r="K83" s="374"/>
      <c r="L83" s="381"/>
      <c r="M83" s="381"/>
      <c r="N83" s="382"/>
      <c r="O83" s="394"/>
      <c r="P83" s="395"/>
      <c r="Q83" s="395"/>
      <c r="R83" s="381"/>
      <c r="S83" s="381"/>
      <c r="T83" s="374"/>
    </row>
    <row r="84" spans="1:20">
      <c r="A84" s="374"/>
      <c r="B84" s="374"/>
      <c r="C84" s="385"/>
      <c r="D84" s="378"/>
      <c r="E84" s="379"/>
      <c r="F84" s="374"/>
      <c r="G84" s="374"/>
      <c r="H84" s="386"/>
      <c r="I84" s="386"/>
      <c r="J84" s="374"/>
      <c r="K84" s="374"/>
      <c r="L84" s="381"/>
      <c r="M84" s="381"/>
      <c r="N84" s="382"/>
      <c r="O84" s="394"/>
      <c r="P84" s="395"/>
      <c r="Q84" s="395"/>
      <c r="R84" s="381"/>
      <c r="S84" s="381"/>
      <c r="T84" s="374"/>
    </row>
    <row r="85" spans="1:20">
      <c r="A85" s="374"/>
      <c r="B85" s="374"/>
      <c r="C85" s="385"/>
      <c r="D85" s="378"/>
      <c r="E85" s="379"/>
      <c r="F85" s="374"/>
      <c r="G85" s="374"/>
      <c r="H85" s="386"/>
      <c r="I85" s="386"/>
      <c r="J85" s="374"/>
      <c r="K85" s="374"/>
      <c r="L85" s="381"/>
      <c r="M85" s="381"/>
      <c r="N85" s="382"/>
      <c r="O85" s="394"/>
      <c r="P85" s="395"/>
      <c r="Q85" s="395"/>
      <c r="R85" s="381"/>
      <c r="S85" s="381"/>
      <c r="T85" s="374"/>
    </row>
    <row r="86" spans="1:20">
      <c r="A86" s="374"/>
      <c r="B86" s="374"/>
      <c r="C86" s="385"/>
      <c r="D86" s="378"/>
      <c r="E86" s="379"/>
      <c r="F86" s="374"/>
      <c r="G86" s="374"/>
      <c r="H86" s="386"/>
      <c r="I86" s="386"/>
      <c r="J86" s="374"/>
      <c r="K86" s="374"/>
      <c r="L86" s="381"/>
      <c r="M86" s="381"/>
      <c r="N86" s="382"/>
      <c r="O86" s="394"/>
      <c r="P86" s="395"/>
      <c r="Q86" s="395"/>
      <c r="R86" s="381"/>
      <c r="S86" s="381"/>
      <c r="T86" s="374"/>
    </row>
    <row r="87" spans="1:20">
      <c r="A87" s="374"/>
      <c r="B87" s="374"/>
      <c r="C87" s="385"/>
      <c r="D87" s="378"/>
      <c r="E87" s="379"/>
      <c r="F87" s="374"/>
      <c r="G87" s="374"/>
      <c r="H87" s="386"/>
      <c r="I87" s="386"/>
      <c r="J87" s="374"/>
      <c r="K87" s="374"/>
      <c r="L87" s="381"/>
      <c r="M87" s="381"/>
      <c r="N87" s="382"/>
      <c r="O87" s="394"/>
      <c r="P87" s="395"/>
      <c r="Q87" s="395"/>
      <c r="R87" s="381"/>
      <c r="S87" s="381"/>
      <c r="T87" s="374"/>
    </row>
    <row r="88" spans="1:20">
      <c r="A88" s="374"/>
      <c r="B88" s="374"/>
      <c r="C88" s="385"/>
      <c r="D88" s="378"/>
      <c r="E88" s="379"/>
      <c r="F88" s="374"/>
      <c r="G88" s="374"/>
      <c r="H88" s="386"/>
      <c r="I88" s="386"/>
      <c r="J88" s="374"/>
      <c r="K88" s="374"/>
      <c r="L88" s="381"/>
      <c r="M88" s="381"/>
      <c r="N88" s="382"/>
      <c r="O88" s="394"/>
      <c r="P88" s="395"/>
      <c r="Q88" s="395"/>
      <c r="R88" s="381"/>
      <c r="S88" s="381"/>
      <c r="T88" s="374"/>
    </row>
    <row r="89" spans="1:20">
      <c r="A89" s="374"/>
      <c r="B89" s="374"/>
      <c r="C89" s="385"/>
      <c r="D89" s="378"/>
      <c r="E89" s="379"/>
      <c r="F89" s="374"/>
      <c r="G89" s="374"/>
      <c r="H89" s="386"/>
      <c r="I89" s="386"/>
      <c r="J89" s="374"/>
      <c r="K89" s="374"/>
      <c r="L89" s="381"/>
      <c r="M89" s="381"/>
      <c r="N89" s="382"/>
      <c r="O89" s="394"/>
      <c r="P89" s="395"/>
      <c r="Q89" s="395"/>
      <c r="R89" s="381"/>
      <c r="S89" s="381"/>
      <c r="T89" s="374"/>
    </row>
    <row r="90" spans="1:20">
      <c r="A90" s="374"/>
      <c r="B90" s="374"/>
      <c r="C90" s="385"/>
      <c r="D90" s="378"/>
      <c r="E90" s="379"/>
      <c r="F90" s="374"/>
      <c r="G90" s="374"/>
      <c r="H90" s="386"/>
      <c r="I90" s="386"/>
      <c r="J90" s="374"/>
      <c r="K90" s="374"/>
      <c r="L90" s="381"/>
      <c r="M90" s="381"/>
      <c r="N90" s="382"/>
      <c r="O90" s="394"/>
      <c r="P90" s="395"/>
      <c r="Q90" s="395"/>
      <c r="R90" s="381"/>
      <c r="S90" s="381"/>
      <c r="T90" s="374"/>
    </row>
    <row r="91" spans="1:20">
      <c r="A91" s="374"/>
      <c r="B91" s="374"/>
      <c r="C91" s="385"/>
      <c r="D91" s="378"/>
      <c r="E91" s="379"/>
      <c r="F91" s="374"/>
      <c r="G91" s="374"/>
      <c r="H91" s="386"/>
      <c r="I91" s="386"/>
      <c r="J91" s="374"/>
      <c r="K91" s="374"/>
      <c r="L91" s="381"/>
      <c r="M91" s="381"/>
      <c r="N91" s="382"/>
      <c r="O91" s="394"/>
      <c r="P91" s="395"/>
      <c r="Q91" s="395"/>
      <c r="R91" s="381"/>
      <c r="S91" s="381"/>
      <c r="T91" s="374"/>
    </row>
    <row r="92" spans="1:20">
      <c r="A92" s="374"/>
      <c r="B92" s="374"/>
      <c r="C92" s="385"/>
      <c r="D92" s="378"/>
      <c r="E92" s="379"/>
      <c r="F92" s="374"/>
      <c r="G92" s="374"/>
      <c r="H92" s="386"/>
      <c r="I92" s="386"/>
      <c r="J92" s="374"/>
      <c r="K92" s="374"/>
      <c r="L92" s="381"/>
      <c r="M92" s="381"/>
      <c r="N92" s="382"/>
      <c r="O92" s="394"/>
      <c r="P92" s="395"/>
      <c r="Q92" s="395"/>
      <c r="R92" s="381"/>
      <c r="S92" s="381"/>
      <c r="T92" s="374"/>
    </row>
    <row r="93" spans="1:20">
      <c r="A93" s="374"/>
      <c r="B93" s="374"/>
      <c r="C93" s="385"/>
      <c r="D93" s="378"/>
      <c r="E93" s="379"/>
      <c r="F93" s="374"/>
      <c r="G93" s="374"/>
      <c r="H93" s="386"/>
      <c r="I93" s="386"/>
      <c r="J93" s="374"/>
      <c r="K93" s="374"/>
      <c r="L93" s="381"/>
      <c r="M93" s="381"/>
      <c r="N93" s="382"/>
      <c r="O93" s="394"/>
      <c r="P93" s="395"/>
      <c r="Q93" s="395"/>
      <c r="R93" s="381"/>
      <c r="S93" s="381"/>
      <c r="T93" s="374"/>
    </row>
    <row r="94" spans="1:20">
      <c r="A94" s="374"/>
      <c r="B94" s="374"/>
      <c r="C94" s="385"/>
      <c r="D94" s="378"/>
      <c r="E94" s="379"/>
      <c r="F94" s="374"/>
      <c r="G94" s="374"/>
      <c r="H94" s="386"/>
      <c r="I94" s="386"/>
      <c r="J94" s="374"/>
      <c r="K94" s="374"/>
      <c r="L94" s="381"/>
      <c r="M94" s="381"/>
      <c r="N94" s="382"/>
      <c r="O94" s="394"/>
      <c r="P94" s="395"/>
      <c r="Q94" s="395"/>
      <c r="R94" s="381"/>
      <c r="S94" s="381"/>
      <c r="T94" s="374"/>
    </row>
    <row r="95" spans="1:20">
      <c r="A95" s="374"/>
      <c r="B95" s="374"/>
      <c r="C95" s="385"/>
      <c r="D95" s="378"/>
      <c r="E95" s="379"/>
      <c r="F95" s="374"/>
      <c r="G95" s="374"/>
      <c r="H95" s="386"/>
      <c r="I95" s="386"/>
      <c r="J95" s="374"/>
      <c r="K95" s="374"/>
      <c r="L95" s="381"/>
      <c r="M95" s="381"/>
      <c r="N95" s="382"/>
      <c r="O95" s="394"/>
      <c r="P95" s="395"/>
      <c r="Q95" s="395"/>
      <c r="R95" s="381"/>
      <c r="S95" s="381"/>
      <c r="T95" s="374"/>
    </row>
    <row r="96" spans="1:20">
      <c r="A96" s="374"/>
      <c r="B96" s="374"/>
      <c r="C96" s="385"/>
      <c r="D96" s="378"/>
      <c r="E96" s="379"/>
      <c r="F96" s="374"/>
      <c r="G96" s="374"/>
      <c r="H96" s="386"/>
      <c r="I96" s="386"/>
      <c r="J96" s="374"/>
      <c r="K96" s="374"/>
      <c r="L96" s="381"/>
      <c r="M96" s="381"/>
      <c r="N96" s="382"/>
      <c r="O96" s="394"/>
      <c r="P96" s="395"/>
      <c r="Q96" s="395"/>
      <c r="R96" s="381"/>
      <c r="S96" s="381"/>
      <c r="T96" s="374"/>
    </row>
    <row r="97" spans="1:20">
      <c r="A97" s="374"/>
      <c r="B97" s="374"/>
      <c r="C97" s="385"/>
      <c r="D97" s="378"/>
      <c r="E97" s="379"/>
      <c r="F97" s="374"/>
      <c r="G97" s="374"/>
      <c r="H97" s="386"/>
      <c r="I97" s="386"/>
      <c r="J97" s="374"/>
      <c r="K97" s="374"/>
      <c r="L97" s="381"/>
      <c r="M97" s="381"/>
      <c r="N97" s="382"/>
      <c r="O97" s="394"/>
      <c r="P97" s="395"/>
      <c r="Q97" s="395"/>
      <c r="R97" s="381"/>
      <c r="S97" s="381"/>
      <c r="T97" s="374"/>
    </row>
    <row r="98" spans="1:20">
      <c r="A98" s="374"/>
      <c r="B98" s="374"/>
      <c r="C98" s="385"/>
      <c r="D98" s="378"/>
      <c r="E98" s="379"/>
      <c r="F98" s="374"/>
      <c r="G98" s="374"/>
      <c r="H98" s="386"/>
      <c r="I98" s="386"/>
      <c r="J98" s="374"/>
      <c r="K98" s="374"/>
      <c r="L98" s="381"/>
      <c r="M98" s="381"/>
      <c r="N98" s="382"/>
      <c r="O98" s="394"/>
      <c r="P98" s="395"/>
      <c r="Q98" s="395"/>
      <c r="R98" s="381"/>
      <c r="S98" s="381"/>
      <c r="T98" s="374"/>
    </row>
    <row r="99" spans="1:20">
      <c r="A99" s="374"/>
      <c r="B99" s="374"/>
      <c r="C99" s="385"/>
      <c r="D99" s="378"/>
      <c r="E99" s="379"/>
      <c r="F99" s="374"/>
      <c r="G99" s="374"/>
      <c r="H99" s="386"/>
      <c r="I99" s="386"/>
      <c r="J99" s="374"/>
      <c r="K99" s="374"/>
      <c r="L99" s="381"/>
      <c r="M99" s="381"/>
      <c r="N99" s="382"/>
      <c r="O99" s="394"/>
      <c r="P99" s="395"/>
      <c r="Q99" s="395"/>
      <c r="R99" s="381"/>
      <c r="S99" s="381"/>
      <c r="T99" s="374"/>
    </row>
    <row r="100" spans="1:20">
      <c r="A100" s="374"/>
      <c r="B100" s="374"/>
      <c r="C100" s="385"/>
      <c r="D100" s="378"/>
      <c r="E100" s="379"/>
      <c r="F100" s="374"/>
      <c r="G100" s="374"/>
      <c r="H100" s="386"/>
      <c r="I100" s="386"/>
      <c r="J100" s="374"/>
      <c r="K100" s="374"/>
      <c r="L100" s="381"/>
      <c r="M100" s="381"/>
      <c r="N100" s="382"/>
      <c r="O100" s="394"/>
      <c r="P100" s="395"/>
      <c r="Q100" s="395"/>
      <c r="R100" s="381"/>
      <c r="S100" s="381"/>
      <c r="T100" s="374"/>
    </row>
  </sheetData>
  <autoFilter ref="A4:T22" xr:uid="{00000000-0009-0000-0000-00000E000000}"/>
  <mergeCells count="13">
    <mergeCell ref="A3:A4"/>
    <mergeCell ref="C3:C4"/>
    <mergeCell ref="D3:D4"/>
    <mergeCell ref="F3:F4"/>
    <mergeCell ref="G3:G4"/>
    <mergeCell ref="K3:K4"/>
    <mergeCell ref="L3:M3"/>
    <mergeCell ref="E3:E4"/>
    <mergeCell ref="B3:B4"/>
    <mergeCell ref="I1:J1"/>
    <mergeCell ref="I2:J2"/>
    <mergeCell ref="H3:I3"/>
    <mergeCell ref="J3:J4"/>
  </mergeCells>
  <phoneticPr fontId="128" type="noConversion"/>
  <conditionalFormatting sqref="S5:T100">
    <cfRule type="expression" dxfId="12" priority="1" stopIfTrue="1">
      <formula>RiskIsInput</formula>
    </cfRule>
  </conditionalFormatting>
  <pageMargins left="0.7" right="0.7" top="0.75" bottom="0.75" header="0.3" footer="0.3"/>
  <pageSetup orientation="portrait" horizontalDpi="4294967293"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D6BE001-203F-4F29-AA51-AF10E89A10EC}">
  <sheetPr>
    <tabColor rgb="FFFF0000"/>
  </sheetPr>
  <dimension ref="A1:R91"/>
  <sheetViews>
    <sheetView workbookViewId="0">
      <selection activeCell="J24" sqref="J24:K24"/>
    </sheetView>
  </sheetViews>
  <sheetFormatPr defaultColWidth="9.28515625" defaultRowHeight="12.75"/>
  <cols>
    <col min="1" max="1" width="2.28515625" style="300" customWidth="1"/>
    <col min="2" max="2" width="2.42578125" style="300" customWidth="1"/>
    <col min="3" max="3" width="9.28515625" style="300"/>
    <col min="4" max="4" width="15.5703125" style="300" customWidth="1"/>
    <col min="5" max="5" width="9.7109375" style="300" customWidth="1"/>
    <col min="6" max="6" width="1.5703125" style="300" customWidth="1"/>
    <col min="7" max="7" width="20.28515625" style="300" customWidth="1"/>
    <col min="8" max="11" width="9.28515625" style="300"/>
    <col min="12" max="12" width="1.42578125" style="300" customWidth="1"/>
    <col min="13" max="16384" width="9.28515625" style="300"/>
  </cols>
  <sheetData>
    <row r="1" spans="2:13" ht="18">
      <c r="B1" s="290" t="s">
        <v>510</v>
      </c>
      <c r="C1" s="290"/>
      <c r="D1" s="290"/>
    </row>
    <row r="2" spans="2:13">
      <c r="B2" s="301" t="s">
        <v>511</v>
      </c>
      <c r="C2" s="301"/>
      <c r="D2" s="301"/>
    </row>
    <row r="3" spans="2:13">
      <c r="B3" s="621">
        <v>45238.447812500002</v>
      </c>
      <c r="C3" s="621"/>
      <c r="D3" s="621"/>
      <c r="E3" s="302"/>
      <c r="F3" s="303"/>
      <c r="H3" s="302"/>
    </row>
    <row r="4" spans="2:13" ht="3.75" customHeight="1" thickBot="1"/>
    <row r="5" spans="2:13" ht="15.75" thickBot="1">
      <c r="B5" s="292" t="s">
        <v>512</v>
      </c>
      <c r="C5" s="304"/>
      <c r="D5" s="304"/>
      <c r="E5" s="305"/>
      <c r="F5" s="305"/>
      <c r="G5" s="305"/>
      <c r="H5" s="305"/>
      <c r="I5" s="305"/>
      <c r="J5" s="305"/>
      <c r="K5" s="305"/>
      <c r="L5" s="306"/>
    </row>
    <row r="6" spans="2:13" ht="17.25" customHeight="1" thickTop="1" thickBot="1">
      <c r="B6" s="307"/>
      <c r="G6" s="308" t="s">
        <v>513</v>
      </c>
      <c r="H6" s="309"/>
      <c r="L6" s="310"/>
    </row>
    <row r="7" spans="2:13">
      <c r="B7" s="307"/>
      <c r="C7" s="311" t="s">
        <v>514</v>
      </c>
      <c r="D7" s="312"/>
      <c r="E7" s="313" t="s">
        <v>515</v>
      </c>
      <c r="F7" s="314"/>
      <c r="L7" s="310"/>
    </row>
    <row r="8" spans="2:13" ht="18">
      <c r="B8" s="307"/>
      <c r="C8" s="315" t="s">
        <v>434</v>
      </c>
      <c r="D8" s="316"/>
      <c r="E8" s="317">
        <v>0</v>
      </c>
      <c r="F8" s="309"/>
      <c r="L8" s="310"/>
      <c r="M8" s="293"/>
    </row>
    <row r="9" spans="2:13">
      <c r="B9" s="307"/>
      <c r="C9" s="318" t="s">
        <v>516</v>
      </c>
      <c r="D9" s="319"/>
      <c r="E9" s="317">
        <v>0</v>
      </c>
      <c r="F9" s="309"/>
      <c r="L9" s="310"/>
      <c r="M9" s="294"/>
    </row>
    <row r="10" spans="2:13">
      <c r="B10" s="307"/>
      <c r="C10" s="315" t="s">
        <v>517</v>
      </c>
      <c r="D10" s="316"/>
      <c r="E10" s="317">
        <v>0</v>
      </c>
      <c r="F10" s="309"/>
      <c r="L10" s="310"/>
      <c r="M10" s="294"/>
    </row>
    <row r="11" spans="2:13">
      <c r="B11" s="307"/>
      <c r="C11" s="315" t="s">
        <v>518</v>
      </c>
      <c r="D11" s="316"/>
      <c r="E11" s="317">
        <v>0</v>
      </c>
      <c r="F11" s="309"/>
      <c r="L11" s="310"/>
      <c r="M11" s="294"/>
    </row>
    <row r="12" spans="2:13">
      <c r="B12" s="307"/>
      <c r="C12" s="315" t="s">
        <v>519</v>
      </c>
      <c r="D12" s="316"/>
      <c r="E12" s="317">
        <v>0</v>
      </c>
      <c r="F12" s="309"/>
      <c r="L12" s="310"/>
      <c r="M12" s="294"/>
    </row>
    <row r="13" spans="2:13" ht="13.5" thickBot="1">
      <c r="B13" s="307"/>
      <c r="C13" s="320" t="s">
        <v>435</v>
      </c>
      <c r="D13" s="321"/>
      <c r="E13" s="322">
        <v>0</v>
      </c>
      <c r="F13" s="309"/>
      <c r="L13" s="310"/>
    </row>
    <row r="14" spans="2:13" ht="13.5" thickBot="1">
      <c r="B14" s="307"/>
      <c r="C14" s="323"/>
      <c r="L14" s="310"/>
    </row>
    <row r="15" spans="2:13">
      <c r="B15" s="307"/>
      <c r="C15" s="324" t="s">
        <v>514</v>
      </c>
      <c r="D15" s="622" t="s">
        <v>520</v>
      </c>
      <c r="E15" s="623"/>
      <c r="L15" s="310"/>
    </row>
    <row r="16" spans="2:13">
      <c r="B16" s="307"/>
      <c r="C16" s="318" t="s">
        <v>516</v>
      </c>
      <c r="D16" s="319"/>
      <c r="E16" s="325">
        <v>0</v>
      </c>
      <c r="L16" s="310"/>
    </row>
    <row r="17" spans="2:14" ht="13.5" thickBot="1">
      <c r="B17" s="307"/>
      <c r="C17" s="320" t="s">
        <v>519</v>
      </c>
      <c r="D17" s="321"/>
      <c r="E17" s="326">
        <v>0</v>
      </c>
      <c r="L17" s="310"/>
    </row>
    <row r="18" spans="2:14">
      <c r="B18" s="307"/>
      <c r="L18" s="310"/>
    </row>
    <row r="19" spans="2:14" ht="13.5" thickBot="1">
      <c r="B19" s="327"/>
      <c r="C19" s="328"/>
      <c r="D19" s="328"/>
      <c r="E19" s="328"/>
      <c r="F19" s="328"/>
      <c r="G19" s="328"/>
      <c r="H19" s="328"/>
      <c r="I19" s="328"/>
      <c r="J19" s="328"/>
      <c r="K19" s="328"/>
      <c r="L19" s="329"/>
    </row>
    <row r="20" spans="2:14" ht="3.75" customHeight="1" thickBot="1">
      <c r="B20" s="330"/>
      <c r="C20" s="331"/>
      <c r="D20" s="331"/>
      <c r="E20" s="331"/>
      <c r="F20" s="331"/>
      <c r="G20" s="331"/>
      <c r="H20" s="331"/>
      <c r="I20" s="331"/>
      <c r="J20" s="331"/>
      <c r="K20" s="331"/>
      <c r="L20" s="332"/>
    </row>
    <row r="21" spans="2:14" ht="3.75" customHeight="1" thickTop="1"/>
    <row r="22" spans="2:14" ht="13.5" thickBot="1">
      <c r="C22" s="624" t="s">
        <v>521</v>
      </c>
      <c r="D22" s="296" t="s">
        <v>522</v>
      </c>
    </row>
    <row r="23" spans="2:14">
      <c r="C23" s="624"/>
      <c r="D23" s="298" t="s">
        <v>67</v>
      </c>
      <c r="E23" s="298" t="s">
        <v>275</v>
      </c>
      <c r="F23" s="298"/>
      <c r="G23" s="298" t="s">
        <v>523</v>
      </c>
      <c r="H23" s="625" t="s">
        <v>524</v>
      </c>
      <c r="I23" s="625"/>
      <c r="J23" s="625"/>
      <c r="K23" s="625"/>
    </row>
    <row r="24" spans="2:14" ht="13.5" thickBot="1">
      <c r="C24" s="624"/>
      <c r="D24" s="333"/>
      <c r="E24" s="333"/>
      <c r="F24" s="333"/>
      <c r="G24" s="334" t="s">
        <v>525</v>
      </c>
      <c r="H24" s="626" t="s">
        <v>525</v>
      </c>
      <c r="I24" s="626"/>
      <c r="J24" s="626" t="s">
        <v>526</v>
      </c>
      <c r="K24" s="626"/>
    </row>
    <row r="25" spans="2:14" ht="26.25" thickBot="1">
      <c r="C25" s="624"/>
      <c r="D25" s="333"/>
      <c r="E25" s="333"/>
      <c r="F25" s="333"/>
      <c r="G25" s="335"/>
      <c r="H25" s="336" t="s">
        <v>430</v>
      </c>
      <c r="I25" s="336" t="s">
        <v>431</v>
      </c>
      <c r="J25" s="336" t="s">
        <v>430</v>
      </c>
      <c r="K25" s="336" t="s">
        <v>431</v>
      </c>
    </row>
    <row r="26" spans="2:14" ht="26.25" thickBot="1">
      <c r="C26" s="624"/>
      <c r="D26" s="297" t="s">
        <v>45</v>
      </c>
      <c r="E26" s="297" t="s">
        <v>527</v>
      </c>
      <c r="F26" s="297"/>
      <c r="G26" s="337">
        <v>0</v>
      </c>
      <c r="H26" s="338">
        <v>0</v>
      </c>
      <c r="I26" s="338">
        <v>0</v>
      </c>
      <c r="J26" s="339">
        <v>0</v>
      </c>
      <c r="K26" s="339">
        <v>0</v>
      </c>
    </row>
    <row r="27" spans="2:14" ht="13.5">
      <c r="C27" s="624"/>
      <c r="D27" s="295" t="s">
        <v>528</v>
      </c>
      <c r="N27" s="340"/>
    </row>
    <row r="33" spans="2:13" ht="13.5" thickBot="1"/>
    <row r="34" spans="2:13" ht="15.75" thickBot="1">
      <c r="B34" s="292" t="s">
        <v>529</v>
      </c>
      <c r="C34" s="304"/>
      <c r="D34" s="304"/>
      <c r="E34" s="305"/>
      <c r="F34" s="305"/>
      <c r="G34" s="305"/>
      <c r="H34" s="305"/>
      <c r="I34" s="305"/>
      <c r="J34" s="305"/>
      <c r="K34" s="305"/>
      <c r="L34" s="306"/>
    </row>
    <row r="35" spans="2:13" ht="14.25" thickTop="1" thickBot="1">
      <c r="B35" s="307"/>
      <c r="G35" s="308" t="s">
        <v>513</v>
      </c>
      <c r="H35" s="309"/>
      <c r="L35" s="310"/>
    </row>
    <row r="36" spans="2:13">
      <c r="B36" s="307"/>
      <c r="C36" s="311" t="s">
        <v>514</v>
      </c>
      <c r="D36" s="312"/>
      <c r="E36" s="313" t="s">
        <v>515</v>
      </c>
      <c r="F36" s="314"/>
      <c r="L36" s="310"/>
    </row>
    <row r="37" spans="2:13" ht="18">
      <c r="B37" s="307"/>
      <c r="C37" s="315" t="s">
        <v>434</v>
      </c>
      <c r="D37" s="316"/>
      <c r="E37" s="317">
        <v>7.6855628227664226E-3</v>
      </c>
      <c r="F37" s="309"/>
      <c r="L37" s="310"/>
      <c r="M37" s="293"/>
    </row>
    <row r="38" spans="2:13">
      <c r="B38" s="307"/>
      <c r="C38" s="318" t="s">
        <v>516</v>
      </c>
      <c r="D38" s="319"/>
      <c r="E38" s="317">
        <v>1.0316371400959796E-2</v>
      </c>
      <c r="F38" s="309"/>
      <c r="L38" s="310"/>
      <c r="M38" s="294"/>
    </row>
    <row r="39" spans="2:13">
      <c r="B39" s="307"/>
      <c r="C39" s="315" t="s">
        <v>517</v>
      </c>
      <c r="D39" s="316"/>
      <c r="E39" s="317">
        <v>1.38135524699033E-2</v>
      </c>
      <c r="F39" s="309"/>
      <c r="L39" s="310"/>
      <c r="M39" s="294"/>
    </row>
    <row r="40" spans="2:13">
      <c r="B40" s="307"/>
      <c r="C40" s="315" t="s">
        <v>518</v>
      </c>
      <c r="D40" s="316"/>
      <c r="E40" s="317">
        <v>1.9718511892018523E-3</v>
      </c>
      <c r="F40" s="309"/>
      <c r="L40" s="310"/>
      <c r="M40" s="294"/>
    </row>
    <row r="41" spans="2:13">
      <c r="B41" s="307"/>
      <c r="C41" s="315" t="s">
        <v>519</v>
      </c>
      <c r="D41" s="316"/>
      <c r="E41" s="317">
        <v>1.8020521608671722E-2</v>
      </c>
      <c r="F41" s="309"/>
      <c r="L41" s="310"/>
      <c r="M41" s="294"/>
    </row>
    <row r="42" spans="2:13" ht="13.5" thickBot="1">
      <c r="B42" s="307"/>
      <c r="C42" s="320" t="s">
        <v>435</v>
      </c>
      <c r="D42" s="321"/>
      <c r="E42" s="322">
        <v>2.304885469568051E-2</v>
      </c>
      <c r="F42" s="309"/>
      <c r="L42" s="310"/>
    </row>
    <row r="43" spans="2:13" ht="13.5" thickBot="1">
      <c r="B43" s="307"/>
      <c r="C43" s="323"/>
      <c r="L43" s="310"/>
    </row>
    <row r="44" spans="2:13">
      <c r="B44" s="307"/>
      <c r="C44" s="324" t="s">
        <v>514</v>
      </c>
      <c r="D44" s="622" t="s">
        <v>520</v>
      </c>
      <c r="E44" s="623"/>
      <c r="L44" s="310"/>
    </row>
    <row r="45" spans="2:13">
      <c r="B45" s="307"/>
      <c r="C45" s="318" t="s">
        <v>516</v>
      </c>
      <c r="D45" s="319"/>
      <c r="E45" s="341">
        <v>-0.2531702888567654</v>
      </c>
      <c r="L45" s="310"/>
    </row>
    <row r="46" spans="2:13" ht="13.5" thickBot="1">
      <c r="B46" s="307"/>
      <c r="C46" s="320" t="s">
        <v>519</v>
      </c>
      <c r="D46" s="321"/>
      <c r="E46" s="342">
        <v>0.30455374516689204</v>
      </c>
      <c r="L46" s="310"/>
    </row>
    <row r="47" spans="2:13">
      <c r="B47" s="307"/>
      <c r="L47" s="310"/>
    </row>
    <row r="48" spans="2:13" ht="13.5" thickBot="1">
      <c r="B48" s="327"/>
      <c r="C48" s="328"/>
      <c r="D48" s="328"/>
      <c r="E48" s="328"/>
      <c r="F48" s="328"/>
      <c r="G48" s="328"/>
      <c r="H48" s="328"/>
      <c r="I48" s="328"/>
      <c r="J48" s="328"/>
      <c r="K48" s="328"/>
      <c r="L48" s="329"/>
    </row>
    <row r="49" spans="2:14" ht="13.5" thickBot="1">
      <c r="B49" s="330"/>
      <c r="C49" s="331"/>
      <c r="D49" s="331"/>
      <c r="E49" s="331"/>
      <c r="F49" s="331"/>
      <c r="G49" s="331"/>
      <c r="H49" s="331"/>
      <c r="I49" s="331"/>
      <c r="J49" s="331"/>
      <c r="K49" s="331"/>
      <c r="L49" s="332"/>
    </row>
    <row r="50" spans="2:14" ht="13.5" thickTop="1"/>
    <row r="51" spans="2:14" ht="13.5" thickBot="1">
      <c r="C51" s="624" t="s">
        <v>521</v>
      </c>
      <c r="D51" s="296" t="s">
        <v>530</v>
      </c>
    </row>
    <row r="52" spans="2:14">
      <c r="C52" s="624"/>
      <c r="D52" s="298" t="s">
        <v>67</v>
      </c>
      <c r="E52" s="298" t="s">
        <v>275</v>
      </c>
      <c r="F52" s="298"/>
      <c r="G52" s="298" t="s">
        <v>523</v>
      </c>
      <c r="H52" s="625" t="s">
        <v>524</v>
      </c>
      <c r="I52" s="625"/>
      <c r="J52" s="625"/>
      <c r="K52" s="625"/>
    </row>
    <row r="53" spans="2:14" ht="13.5" thickBot="1">
      <c r="C53" s="624"/>
      <c r="D53" s="333"/>
      <c r="E53" s="333"/>
      <c r="F53" s="333"/>
      <c r="G53" s="334" t="s">
        <v>525</v>
      </c>
      <c r="H53" s="626" t="s">
        <v>525</v>
      </c>
      <c r="I53" s="626"/>
      <c r="J53" s="626" t="s">
        <v>526</v>
      </c>
      <c r="K53" s="626"/>
    </row>
    <row r="54" spans="2:14" ht="26.25" thickBot="1">
      <c r="C54" s="624"/>
      <c r="D54" s="333"/>
      <c r="E54" s="333"/>
      <c r="F54" s="333"/>
      <c r="G54" s="335"/>
      <c r="H54" s="336" t="s">
        <v>430</v>
      </c>
      <c r="I54" s="336" t="s">
        <v>431</v>
      </c>
      <c r="J54" s="336" t="s">
        <v>430</v>
      </c>
      <c r="K54" s="336" t="s">
        <v>431</v>
      </c>
    </row>
    <row r="55" spans="2:14" ht="13.5" thickBot="1">
      <c r="C55" s="624"/>
      <c r="D55" s="299" t="s">
        <v>62</v>
      </c>
      <c r="E55" s="297" t="s">
        <v>360</v>
      </c>
      <c r="F55" s="297"/>
      <c r="G55" s="550">
        <v>1.3709741746950986E-2</v>
      </c>
      <c r="H55" s="338">
        <v>1.0316371400959796E-2</v>
      </c>
      <c r="I55" s="338">
        <v>1.8020521608671722E-2</v>
      </c>
      <c r="J55" s="343">
        <v>-0.2475152638630751</v>
      </c>
      <c r="K55" s="343">
        <v>0.31443187926420579</v>
      </c>
    </row>
    <row r="56" spans="2:14" ht="13.5">
      <c r="C56" s="624"/>
      <c r="D56" s="295" t="s">
        <v>528</v>
      </c>
      <c r="N56" s="340"/>
    </row>
    <row r="62" spans="2:14" ht="13.5" thickBot="1"/>
    <row r="63" spans="2:14" ht="15.75" thickBot="1">
      <c r="B63" s="292" t="s">
        <v>531</v>
      </c>
      <c r="C63" s="304"/>
      <c r="D63" s="304"/>
      <c r="E63" s="305"/>
      <c r="F63" s="305"/>
      <c r="G63" s="305"/>
      <c r="H63" s="305"/>
      <c r="I63" s="305"/>
      <c r="J63" s="305"/>
      <c r="K63" s="305"/>
      <c r="L63" s="306"/>
    </row>
    <row r="64" spans="2:14" ht="14.25" thickTop="1" thickBot="1">
      <c r="B64" s="307"/>
      <c r="G64" s="308" t="s">
        <v>513</v>
      </c>
      <c r="H64" s="309"/>
      <c r="L64" s="310"/>
    </row>
    <row r="65" spans="2:13">
      <c r="B65" s="307"/>
      <c r="C65" s="311" t="s">
        <v>514</v>
      </c>
      <c r="D65" s="312"/>
      <c r="E65" s="313" t="s">
        <v>515</v>
      </c>
      <c r="F65" s="314"/>
      <c r="L65" s="310"/>
    </row>
    <row r="66" spans="2:13" ht="18">
      <c r="B66" s="307"/>
      <c r="C66" s="315" t="s">
        <v>434</v>
      </c>
      <c r="D66" s="316"/>
      <c r="E66" s="317">
        <v>0.74864189573691098</v>
      </c>
      <c r="F66" s="309"/>
      <c r="L66" s="310"/>
      <c r="M66" s="293"/>
    </row>
    <row r="67" spans="2:13">
      <c r="B67" s="307"/>
      <c r="C67" s="318" t="s">
        <v>516</v>
      </c>
      <c r="D67" s="319"/>
      <c r="E67" s="317">
        <v>0.77407691653146327</v>
      </c>
      <c r="F67" s="309"/>
      <c r="L67" s="310"/>
      <c r="M67" s="294"/>
    </row>
    <row r="68" spans="2:13">
      <c r="B68" s="307"/>
      <c r="C68" s="315" t="s">
        <v>517</v>
      </c>
      <c r="D68" s="316"/>
      <c r="E68" s="317">
        <v>0.81788341529152175</v>
      </c>
      <c r="F68" s="309"/>
      <c r="L68" s="310"/>
      <c r="M68" s="294"/>
    </row>
    <row r="69" spans="2:13">
      <c r="B69" s="307"/>
      <c r="C69" s="315" t="s">
        <v>518</v>
      </c>
      <c r="D69" s="316"/>
      <c r="E69" s="317">
        <v>2.3790619114438121E-2</v>
      </c>
      <c r="F69" s="309"/>
      <c r="L69" s="310"/>
      <c r="M69" s="294"/>
    </row>
    <row r="70" spans="2:13">
      <c r="B70" s="307"/>
      <c r="C70" s="315" t="s">
        <v>519</v>
      </c>
      <c r="D70" s="316"/>
      <c r="E70" s="317">
        <v>0.86560813169330508</v>
      </c>
      <c r="F70" s="309"/>
      <c r="L70" s="310"/>
      <c r="M70" s="294"/>
    </row>
    <row r="71" spans="2:13" ht="13.5" thickBot="1">
      <c r="B71" s="307"/>
      <c r="C71" s="320" t="s">
        <v>435</v>
      </c>
      <c r="D71" s="321"/>
      <c r="E71" s="322">
        <v>0.90597682918105826</v>
      </c>
      <c r="F71" s="309"/>
      <c r="L71" s="310"/>
    </row>
    <row r="72" spans="2:13" ht="13.5" thickBot="1">
      <c r="B72" s="307"/>
      <c r="C72" s="323"/>
      <c r="L72" s="310"/>
    </row>
    <row r="73" spans="2:13">
      <c r="B73" s="307"/>
      <c r="C73" s="324" t="s">
        <v>514</v>
      </c>
      <c r="D73" s="622" t="s">
        <v>520</v>
      </c>
      <c r="E73" s="623"/>
      <c r="L73" s="310"/>
    </row>
    <row r="74" spans="2:13">
      <c r="B74" s="307"/>
      <c r="C74" s="318" t="s">
        <v>516</v>
      </c>
      <c r="D74" s="319"/>
      <c r="E74" s="341">
        <v>-5.3560810674274872E-2</v>
      </c>
      <c r="L74" s="310"/>
    </row>
    <row r="75" spans="2:13" ht="13.5" thickBot="1">
      <c r="B75" s="307"/>
      <c r="C75" s="320" t="s">
        <v>519</v>
      </c>
      <c r="D75" s="321"/>
      <c r="E75" s="342">
        <v>5.8351490578608445E-2</v>
      </c>
      <c r="L75" s="310"/>
    </row>
    <row r="76" spans="2:13">
      <c r="B76" s="307"/>
      <c r="L76" s="310"/>
    </row>
    <row r="77" spans="2:13" ht="13.5" thickBot="1">
      <c r="B77" s="327"/>
      <c r="C77" s="328"/>
      <c r="D77" s="328"/>
      <c r="E77" s="328"/>
      <c r="F77" s="328"/>
      <c r="G77" s="328"/>
      <c r="H77" s="328"/>
      <c r="I77" s="328"/>
      <c r="J77" s="328"/>
      <c r="K77" s="328"/>
      <c r="L77" s="329"/>
    </row>
    <row r="78" spans="2:13" ht="13.5" thickBot="1">
      <c r="B78" s="330"/>
      <c r="C78" s="331"/>
      <c r="D78" s="331"/>
      <c r="E78" s="331"/>
      <c r="F78" s="331"/>
      <c r="G78" s="331"/>
      <c r="H78" s="331"/>
      <c r="I78" s="331"/>
      <c r="J78" s="331"/>
      <c r="K78" s="331"/>
      <c r="L78" s="332"/>
    </row>
    <row r="79" spans="2:13" ht="13.5" thickTop="1"/>
    <row r="80" spans="2:13" ht="13.5" thickBot="1">
      <c r="C80" s="624" t="s">
        <v>521</v>
      </c>
      <c r="D80" s="296" t="s">
        <v>532</v>
      </c>
    </row>
    <row r="81" spans="1:18">
      <c r="C81" s="624"/>
      <c r="D81" s="298" t="s">
        <v>67</v>
      </c>
      <c r="E81" s="298" t="s">
        <v>275</v>
      </c>
      <c r="F81" s="298"/>
      <c r="G81" s="298" t="s">
        <v>523</v>
      </c>
      <c r="H81" s="625" t="s">
        <v>524</v>
      </c>
      <c r="I81" s="625"/>
      <c r="J81" s="625"/>
      <c r="K81" s="625"/>
    </row>
    <row r="82" spans="1:18" ht="13.5" thickBot="1">
      <c r="C82" s="624"/>
      <c r="D82" s="333"/>
      <c r="E82" s="333"/>
      <c r="F82" s="333"/>
      <c r="G82" s="334" t="s">
        <v>525</v>
      </c>
      <c r="H82" s="626" t="s">
        <v>525</v>
      </c>
      <c r="I82" s="626"/>
      <c r="J82" s="626" t="s">
        <v>526</v>
      </c>
      <c r="K82" s="626"/>
    </row>
    <row r="83" spans="1:18" ht="26.25" thickBot="1">
      <c r="C83" s="624"/>
      <c r="D83" s="333"/>
      <c r="E83" s="333"/>
      <c r="F83" s="333"/>
      <c r="G83" s="335"/>
      <c r="H83" s="336" t="s">
        <v>430</v>
      </c>
      <c r="I83" s="336" t="s">
        <v>431</v>
      </c>
      <c r="J83" s="336" t="s">
        <v>430</v>
      </c>
      <c r="K83" s="336" t="s">
        <v>431</v>
      </c>
    </row>
    <row r="84" spans="1:18" ht="39" thickBot="1">
      <c r="C84" s="624"/>
      <c r="D84" s="297" t="s">
        <v>50</v>
      </c>
      <c r="E84" s="297" t="s">
        <v>533</v>
      </c>
      <c r="F84" s="297"/>
      <c r="G84" s="550">
        <v>0.80325703116229852</v>
      </c>
      <c r="H84" s="338">
        <v>0.77407691653146327</v>
      </c>
      <c r="I84" s="338">
        <v>0.86560813169330508</v>
      </c>
      <c r="J84" s="343">
        <v>-3.6327244579001272E-2</v>
      </c>
      <c r="K84" s="343">
        <v>7.7622850609580851E-2</v>
      </c>
      <c r="P84" s="308"/>
    </row>
    <row r="85" spans="1:18" ht="13.5">
      <c r="C85" s="624"/>
      <c r="D85" s="295" t="s">
        <v>528</v>
      </c>
      <c r="N85" s="340"/>
    </row>
    <row r="86" spans="1:18">
      <c r="A86" s="549"/>
      <c r="B86" s="549"/>
      <c r="C86" s="549"/>
      <c r="D86" s="549"/>
      <c r="E86" s="549"/>
      <c r="F86" s="549"/>
      <c r="G86" s="549"/>
      <c r="H86" s="549"/>
      <c r="I86" s="549"/>
      <c r="J86" s="549"/>
      <c r="K86" s="549"/>
      <c r="L86" s="549"/>
      <c r="M86" s="549"/>
      <c r="N86" s="549"/>
      <c r="O86" s="549"/>
      <c r="P86" s="549"/>
      <c r="Q86" s="549"/>
      <c r="R86" s="549"/>
    </row>
    <row r="87" spans="1:18">
      <c r="A87" s="549"/>
      <c r="B87" s="549"/>
      <c r="C87" s="549"/>
      <c r="D87" s="549"/>
      <c r="E87" s="549"/>
      <c r="F87" s="549"/>
      <c r="G87" s="549"/>
      <c r="H87" s="549"/>
      <c r="I87" s="549"/>
      <c r="J87" s="549"/>
      <c r="K87" s="549"/>
      <c r="L87" s="549"/>
      <c r="M87" s="549"/>
      <c r="N87" s="549"/>
      <c r="O87" s="549"/>
      <c r="P87" s="549"/>
      <c r="Q87" s="549"/>
      <c r="R87" s="549"/>
    </row>
    <row r="88" spans="1:18">
      <c r="A88" s="549"/>
      <c r="B88" s="549"/>
      <c r="C88" s="549"/>
      <c r="D88" s="549"/>
      <c r="E88" s="549"/>
      <c r="F88" s="549"/>
      <c r="G88" s="549"/>
      <c r="H88" s="549"/>
      <c r="I88" s="549"/>
      <c r="J88" s="549"/>
      <c r="K88" s="549"/>
      <c r="L88" s="549"/>
      <c r="M88" s="549"/>
      <c r="N88" s="549"/>
      <c r="O88" s="549"/>
      <c r="P88" s="549"/>
      <c r="Q88" s="549"/>
      <c r="R88" s="549"/>
    </row>
    <row r="89" spans="1:18">
      <c r="A89" s="549"/>
      <c r="B89" s="549"/>
      <c r="C89" s="549"/>
      <c r="D89" s="549"/>
      <c r="E89" s="549"/>
      <c r="F89" s="549"/>
      <c r="G89" s="549"/>
      <c r="H89" s="549"/>
      <c r="I89" s="549"/>
      <c r="J89" s="549"/>
      <c r="K89" s="549"/>
      <c r="L89" s="549"/>
      <c r="M89" s="549"/>
      <c r="N89" s="549"/>
      <c r="O89" s="549"/>
      <c r="P89" s="549"/>
      <c r="Q89" s="549"/>
      <c r="R89" s="549"/>
    </row>
    <row r="90" spans="1:18">
      <c r="A90" s="549"/>
      <c r="B90" s="549"/>
      <c r="C90" s="549"/>
      <c r="D90" s="549"/>
      <c r="E90" s="549"/>
      <c r="F90" s="549"/>
      <c r="G90" s="549"/>
      <c r="H90" s="549"/>
      <c r="I90" s="549"/>
      <c r="J90" s="549"/>
      <c r="K90" s="549"/>
      <c r="L90" s="549"/>
      <c r="M90" s="549"/>
      <c r="N90" s="549"/>
      <c r="O90" s="549"/>
      <c r="P90" s="549"/>
      <c r="Q90" s="549"/>
      <c r="R90" s="549"/>
    </row>
    <row r="91" spans="1:18">
      <c r="A91" s="549"/>
      <c r="B91" s="549"/>
      <c r="C91" s="549"/>
      <c r="D91" s="549"/>
      <c r="E91" s="549"/>
      <c r="F91" s="549"/>
      <c r="G91" s="549"/>
      <c r="H91" s="549"/>
      <c r="I91" s="549"/>
      <c r="J91" s="549"/>
      <c r="K91" s="549"/>
      <c r="L91" s="549"/>
      <c r="M91" s="549"/>
      <c r="N91" s="549"/>
      <c r="O91" s="549"/>
      <c r="P91" s="549"/>
      <c r="Q91" s="549"/>
      <c r="R91" s="549"/>
    </row>
  </sheetData>
  <mergeCells count="16">
    <mergeCell ref="C80:C85"/>
    <mergeCell ref="H81:K81"/>
    <mergeCell ref="H82:I82"/>
    <mergeCell ref="J82:K82"/>
    <mergeCell ref="D44:E44"/>
    <mergeCell ref="C51:C56"/>
    <mergeCell ref="H52:K52"/>
    <mergeCell ref="H53:I53"/>
    <mergeCell ref="J53:K53"/>
    <mergeCell ref="D73:E73"/>
    <mergeCell ref="B3:D3"/>
    <mergeCell ref="D15:E15"/>
    <mergeCell ref="C22:C27"/>
    <mergeCell ref="H23:K23"/>
    <mergeCell ref="H24:I24"/>
    <mergeCell ref="J24:K24"/>
  </mergeCells>
  <conditionalFormatting sqref="E8:E13">
    <cfRule type="expression" dxfId="11" priority="3" stopIfTrue="1">
      <formula>RiskIsStatistics</formula>
    </cfRule>
  </conditionalFormatting>
  <conditionalFormatting sqref="E37:E42">
    <cfRule type="expression" dxfId="10" priority="2" stopIfTrue="1">
      <formula>RiskIsStatistics</formula>
    </cfRule>
  </conditionalFormatting>
  <conditionalFormatting sqref="E66:E71">
    <cfRule type="expression" dxfId="9" priority="1" stopIfTrue="1">
      <formula>RiskIsStatistics</formula>
    </cfRule>
  </conditionalFormatting>
  <conditionalFormatting sqref="G6">
    <cfRule type="expression" dxfId="8" priority="4" stopIfTrue="1">
      <formula>RiskIsStatistics</formula>
    </cfRule>
  </conditionalFormatting>
  <conditionalFormatting sqref="G35">
    <cfRule type="expression" dxfId="7" priority="5" stopIfTrue="1">
      <formula>RiskIsStatistics</formula>
    </cfRule>
  </conditionalFormatting>
  <conditionalFormatting sqref="G64">
    <cfRule type="expression" dxfId="6" priority="6" stopIfTrue="1">
      <formula>RiskIsStatistics</formula>
    </cfRule>
  </conditionalFormatting>
  <pageMargins left="0.75" right="0.75" top="1" bottom="1" header="0.5" footer="0.5"/>
  <pageSetup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CB20085-551D-46FD-B84C-47CA100B1252}">
  <sheetPr>
    <tabColor rgb="FF800080"/>
  </sheetPr>
  <dimension ref="B1:O43"/>
  <sheetViews>
    <sheetView zoomScale="80" zoomScaleNormal="80" workbookViewId="0">
      <selection activeCell="E19" sqref="E19"/>
    </sheetView>
  </sheetViews>
  <sheetFormatPr defaultColWidth="8.7109375" defaultRowHeight="14.25"/>
  <cols>
    <col min="1" max="1" width="3.28515625" style="439" customWidth="1"/>
    <col min="2" max="2" width="50.28515625" style="439" customWidth="1"/>
    <col min="3" max="3" width="10.5703125" style="440" customWidth="1"/>
    <col min="4" max="4" width="19.140625" style="439" bestFit="1" customWidth="1"/>
    <col min="5" max="5" width="17.28515625" style="439" bestFit="1" customWidth="1"/>
    <col min="6" max="7" width="17.28515625" style="439" customWidth="1"/>
    <col min="8" max="8" width="17.28515625" style="439" bestFit="1" customWidth="1"/>
    <col min="9" max="12" width="17.28515625" style="439" customWidth="1"/>
    <col min="13" max="14" width="17.28515625" style="439" bestFit="1" customWidth="1"/>
    <col min="15" max="15" width="15.28515625" style="439" customWidth="1"/>
    <col min="16" max="16384" width="8.7109375" style="439"/>
  </cols>
  <sheetData>
    <row r="1" spans="2:15" ht="21">
      <c r="B1" s="441" t="s">
        <v>44</v>
      </c>
    </row>
    <row r="6" spans="2:15" ht="20.25">
      <c r="D6" s="441">
        <v>1990</v>
      </c>
      <c r="E6" s="441">
        <v>2005</v>
      </c>
      <c r="F6" s="441">
        <v>2007</v>
      </c>
      <c r="G6" s="441">
        <v>2010</v>
      </c>
      <c r="H6" s="441">
        <v>2015</v>
      </c>
      <c r="I6" s="441">
        <v>2016</v>
      </c>
      <c r="J6" s="441">
        <v>2017</v>
      </c>
      <c r="K6" s="441">
        <v>2018</v>
      </c>
      <c r="L6" s="441">
        <v>2019</v>
      </c>
      <c r="M6" s="441">
        <v>2020</v>
      </c>
      <c r="N6" s="441">
        <v>2021</v>
      </c>
      <c r="O6" s="441">
        <v>2022</v>
      </c>
    </row>
    <row r="7" spans="2:15" ht="15" thickBot="1"/>
    <row r="8" spans="2:15" ht="15">
      <c r="B8" s="442" t="s">
        <v>45</v>
      </c>
      <c r="C8" s="443"/>
      <c r="D8" s="444"/>
      <c r="E8" s="444"/>
      <c r="F8" s="444"/>
      <c r="G8" s="444"/>
      <c r="H8" s="444"/>
      <c r="I8" s="444"/>
      <c r="J8" s="444"/>
      <c r="K8" s="444"/>
      <c r="L8" s="444"/>
      <c r="M8" s="444"/>
      <c r="N8" s="444"/>
      <c r="O8" s="445"/>
    </row>
    <row r="9" spans="2:15" ht="15.75">
      <c r="B9" s="449"/>
      <c r="C9" s="440" t="s">
        <v>46</v>
      </c>
      <c r="D9" s="454">
        <f>Cement!B12</f>
        <v>0.10146173274</v>
      </c>
      <c r="E9" s="454">
        <f>Cement!C12</f>
        <v>0</v>
      </c>
      <c r="F9" s="454">
        <f>Cement!D12</f>
        <v>0</v>
      </c>
      <c r="G9" s="454">
        <f>Cement!E12</f>
        <v>0</v>
      </c>
      <c r="H9" s="454">
        <f>Cement!F12</f>
        <v>0</v>
      </c>
      <c r="I9" s="454">
        <f>Cement!G12</f>
        <v>0</v>
      </c>
      <c r="J9" s="454">
        <f>Cement!H12</f>
        <v>0</v>
      </c>
      <c r="K9" s="454">
        <f>Cement!I12</f>
        <v>0</v>
      </c>
      <c r="L9" s="454">
        <f>Cement!J12</f>
        <v>0</v>
      </c>
      <c r="M9" s="454">
        <f>Cement!K12</f>
        <v>0</v>
      </c>
      <c r="N9" s="454">
        <f>Cement!L12</f>
        <v>0</v>
      </c>
      <c r="O9" s="455">
        <f>Cement!M12</f>
        <v>0</v>
      </c>
    </row>
    <row r="10" spans="2:15" ht="15.75">
      <c r="B10" s="447"/>
      <c r="C10" s="440" t="s">
        <v>47</v>
      </c>
      <c r="D10" s="454">
        <f>0</f>
        <v>0</v>
      </c>
      <c r="E10" s="454">
        <f>0</f>
        <v>0</v>
      </c>
      <c r="F10" s="454">
        <f>0</f>
        <v>0</v>
      </c>
      <c r="G10" s="454">
        <f>0</f>
        <v>0</v>
      </c>
      <c r="H10" s="454">
        <f>0</f>
        <v>0</v>
      </c>
      <c r="I10" s="454">
        <f>0</f>
        <v>0</v>
      </c>
      <c r="J10" s="454">
        <f>0</f>
        <v>0</v>
      </c>
      <c r="K10" s="454">
        <f>0</f>
        <v>0</v>
      </c>
      <c r="L10" s="454">
        <f>0</f>
        <v>0</v>
      </c>
      <c r="M10" s="454">
        <f>0</f>
        <v>0</v>
      </c>
      <c r="N10" s="454">
        <f>0</f>
        <v>0</v>
      </c>
      <c r="O10" s="455">
        <f>0</f>
        <v>0</v>
      </c>
    </row>
    <row r="11" spans="2:15" ht="15.75">
      <c r="B11" s="447"/>
      <c r="C11" s="440" t="s">
        <v>48</v>
      </c>
      <c r="D11" s="454">
        <f>0</f>
        <v>0</v>
      </c>
      <c r="E11" s="454">
        <f>0</f>
        <v>0</v>
      </c>
      <c r="F11" s="454">
        <f>0</f>
        <v>0</v>
      </c>
      <c r="G11" s="454">
        <f>0</f>
        <v>0</v>
      </c>
      <c r="H11" s="454">
        <f>0</f>
        <v>0</v>
      </c>
      <c r="I11" s="454">
        <f>0</f>
        <v>0</v>
      </c>
      <c r="J11" s="454">
        <f>0</f>
        <v>0</v>
      </c>
      <c r="K11" s="454">
        <f>0</f>
        <v>0</v>
      </c>
      <c r="L11" s="454">
        <f>0</f>
        <v>0</v>
      </c>
      <c r="M11" s="454">
        <f>0</f>
        <v>0</v>
      </c>
      <c r="N11" s="454">
        <f>0</f>
        <v>0</v>
      </c>
      <c r="O11" s="455">
        <f>0</f>
        <v>0</v>
      </c>
    </row>
    <row r="12" spans="2:15" ht="15.75" thickBot="1">
      <c r="B12" s="450" t="s">
        <v>49</v>
      </c>
      <c r="C12" s="451"/>
      <c r="D12" s="458">
        <f t="shared" ref="D12:L12" si="0">SUM(D9:D11)</f>
        <v>0.10146173274</v>
      </c>
      <c r="E12" s="458">
        <f t="shared" si="0"/>
        <v>0</v>
      </c>
      <c r="F12" s="458">
        <f t="shared" si="0"/>
        <v>0</v>
      </c>
      <c r="G12" s="458">
        <f t="shared" si="0"/>
        <v>0</v>
      </c>
      <c r="H12" s="458">
        <f t="shared" si="0"/>
        <v>0</v>
      </c>
      <c r="I12" s="458">
        <f t="shared" si="0"/>
        <v>0</v>
      </c>
      <c r="J12" s="458">
        <f t="shared" si="0"/>
        <v>0</v>
      </c>
      <c r="K12" s="458">
        <f t="shared" si="0"/>
        <v>0</v>
      </c>
      <c r="L12" s="458">
        <f t="shared" si="0"/>
        <v>0</v>
      </c>
      <c r="M12" s="458">
        <f t="shared" ref="M12:N12" si="1">SUM(M9:M11)</f>
        <v>0</v>
      </c>
      <c r="N12" s="458">
        <f t="shared" si="1"/>
        <v>0</v>
      </c>
      <c r="O12" s="459">
        <f t="shared" ref="O12" si="2">SUM(O9:O11)</f>
        <v>0</v>
      </c>
    </row>
    <row r="13" spans="2:15" ht="15" thickBot="1"/>
    <row r="14" spans="2:15" ht="15">
      <c r="B14" s="442" t="s">
        <v>50</v>
      </c>
      <c r="C14" s="443"/>
      <c r="D14" s="444"/>
      <c r="E14" s="444"/>
      <c r="F14" s="444"/>
      <c r="G14" s="444"/>
      <c r="H14" s="444"/>
      <c r="I14" s="444"/>
      <c r="J14" s="444"/>
      <c r="K14" s="444"/>
      <c r="L14" s="444"/>
      <c r="M14" s="444"/>
      <c r="N14" s="444"/>
      <c r="O14" s="445"/>
    </row>
    <row r="15" spans="2:15" ht="15">
      <c r="B15" s="453"/>
      <c r="C15" s="440" t="s">
        <v>51</v>
      </c>
      <c r="D15" s="456">
        <f>'ODS Subs'!D200</f>
        <v>0</v>
      </c>
      <c r="E15" s="456">
        <f>'ODS Subs'!E200</f>
        <v>5.0656522538344812E-5</v>
      </c>
      <c r="F15" s="456">
        <f>'ODS Subs'!F200</f>
        <v>5.9049396189051628E-5</v>
      </c>
      <c r="G15" s="456">
        <f>'ODS Subs'!G200</f>
        <v>7.3766400027782883E-5</v>
      </c>
      <c r="H15" s="456">
        <f>'ODS Subs'!H200</f>
        <v>1.0886694942103379E-4</v>
      </c>
      <c r="I15" s="456">
        <f>'ODS Subs'!I200</f>
        <v>1.1533422720203555E-4</v>
      </c>
      <c r="J15" s="456">
        <f>'ODS Subs'!J200</f>
        <v>1.2292754506689889E-4</v>
      </c>
      <c r="K15" s="456">
        <f>'ODS Subs'!K200</f>
        <v>1.3027477690801456E-4</v>
      </c>
      <c r="L15" s="456">
        <f>'ODS Subs'!L200</f>
        <v>1.3731649096687163E-4</v>
      </c>
      <c r="M15" s="456">
        <f>'ODS Subs'!M200</f>
        <v>1.3035587516040334E-4</v>
      </c>
      <c r="N15" s="456">
        <f>'ODS Subs'!N200</f>
        <v>1.4056436115366929E-4</v>
      </c>
      <c r="O15" s="457">
        <f>'ODS Subs'!O200</f>
        <v>1.4714727759435964E-4</v>
      </c>
    </row>
    <row r="16" spans="2:15" ht="15">
      <c r="B16" s="453"/>
      <c r="C16" s="440" t="s">
        <v>52</v>
      </c>
      <c r="D16" s="456">
        <f>'ODS Subs'!D201</f>
        <v>0</v>
      </c>
      <c r="E16" s="456">
        <f>'ODS Subs'!E201</f>
        <v>1.2487035492141749E-3</v>
      </c>
      <c r="F16" s="456">
        <f>'ODS Subs'!F201</f>
        <v>2.8895736687361479E-3</v>
      </c>
      <c r="G16" s="456">
        <f>'ODS Subs'!G201</f>
        <v>6.8960549972164574E-3</v>
      </c>
      <c r="H16" s="456">
        <f>'ODS Subs'!H201</f>
        <v>1.9978445649759438E-2</v>
      </c>
      <c r="I16" s="456">
        <f>'ODS Subs'!I201</f>
        <v>2.3178166892608116E-2</v>
      </c>
      <c r="J16" s="456">
        <f>'ODS Subs'!J201</f>
        <v>2.6761271542075318E-2</v>
      </c>
      <c r="K16" s="456">
        <f>'ODS Subs'!K201</f>
        <v>3.0508233134710006E-2</v>
      </c>
      <c r="L16" s="456">
        <f>'ODS Subs'!L201</f>
        <v>3.4141900176733672E-2</v>
      </c>
      <c r="M16" s="456">
        <f>'ODS Subs'!M201</f>
        <v>3.5006399859817461E-2</v>
      </c>
      <c r="N16" s="456">
        <f>'ODS Subs'!N201</f>
        <v>4.4264069042949328E-2</v>
      </c>
      <c r="O16" s="457">
        <f>'ODS Subs'!O201</f>
        <v>4.9874669525202149E-2</v>
      </c>
    </row>
    <row r="17" spans="2:15" ht="15">
      <c r="B17" s="453"/>
      <c r="C17" s="452" t="s">
        <v>53</v>
      </c>
      <c r="D17" s="456">
        <f>'ODS Subs'!D202</f>
        <v>6.4312862263492414E-7</v>
      </c>
      <c r="E17" s="456">
        <f>'ODS Subs'!E202</f>
        <v>3.7973833092897376E-2</v>
      </c>
      <c r="F17" s="456">
        <f>'ODS Subs'!F202</f>
        <v>6.0064102955432637E-2</v>
      </c>
      <c r="G17" s="456">
        <f>'ODS Subs'!G202</f>
        <v>0.10730434373513333</v>
      </c>
      <c r="H17" s="456">
        <f>'ODS Subs'!H202</f>
        <v>0.1978145233796279</v>
      </c>
      <c r="I17" s="456">
        <f>'ODS Subs'!I202</f>
        <v>0.21327186590700706</v>
      </c>
      <c r="J17" s="456">
        <f>'ODS Subs'!J202</f>
        <v>0.22809029326482022</v>
      </c>
      <c r="K17" s="456">
        <f>'ODS Subs'!K202</f>
        <v>0.24432730299040856</v>
      </c>
      <c r="L17" s="456">
        <f>'ODS Subs'!L202</f>
        <v>0.26384205386240783</v>
      </c>
      <c r="M17" s="456">
        <f>'ODS Subs'!M202</f>
        <v>0.26087832983775777</v>
      </c>
      <c r="N17" s="456">
        <f>'ODS Subs'!N202</f>
        <v>0.31047077602364759</v>
      </c>
      <c r="O17" s="457">
        <f>'ODS Subs'!O202</f>
        <v>0.34025860668278146</v>
      </c>
    </row>
    <row r="18" spans="2:15" ht="15">
      <c r="B18" s="453"/>
      <c r="C18" s="452" t="s">
        <v>54</v>
      </c>
      <c r="D18" s="456">
        <f>'ODS Subs'!D203</f>
        <v>2.3976690835256695E-8</v>
      </c>
      <c r="E18" s="456">
        <f>'ODS Subs'!E203</f>
        <v>0.33813368819335021</v>
      </c>
      <c r="F18" s="456">
        <f>'ODS Subs'!F203</f>
        <v>0.35356151509661082</v>
      </c>
      <c r="G18" s="456">
        <f>'ODS Subs'!G203</f>
        <v>0.3794932319937116</v>
      </c>
      <c r="H18" s="456">
        <f>'ODS Subs'!H203</f>
        <v>0.33379216670996431</v>
      </c>
      <c r="I18" s="456">
        <f>'ODS Subs'!I203</f>
        <v>0.31423186605126369</v>
      </c>
      <c r="J18" s="456">
        <f>'ODS Subs'!J203</f>
        <v>0.29461460605051148</v>
      </c>
      <c r="K18" s="456">
        <f>'ODS Subs'!K203</f>
        <v>0.28238807719200421</v>
      </c>
      <c r="L18" s="456">
        <f>'ODS Subs'!L203</f>
        <v>0.27474192638552519</v>
      </c>
      <c r="M18" s="456">
        <f>'ODS Subs'!M203</f>
        <v>0.24393867881308828</v>
      </c>
      <c r="N18" s="456">
        <f>'ODS Subs'!N203</f>
        <v>0.23412462287450603</v>
      </c>
      <c r="O18" s="457">
        <f>'ODS Subs'!O203</f>
        <v>0.22843100235635691</v>
      </c>
    </row>
    <row r="19" spans="2:15" ht="15">
      <c r="B19" s="453"/>
      <c r="C19" s="440" t="s">
        <v>55</v>
      </c>
      <c r="D19" s="456">
        <f>'ODS Subs'!D204</f>
        <v>1.1508811600923218E-6</v>
      </c>
      <c r="E19" s="456">
        <f>'ODS Subs'!E204</f>
        <v>4.6641456851385203E-2</v>
      </c>
      <c r="F19" s="456">
        <f>'ODS Subs'!F204</f>
        <v>6.4768493506600272E-2</v>
      </c>
      <c r="G19" s="456">
        <f>'ODS Subs'!G204</f>
        <v>0.10168044520259392</v>
      </c>
      <c r="H19" s="456">
        <f>'ODS Subs'!H204</f>
        <v>0.14877657531570188</v>
      </c>
      <c r="I19" s="456">
        <f>'ODS Subs'!I204</f>
        <v>0.15169534777486179</v>
      </c>
      <c r="J19" s="456">
        <f>'ODS Subs'!J204</f>
        <v>0.15055022721935835</v>
      </c>
      <c r="K19" s="456">
        <f>'ODS Subs'!K204</f>
        <v>0.14860783116661774</v>
      </c>
      <c r="L19" s="456">
        <f>'ODS Subs'!L204</f>
        <v>0.14848843354542945</v>
      </c>
      <c r="M19" s="456">
        <f>'ODS Subs'!M204</f>
        <v>0.13500087567566496</v>
      </c>
      <c r="N19" s="456">
        <f>'ODS Subs'!N204</f>
        <v>0.14029716070695608</v>
      </c>
      <c r="O19" s="457">
        <f>'ODS Subs'!O204</f>
        <v>0.14077387040754646</v>
      </c>
    </row>
    <row r="20" spans="2:15">
      <c r="B20" s="446"/>
      <c r="C20" s="440" t="s">
        <v>56</v>
      </c>
      <c r="D20" s="456">
        <f>'ODS Subs'!D205</f>
        <v>0</v>
      </c>
      <c r="E20" s="456">
        <f>'ODS Subs'!E205</f>
        <v>4.753423869461774E-3</v>
      </c>
      <c r="F20" s="456">
        <f>'ODS Subs'!F205</f>
        <v>4.9371314812687783E-3</v>
      </c>
      <c r="G20" s="456">
        <f>'ODS Subs'!G205</f>
        <v>5.1312082110664412E-3</v>
      </c>
      <c r="H20" s="456">
        <f>'ODS Subs'!H205</f>
        <v>4.9797297907315458E-3</v>
      </c>
      <c r="I20" s="456">
        <f>'ODS Subs'!I205</f>
        <v>4.6479693562420325E-3</v>
      </c>
      <c r="J20" s="456">
        <f>'ODS Subs'!J205</f>
        <v>4.3377591830841521E-3</v>
      </c>
      <c r="K20" s="456">
        <f>'ODS Subs'!K205</f>
        <v>3.989571989395869E-3</v>
      </c>
      <c r="L20" s="456">
        <f>'ODS Subs'!L205</f>
        <v>3.6478772382818134E-3</v>
      </c>
      <c r="M20" s="456">
        <f>'ODS Subs'!M205</f>
        <v>3.0594188219781444E-3</v>
      </c>
      <c r="N20" s="456">
        <f>'ODS Subs'!N205</f>
        <v>2.9403508637690272E-3</v>
      </c>
      <c r="O20" s="457">
        <f>'ODS Subs'!O205</f>
        <v>2.7592459525477798E-3</v>
      </c>
    </row>
    <row r="21" spans="2:15" ht="15.75">
      <c r="B21" s="446"/>
      <c r="C21" s="440" t="s">
        <v>57</v>
      </c>
      <c r="D21" s="456">
        <f>'ODS Subs'!D206</f>
        <v>0</v>
      </c>
      <c r="E21" s="456">
        <f>'ODS Subs'!E206</f>
        <v>9.7739550514062539E-5</v>
      </c>
      <c r="F21" s="456">
        <f>'ODS Subs'!F206</f>
        <v>1.0327539664846639E-4</v>
      </c>
      <c r="G21" s="456">
        <f>'ODS Subs'!G206</f>
        <v>1.1433608384616159E-4</v>
      </c>
      <c r="H21" s="456">
        <f>'ODS Subs'!H206</f>
        <v>1.4196270272143254E-4</v>
      </c>
      <c r="I21" s="456">
        <f>'ODS Subs'!I206</f>
        <v>1.4574537860875749E-4</v>
      </c>
      <c r="J21" s="456">
        <f>'ODS Subs'!J206</f>
        <v>1.5030806356048992E-4</v>
      </c>
      <c r="K21" s="456">
        <f>'ODS Subs'!K206</f>
        <v>1.5468712944584782E-4</v>
      </c>
      <c r="L21" s="456">
        <f>'ODS Subs'!L206</f>
        <v>1.5815266449212062E-4</v>
      </c>
      <c r="M21" s="456">
        <f>'ODS Subs'!M206</f>
        <v>1.3353364928448528E-4</v>
      </c>
      <c r="N21" s="456">
        <f>'ODS Subs'!N206</f>
        <v>1.2777862536417805E-4</v>
      </c>
      <c r="O21" s="457">
        <f>'ODS Subs'!O206</f>
        <v>1.1766969332320941E-4</v>
      </c>
    </row>
    <row r="22" spans="2:15" ht="15.75">
      <c r="B22" s="446"/>
      <c r="C22" s="440" t="s">
        <v>46</v>
      </c>
      <c r="D22" s="456">
        <f>'ODS Subs'!D207</f>
        <v>7.0700498616782576E-8</v>
      </c>
      <c r="E22" s="456">
        <f>'ODS Subs'!E207</f>
        <v>6.1490435613295533E-6</v>
      </c>
      <c r="F22" s="456">
        <f>'ODS Subs'!F207</f>
        <v>6.8611634966690673E-6</v>
      </c>
      <c r="G22" s="456">
        <f>'ODS Subs'!G207</f>
        <v>8.9617885042643091E-6</v>
      </c>
      <c r="H22" s="456">
        <f>'ODS Subs'!H207</f>
        <v>1.2638775544916968E-5</v>
      </c>
      <c r="I22" s="456">
        <f>'ODS Subs'!I207</f>
        <v>1.3507016175364299E-5</v>
      </c>
      <c r="J22" s="456">
        <f>'ODS Subs'!J207</f>
        <v>1.4415347511563672E-5</v>
      </c>
      <c r="K22" s="456">
        <f>'ODS Subs'!K207</f>
        <v>1.5472406064412486E-5</v>
      </c>
      <c r="L22" s="456">
        <f>'ODS Subs'!L207</f>
        <v>1.6401554035510345E-5</v>
      </c>
      <c r="M22" s="456">
        <f>'ODS Subs'!M207</f>
        <v>1.5863987862154464E-5</v>
      </c>
      <c r="N22" s="545">
        <f>'ODS Subs'!N207</f>
        <v>1.7489344024487291E-5</v>
      </c>
      <c r="O22" s="551">
        <f>'ODS Subs'!O207</f>
        <v>1.8766738473721074E-5</v>
      </c>
    </row>
    <row r="23" spans="2:15">
      <c r="B23" s="446"/>
      <c r="C23" s="440" t="s">
        <v>58</v>
      </c>
      <c r="D23" s="456">
        <f>'ODS Subs'!D208</f>
        <v>1.2932591767380766E-3</v>
      </c>
      <c r="E23" s="456">
        <f>'ODS Subs'!E208</f>
        <v>3.2910386443180402E-2</v>
      </c>
      <c r="F23" s="456">
        <f>'ODS Subs'!F208</f>
        <v>3.6465652719344627E-2</v>
      </c>
      <c r="G23" s="456">
        <f>'ODS Subs'!G208</f>
        <v>4.4768523352249512E-2</v>
      </c>
      <c r="H23" s="456">
        <f>'ODS Subs'!H208</f>
        <v>6.7440958849023097E-2</v>
      </c>
      <c r="I23" s="456">
        <f>'ODS Subs'!I208</f>
        <v>7.2062356520735296E-2</v>
      </c>
      <c r="J23" s="456">
        <f>'ODS Subs'!J208</f>
        <v>7.7441112022996653E-2</v>
      </c>
      <c r="K23" s="456">
        <f>'ODS Subs'!K208</f>
        <v>7.9800741670039602E-2</v>
      </c>
      <c r="L23" s="456">
        <f>'ODS Subs'!L208</f>
        <v>7.9801161756557479E-2</v>
      </c>
      <c r="M23" s="456">
        <f>'ODS Subs'!M208</f>
        <v>7.1832959454835241E-2</v>
      </c>
      <c r="N23" s="456">
        <f>'ODS Subs'!N208</f>
        <v>7.6448439606839641E-2</v>
      </c>
      <c r="O23" s="457">
        <f>'ODS Subs'!O208</f>
        <v>7.979685874198128E-2</v>
      </c>
    </row>
    <row r="24" spans="2:15">
      <c r="B24" s="448" t="s">
        <v>59</v>
      </c>
      <c r="C24" s="439"/>
      <c r="D24" s="456"/>
      <c r="E24" s="456"/>
      <c r="F24" s="456"/>
      <c r="G24" s="456"/>
      <c r="H24" s="456"/>
      <c r="I24" s="456"/>
      <c r="J24" s="456"/>
      <c r="K24" s="456"/>
      <c r="L24" s="456"/>
      <c r="M24" s="456"/>
      <c r="N24" s="456"/>
      <c r="O24" s="457"/>
    </row>
    <row r="25" spans="2:15">
      <c r="B25" s="448"/>
      <c r="C25" s="440" t="s">
        <v>60</v>
      </c>
      <c r="D25" s="456">
        <f t="shared" ref="D25:L25" si="3">SUM(D15:D20,D23)</f>
        <v>1.295077163211639E-3</v>
      </c>
      <c r="E25" s="456">
        <f t="shared" si="3"/>
        <v>0.46171214852202747</v>
      </c>
      <c r="F25" s="456">
        <f t="shared" si="3"/>
        <v>0.5227455188241823</v>
      </c>
      <c r="G25" s="456">
        <f t="shared" si="3"/>
        <v>0.64534757389199915</v>
      </c>
      <c r="H25" s="456">
        <f t="shared" si="3"/>
        <v>0.77289126664422925</v>
      </c>
      <c r="I25" s="456">
        <f t="shared" si="3"/>
        <v>0.7792029067299201</v>
      </c>
      <c r="J25" s="456">
        <f t="shared" si="3"/>
        <v>0.78191819682791297</v>
      </c>
      <c r="K25" s="456">
        <f t="shared" si="3"/>
        <v>0.78975203292008389</v>
      </c>
      <c r="L25" s="456">
        <f t="shared" si="3"/>
        <v>0.80480066945590234</v>
      </c>
      <c r="M25" s="456">
        <f t="shared" ref="M25:N25" si="4">SUM(M15:M20,M23)</f>
        <v>0.74984701833830225</v>
      </c>
      <c r="N25" s="456">
        <f t="shared" si="4"/>
        <v>0.80868598347982135</v>
      </c>
      <c r="O25" s="457">
        <f t="shared" ref="O25" si="5">SUM(O15:O20,O23)</f>
        <v>0.84204140094401037</v>
      </c>
    </row>
    <row r="26" spans="2:15">
      <c r="B26" s="447"/>
      <c r="C26" s="440" t="s">
        <v>61</v>
      </c>
      <c r="D26" s="456">
        <f t="shared" ref="D26:L26" si="6">D21</f>
        <v>0</v>
      </c>
      <c r="E26" s="456">
        <f t="shared" si="6"/>
        <v>9.7739550514062539E-5</v>
      </c>
      <c r="F26" s="456">
        <f t="shared" si="6"/>
        <v>1.0327539664846639E-4</v>
      </c>
      <c r="G26" s="456">
        <f t="shared" si="6"/>
        <v>1.1433608384616159E-4</v>
      </c>
      <c r="H26" s="456">
        <f t="shared" si="6"/>
        <v>1.4196270272143254E-4</v>
      </c>
      <c r="I26" s="456">
        <f t="shared" si="6"/>
        <v>1.4574537860875749E-4</v>
      </c>
      <c r="J26" s="456">
        <f t="shared" si="6"/>
        <v>1.5030806356048992E-4</v>
      </c>
      <c r="K26" s="456">
        <f t="shared" si="6"/>
        <v>1.5468712944584782E-4</v>
      </c>
      <c r="L26" s="456">
        <f t="shared" si="6"/>
        <v>1.5815266449212062E-4</v>
      </c>
      <c r="M26" s="456">
        <f t="shared" ref="M26:N26" si="7">M21</f>
        <v>1.3353364928448528E-4</v>
      </c>
      <c r="N26" s="456">
        <f t="shared" si="7"/>
        <v>1.2777862536417805E-4</v>
      </c>
      <c r="O26" s="457">
        <f t="shared" ref="O26" si="8">O21</f>
        <v>1.1766969332320941E-4</v>
      </c>
    </row>
    <row r="27" spans="2:15" ht="15.75">
      <c r="B27" s="447"/>
      <c r="C27" s="440" t="s">
        <v>46</v>
      </c>
      <c r="D27" s="454">
        <f>D22</f>
        <v>7.0700498616782576E-8</v>
      </c>
      <c r="E27" s="454">
        <f t="shared" ref="E27:N27" si="9">E22</f>
        <v>6.1490435613295533E-6</v>
      </c>
      <c r="F27" s="454">
        <f t="shared" si="9"/>
        <v>6.8611634966690673E-6</v>
      </c>
      <c r="G27" s="454">
        <f t="shared" si="9"/>
        <v>8.9617885042643091E-6</v>
      </c>
      <c r="H27" s="454">
        <f t="shared" si="9"/>
        <v>1.2638775544916968E-5</v>
      </c>
      <c r="I27" s="454">
        <f t="shared" si="9"/>
        <v>1.3507016175364299E-5</v>
      </c>
      <c r="J27" s="454">
        <f t="shared" si="9"/>
        <v>1.4415347511563672E-5</v>
      </c>
      <c r="K27" s="454">
        <f t="shared" si="9"/>
        <v>1.5472406064412486E-5</v>
      </c>
      <c r="L27" s="454">
        <f t="shared" si="9"/>
        <v>1.6401554035510345E-5</v>
      </c>
      <c r="M27" s="454">
        <f t="shared" si="9"/>
        <v>1.5863987862154464E-5</v>
      </c>
      <c r="N27" s="454">
        <f t="shared" si="9"/>
        <v>1.7489344024487291E-5</v>
      </c>
      <c r="O27" s="455">
        <f t="shared" ref="O27" si="10">O22</f>
        <v>1.8766738473721074E-5</v>
      </c>
    </row>
    <row r="28" spans="2:15" ht="15.75">
      <c r="B28" s="552"/>
      <c r="C28" s="440" t="s">
        <v>47</v>
      </c>
      <c r="D28" s="454">
        <f>0</f>
        <v>0</v>
      </c>
      <c r="E28" s="454">
        <f>0</f>
        <v>0</v>
      </c>
      <c r="F28" s="454">
        <f>0</f>
        <v>0</v>
      </c>
      <c r="G28" s="454">
        <f>0</f>
        <v>0</v>
      </c>
      <c r="H28" s="454">
        <f>0</f>
        <v>0</v>
      </c>
      <c r="I28" s="454">
        <f>0</f>
        <v>0</v>
      </c>
      <c r="J28" s="454">
        <f>0</f>
        <v>0</v>
      </c>
      <c r="K28" s="454">
        <f>0</f>
        <v>0</v>
      </c>
      <c r="L28" s="454">
        <f>0</f>
        <v>0</v>
      </c>
      <c r="M28" s="454">
        <f>0</f>
        <v>0</v>
      </c>
      <c r="N28" s="454">
        <f>0</f>
        <v>0</v>
      </c>
      <c r="O28" s="455">
        <f>0</f>
        <v>0</v>
      </c>
    </row>
    <row r="29" spans="2:15" ht="15.75">
      <c r="B29" s="446"/>
      <c r="C29" s="439" t="s">
        <v>48</v>
      </c>
      <c r="D29" s="454">
        <f>0</f>
        <v>0</v>
      </c>
      <c r="E29" s="454">
        <f>0</f>
        <v>0</v>
      </c>
      <c r="F29" s="454">
        <f>0</f>
        <v>0</v>
      </c>
      <c r="G29" s="454">
        <f>0</f>
        <v>0</v>
      </c>
      <c r="H29" s="454">
        <f>0</f>
        <v>0</v>
      </c>
      <c r="I29" s="454">
        <f>0</f>
        <v>0</v>
      </c>
      <c r="J29" s="454">
        <f>0</f>
        <v>0</v>
      </c>
      <c r="K29" s="454">
        <f>0</f>
        <v>0</v>
      </c>
      <c r="L29" s="454">
        <f>0</f>
        <v>0</v>
      </c>
      <c r="M29" s="454">
        <f>0</f>
        <v>0</v>
      </c>
      <c r="N29" s="454">
        <f>0</f>
        <v>0</v>
      </c>
      <c r="O29" s="455">
        <f>0</f>
        <v>0</v>
      </c>
    </row>
    <row r="30" spans="2:15" ht="15.75" thickBot="1">
      <c r="B30" s="450" t="s">
        <v>49</v>
      </c>
      <c r="C30" s="451"/>
      <c r="D30" s="460">
        <f t="shared" ref="D30:L30" si="11">SUM(D25:D29)</f>
        <v>1.2951478637102558E-3</v>
      </c>
      <c r="E30" s="460">
        <f t="shared" si="11"/>
        <v>0.46181603711610286</v>
      </c>
      <c r="F30" s="460">
        <f t="shared" si="11"/>
        <v>0.52285565538432743</v>
      </c>
      <c r="G30" s="460">
        <f t="shared" si="11"/>
        <v>0.64547087176434959</v>
      </c>
      <c r="H30" s="460">
        <f t="shared" si="11"/>
        <v>0.77304586812249565</v>
      </c>
      <c r="I30" s="460">
        <f t="shared" si="11"/>
        <v>0.7793621591247043</v>
      </c>
      <c r="J30" s="460">
        <f t="shared" si="11"/>
        <v>0.78208292023898507</v>
      </c>
      <c r="K30" s="460">
        <f t="shared" si="11"/>
        <v>0.78992219245559414</v>
      </c>
      <c r="L30" s="460">
        <f t="shared" si="11"/>
        <v>0.80497522367442997</v>
      </c>
      <c r="M30" s="460">
        <f t="shared" ref="M30:N30" si="12">SUM(M25:M29)</f>
        <v>0.74999641597544886</v>
      </c>
      <c r="N30" s="460">
        <f t="shared" si="12"/>
        <v>0.80883125144920998</v>
      </c>
      <c r="O30" s="461">
        <f t="shared" ref="O30" si="13">SUM(O25:O29)</f>
        <v>0.8421778373758072</v>
      </c>
    </row>
    <row r="31" spans="2:15" ht="15" thickBot="1">
      <c r="D31" s="576"/>
      <c r="E31" s="576"/>
      <c r="F31" s="576"/>
      <c r="G31" s="576"/>
      <c r="H31" s="576"/>
      <c r="I31" s="576"/>
      <c r="J31" s="576"/>
      <c r="K31" s="576"/>
      <c r="L31" s="576"/>
      <c r="M31" s="576"/>
      <c r="N31" s="576"/>
      <c r="O31" s="576"/>
    </row>
    <row r="32" spans="2:15" ht="15">
      <c r="B32" s="442" t="s">
        <v>62</v>
      </c>
      <c r="C32" s="443"/>
      <c r="D32" s="444"/>
      <c r="E32" s="444"/>
      <c r="F32" s="444"/>
      <c r="G32" s="444"/>
      <c r="H32" s="444"/>
      <c r="I32" s="444"/>
      <c r="J32" s="444"/>
      <c r="K32" s="444"/>
      <c r="L32" s="444"/>
      <c r="M32" s="444"/>
      <c r="N32" s="444"/>
      <c r="O32" s="445"/>
    </row>
    <row r="33" spans="2:15" ht="15.75">
      <c r="B33" s="447"/>
      <c r="C33" s="440" t="s">
        <v>63</v>
      </c>
      <c r="D33" s="456">
        <f>'Electrical T&amp;D'!B70</f>
        <v>7.5671403517933528E-2</v>
      </c>
      <c r="E33" s="456">
        <f>'Electrical T&amp;D'!C70</f>
        <v>3.4249963140546028E-2</v>
      </c>
      <c r="F33" s="456">
        <f>'Electrical T&amp;D'!D70</f>
        <v>2.8675792149543584E-2</v>
      </c>
      <c r="G33" s="456">
        <f>'Electrical T&amp;D'!E70</f>
        <v>2.0796236147512144E-2</v>
      </c>
      <c r="H33" s="456">
        <f>'Electrical T&amp;D'!F70</f>
        <v>1.3237445160031301E-2</v>
      </c>
      <c r="I33" s="456">
        <f>'Electrical T&amp;D'!G70</f>
        <v>1.3324586885857088E-2</v>
      </c>
      <c r="J33" s="456">
        <f>'Electrical T&amp;D'!H70</f>
        <v>1.3003752402797681E-2</v>
      </c>
      <c r="K33" s="456">
        <f>'Electrical T&amp;D'!I70</f>
        <v>1.184172993632295E-2</v>
      </c>
      <c r="L33" s="456">
        <f>'Electrical T&amp;D'!J70</f>
        <v>1.4725295398172416E-2</v>
      </c>
      <c r="M33" s="456">
        <f>'Electrical T&amp;D'!K70</f>
        <v>1.3545686568366713E-2</v>
      </c>
      <c r="N33" s="456">
        <f>'Electrical T&amp;D'!L70</f>
        <v>1.3709471696159686E-2</v>
      </c>
      <c r="O33" s="457">
        <f>'Electrical T&amp;D'!M70</f>
        <v>1.1446532218309682E-2</v>
      </c>
    </row>
    <row r="34" spans="2:15" ht="15.75">
      <c r="B34" s="447"/>
      <c r="C34" s="440" t="s">
        <v>57</v>
      </c>
      <c r="D34" s="544">
        <f>'Electrical T&amp;D'!B71</f>
        <v>2.7447484941185805E-6</v>
      </c>
      <c r="E34" s="544">
        <f>'Electrical T&amp;D'!C71</f>
        <v>5.5130832124708125E-6</v>
      </c>
      <c r="F34" s="544">
        <f>'Electrical T&amp;D'!D71</f>
        <v>4.1486452059049522E-6</v>
      </c>
      <c r="G34" s="544">
        <f>'Electrical T&amp;D'!E71</f>
        <v>4.1656999834269896E-6</v>
      </c>
      <c r="H34" s="544">
        <f>'Electrical T&amp;D'!F71</f>
        <v>0</v>
      </c>
      <c r="I34" s="544">
        <f>'Electrical T&amp;D'!G71</f>
        <v>7.018651673310413E-7</v>
      </c>
      <c r="J34" s="544">
        <f>'Electrical T&amp;D'!H71</f>
        <v>1.9195294013713066E-7</v>
      </c>
      <c r="K34" s="544">
        <f>'Electrical T&amp;D'!I71</f>
        <v>0</v>
      </c>
      <c r="L34" s="544">
        <f>'Electrical T&amp;D'!J71</f>
        <v>1.0275738471718442E-6</v>
      </c>
      <c r="M34" s="544">
        <f>'Electrical T&amp;D'!K71</f>
        <v>2.6942906478891255E-7</v>
      </c>
      <c r="N34" s="557">
        <f>'Electrical T&amp;D'!L71</f>
        <v>2.7005079130116889E-7</v>
      </c>
      <c r="O34" s="553">
        <f>'Electrical T&amp;D'!M71</f>
        <v>1.6532250360433873E-8</v>
      </c>
    </row>
    <row r="35" spans="2:15" ht="15.75">
      <c r="B35" s="447"/>
      <c r="C35" s="440" t="s">
        <v>46</v>
      </c>
      <c r="D35" s="456">
        <f>0</f>
        <v>0</v>
      </c>
      <c r="E35" s="456">
        <f>0</f>
        <v>0</v>
      </c>
      <c r="F35" s="456">
        <f>0</f>
        <v>0</v>
      </c>
      <c r="G35" s="456">
        <f>0</f>
        <v>0</v>
      </c>
      <c r="H35" s="456">
        <f>0</f>
        <v>0</v>
      </c>
      <c r="I35" s="456">
        <f>0</f>
        <v>0</v>
      </c>
      <c r="J35" s="456">
        <f>0</f>
        <v>0</v>
      </c>
      <c r="K35" s="456">
        <f>0</f>
        <v>0</v>
      </c>
      <c r="L35" s="456">
        <f>0</f>
        <v>0</v>
      </c>
      <c r="M35" s="456">
        <f>0</f>
        <v>0</v>
      </c>
      <c r="N35" s="456">
        <f>0</f>
        <v>0</v>
      </c>
      <c r="O35" s="457">
        <f>0</f>
        <v>0</v>
      </c>
    </row>
    <row r="36" spans="2:15" ht="15.75">
      <c r="B36" s="447"/>
      <c r="C36" s="440" t="s">
        <v>47</v>
      </c>
      <c r="D36" s="456">
        <f>0</f>
        <v>0</v>
      </c>
      <c r="E36" s="456">
        <f>0</f>
        <v>0</v>
      </c>
      <c r="F36" s="456">
        <f>0</f>
        <v>0</v>
      </c>
      <c r="G36" s="456">
        <f>0</f>
        <v>0</v>
      </c>
      <c r="H36" s="456">
        <f>0</f>
        <v>0</v>
      </c>
      <c r="I36" s="456">
        <f>0</f>
        <v>0</v>
      </c>
      <c r="J36" s="456">
        <f>0</f>
        <v>0</v>
      </c>
      <c r="K36" s="456">
        <f>0</f>
        <v>0</v>
      </c>
      <c r="L36" s="456">
        <f>0</f>
        <v>0</v>
      </c>
      <c r="M36" s="456">
        <f>0</f>
        <v>0</v>
      </c>
      <c r="N36" s="456">
        <f>0</f>
        <v>0</v>
      </c>
      <c r="O36" s="457">
        <f>0</f>
        <v>0</v>
      </c>
    </row>
    <row r="37" spans="2:15" ht="15.75">
      <c r="B37" s="447"/>
      <c r="C37" s="440" t="s">
        <v>48</v>
      </c>
      <c r="D37" s="456">
        <f>0</f>
        <v>0</v>
      </c>
      <c r="E37" s="456">
        <f>0</f>
        <v>0</v>
      </c>
      <c r="F37" s="456">
        <f>0</f>
        <v>0</v>
      </c>
      <c r="G37" s="456">
        <f>0</f>
        <v>0</v>
      </c>
      <c r="H37" s="456">
        <f>0</f>
        <v>0</v>
      </c>
      <c r="I37" s="456">
        <f>0</f>
        <v>0</v>
      </c>
      <c r="J37" s="456">
        <f>0</f>
        <v>0</v>
      </c>
      <c r="K37" s="456">
        <f>0</f>
        <v>0</v>
      </c>
      <c r="L37" s="456">
        <f>0</f>
        <v>0</v>
      </c>
      <c r="M37" s="456">
        <f>0</f>
        <v>0</v>
      </c>
      <c r="N37" s="456">
        <f>0</f>
        <v>0</v>
      </c>
      <c r="O37" s="457">
        <f>0</f>
        <v>0</v>
      </c>
    </row>
    <row r="38" spans="2:15" ht="15.75" thickBot="1">
      <c r="B38" s="450" t="s">
        <v>49</v>
      </c>
      <c r="C38" s="451"/>
      <c r="D38" s="460">
        <f t="shared" ref="D38:L38" si="14">SUM(D33:D37)</f>
        <v>7.567414826642764E-2</v>
      </c>
      <c r="E38" s="460">
        <f t="shared" si="14"/>
        <v>3.4255476223758498E-2</v>
      </c>
      <c r="F38" s="460">
        <f t="shared" si="14"/>
        <v>2.8679940794749489E-2</v>
      </c>
      <c r="G38" s="460">
        <f t="shared" si="14"/>
        <v>2.080040184749557E-2</v>
      </c>
      <c r="H38" s="460">
        <f t="shared" si="14"/>
        <v>1.3237445160031301E-2</v>
      </c>
      <c r="I38" s="460">
        <f t="shared" si="14"/>
        <v>1.3325288751024419E-2</v>
      </c>
      <c r="J38" s="460">
        <f t="shared" si="14"/>
        <v>1.3003944355737818E-2</v>
      </c>
      <c r="K38" s="460">
        <f t="shared" si="14"/>
        <v>1.184172993632295E-2</v>
      </c>
      <c r="L38" s="460">
        <f t="shared" si="14"/>
        <v>1.4726322972019588E-2</v>
      </c>
      <c r="M38" s="460">
        <f t="shared" ref="M38" si="15">SUM(M33:M37)</f>
        <v>1.3545955997431502E-2</v>
      </c>
      <c r="N38" s="460">
        <f>SUM(N33:N37)</f>
        <v>1.3709741746950988E-2</v>
      </c>
      <c r="O38" s="461">
        <f>SUM(O33:O37)</f>
        <v>1.1446548750560042E-2</v>
      </c>
    </row>
    <row r="39" spans="2:15">
      <c r="D39" s="576"/>
      <c r="E39" s="576"/>
      <c r="F39" s="576"/>
      <c r="G39" s="576"/>
      <c r="H39" s="576"/>
      <c r="I39" s="576"/>
      <c r="J39" s="576"/>
      <c r="K39" s="576"/>
      <c r="L39" s="576"/>
      <c r="M39" s="576"/>
      <c r="N39" s="576"/>
      <c r="O39" s="576"/>
    </row>
    <row r="41" spans="2:15">
      <c r="D41" s="456">
        <f t="shared" ref="D41:M41" si="16">D38+D30+D12</f>
        <v>0.1784310288701379</v>
      </c>
      <c r="E41" s="545">
        <f t="shared" si="16"/>
        <v>0.49607151333986138</v>
      </c>
      <c r="F41" s="545">
        <f t="shared" si="16"/>
        <v>0.55153559617907688</v>
      </c>
      <c r="G41" s="545">
        <f t="shared" si="16"/>
        <v>0.66627127361184513</v>
      </c>
      <c r="H41" s="545">
        <f t="shared" si="16"/>
        <v>0.78628331328252699</v>
      </c>
      <c r="I41" s="545">
        <f t="shared" si="16"/>
        <v>0.79268744787572876</v>
      </c>
      <c r="J41" s="545">
        <f t="shared" si="16"/>
        <v>0.79508686459472289</v>
      </c>
      <c r="K41" s="545">
        <f t="shared" si="16"/>
        <v>0.80176392239191707</v>
      </c>
      <c r="L41" s="545">
        <f t="shared" si="16"/>
        <v>0.81970154664644956</v>
      </c>
      <c r="M41" s="545">
        <f t="shared" si="16"/>
        <v>0.76354237197288033</v>
      </c>
      <c r="N41" s="545">
        <f>N38+N30+N12</f>
        <v>0.82254099319616092</v>
      </c>
      <c r="O41" s="545">
        <f>O38+O30+O12</f>
        <v>0.85362438612636726</v>
      </c>
    </row>
    <row r="43" spans="2:15">
      <c r="L43" s="543"/>
      <c r="N43" s="543"/>
    </row>
  </sheetData>
  <pageMargins left="0.7" right="0.7" top="0.75" bottom="0.75" header="0.3" footer="0.3"/>
  <pageSetup orientation="portrait" r:id="rId1"/>
  <legacyDrawing r:id="rId2"/>
</worksheet>
</file>

<file path=xl/worksheets/sheet2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O85"/>
  <sheetViews>
    <sheetView workbookViewId="0"/>
  </sheetViews>
  <sheetFormatPr defaultColWidth="9.28515625" defaultRowHeight="12.75"/>
  <cols>
    <col min="1" max="1" width="2.28515625" style="291" customWidth="1"/>
    <col min="2" max="2" width="2.42578125" style="291" customWidth="1"/>
    <col min="3" max="3" width="9.28515625" style="291"/>
    <col min="4" max="4" width="15.5703125" style="291" customWidth="1"/>
    <col min="5" max="5" width="9.7109375" style="291" customWidth="1"/>
    <col min="6" max="6" width="1.5703125" style="291" customWidth="1"/>
    <col min="7" max="7" width="20.28515625" style="291" customWidth="1"/>
    <col min="8" max="11" width="9.28515625" style="291"/>
    <col min="12" max="12" width="1.42578125" style="291" customWidth="1"/>
    <col min="13" max="16384" width="9.28515625" style="291"/>
  </cols>
  <sheetData>
    <row r="1" spans="2:13" ht="18">
      <c r="B1" s="290" t="s">
        <v>510</v>
      </c>
      <c r="C1" s="290"/>
      <c r="D1" s="290"/>
      <c r="E1" s="300"/>
      <c r="F1" s="300"/>
      <c r="G1" s="300"/>
      <c r="H1" s="300"/>
      <c r="I1" s="300"/>
      <c r="J1" s="300"/>
      <c r="K1" s="300"/>
      <c r="L1" s="300"/>
      <c r="M1" s="300"/>
    </row>
    <row r="2" spans="2:13">
      <c r="B2" s="301" t="s">
        <v>511</v>
      </c>
      <c r="C2" s="301"/>
      <c r="D2" s="301"/>
      <c r="E2" s="300"/>
      <c r="F2" s="300"/>
      <c r="G2" s="300"/>
      <c r="H2" s="300"/>
      <c r="I2" s="300"/>
      <c r="J2" s="300"/>
      <c r="K2" s="300"/>
      <c r="L2" s="300"/>
      <c r="M2" s="300"/>
    </row>
    <row r="3" spans="2:13">
      <c r="B3" s="621">
        <f ca="1">NOW()</f>
        <v>45677.599431828705</v>
      </c>
      <c r="C3" s="621"/>
      <c r="D3" s="621"/>
      <c r="E3" s="302"/>
      <c r="F3" s="303"/>
      <c r="G3" s="300"/>
      <c r="H3" s="302"/>
      <c r="I3" s="300"/>
      <c r="J3" s="300"/>
      <c r="K3" s="300"/>
      <c r="L3" s="300"/>
      <c r="M3" s="300"/>
    </row>
    <row r="4" spans="2:13" ht="3.75" customHeight="1" thickBot="1">
      <c r="B4" s="300"/>
      <c r="C4" s="300"/>
      <c r="D4" s="300"/>
      <c r="E4" s="300"/>
      <c r="F4" s="300"/>
      <c r="G4" s="300"/>
      <c r="H4" s="300"/>
      <c r="I4" s="300"/>
      <c r="J4" s="300"/>
      <c r="K4" s="300"/>
      <c r="L4" s="300"/>
      <c r="M4" s="300"/>
    </row>
    <row r="5" spans="2:13" ht="15.75" thickBot="1">
      <c r="B5" s="292" t="s">
        <v>512</v>
      </c>
      <c r="C5" s="304"/>
      <c r="D5" s="304"/>
      <c r="E5" s="305"/>
      <c r="F5" s="305"/>
      <c r="G5" s="305"/>
      <c r="H5" s="305"/>
      <c r="I5" s="305"/>
      <c r="J5" s="305"/>
      <c r="K5" s="305"/>
      <c r="L5" s="306"/>
      <c r="M5" s="300"/>
    </row>
    <row r="6" spans="2:13" ht="17.25" customHeight="1" thickTop="1" thickBot="1">
      <c r="B6" s="307"/>
      <c r="C6" s="300"/>
      <c r="D6" s="300"/>
      <c r="E6" s="300"/>
      <c r="F6" s="300"/>
      <c r="G6" s="308" t="e">
        <f ca="1">_xll.RiskResultsGraph(Cement2019,G7:K18,0,TRUE,2.5,97.5,,,,B5,1)</f>
        <v>#NAME?</v>
      </c>
      <c r="H6" s="309"/>
      <c r="I6" s="300"/>
      <c r="J6" s="300"/>
      <c r="K6" s="300"/>
      <c r="L6" s="310"/>
      <c r="M6" s="300"/>
    </row>
    <row r="7" spans="2:13">
      <c r="B7" s="307"/>
      <c r="C7" s="311" t="s">
        <v>514</v>
      </c>
      <c r="D7" s="312"/>
      <c r="E7" s="313" t="s">
        <v>515</v>
      </c>
      <c r="F7" s="314"/>
      <c r="G7" s="300"/>
      <c r="H7" s="300"/>
      <c r="I7" s="300"/>
      <c r="J7" s="300"/>
      <c r="K7" s="300"/>
      <c r="L7" s="310"/>
      <c r="M7" s="300"/>
    </row>
    <row r="8" spans="2:13" ht="18">
      <c r="B8" s="307"/>
      <c r="C8" s="315" t="s">
        <v>434</v>
      </c>
      <c r="D8" s="316"/>
      <c r="E8" s="317" t="e">
        <f ca="1">RiskMin(Cement2019)</f>
        <v>#NAME?</v>
      </c>
      <c r="F8" s="309"/>
      <c r="G8" s="300"/>
      <c r="H8" s="300"/>
      <c r="I8" s="300"/>
      <c r="J8" s="300"/>
      <c r="K8" s="300"/>
      <c r="L8" s="310"/>
      <c r="M8" s="293"/>
    </row>
    <row r="9" spans="2:13">
      <c r="B9" s="307"/>
      <c r="C9" s="318" t="s">
        <v>516</v>
      </c>
      <c r="D9" s="319"/>
      <c r="E9" s="317" t="e">
        <f ca="1">RiskPercentile(Cement2019,0.025)</f>
        <v>#NAME?</v>
      </c>
      <c r="F9" s="309"/>
      <c r="G9" s="300"/>
      <c r="H9" s="300"/>
      <c r="I9" s="300"/>
      <c r="J9" s="300"/>
      <c r="K9" s="300"/>
      <c r="L9" s="310"/>
      <c r="M9" s="294"/>
    </row>
    <row r="10" spans="2:13">
      <c r="B10" s="307"/>
      <c r="C10" s="315" t="s">
        <v>517</v>
      </c>
      <c r="D10" s="316"/>
      <c r="E10" s="317" t="e">
        <f ca="1">RiskMean(Cement2019)</f>
        <v>#NAME?</v>
      </c>
      <c r="F10" s="309"/>
      <c r="G10" s="300"/>
      <c r="H10" s="300"/>
      <c r="I10" s="300"/>
      <c r="J10" s="300"/>
      <c r="K10" s="300"/>
      <c r="L10" s="310"/>
      <c r="M10" s="294"/>
    </row>
    <row r="11" spans="2:13">
      <c r="B11" s="307"/>
      <c r="C11" s="315" t="s">
        <v>518</v>
      </c>
      <c r="D11" s="316"/>
      <c r="E11" s="317" t="e">
        <f ca="1">RiskStdDev(Cement2019)</f>
        <v>#NAME?</v>
      </c>
      <c r="F11" s="309"/>
      <c r="G11" s="300"/>
      <c r="H11" s="300"/>
      <c r="I11" s="300"/>
      <c r="J11" s="300"/>
      <c r="K11" s="300"/>
      <c r="L11" s="310"/>
      <c r="M11" s="294"/>
    </row>
    <row r="12" spans="2:13">
      <c r="B12" s="307"/>
      <c r="C12" s="315" t="s">
        <v>519</v>
      </c>
      <c r="D12" s="316"/>
      <c r="E12" s="317" t="e">
        <f ca="1">RiskPercentile(Cement2019,0.975)</f>
        <v>#NAME?</v>
      </c>
      <c r="F12" s="309"/>
      <c r="G12" s="300"/>
      <c r="H12" s="300"/>
      <c r="I12" s="300"/>
      <c r="J12" s="300"/>
      <c r="K12" s="300"/>
      <c r="L12" s="310"/>
      <c r="M12" s="294"/>
    </row>
    <row r="13" spans="2:13" ht="13.5" thickBot="1">
      <c r="B13" s="307"/>
      <c r="C13" s="320" t="s">
        <v>435</v>
      </c>
      <c r="D13" s="321"/>
      <c r="E13" s="322" t="e">
        <f ca="1">RiskMax(Cement2019)</f>
        <v>#NAME?</v>
      </c>
      <c r="F13" s="309"/>
      <c r="G13" s="300"/>
      <c r="H13" s="300"/>
      <c r="I13" s="300"/>
      <c r="J13" s="300"/>
      <c r="K13" s="300"/>
      <c r="L13" s="310"/>
      <c r="M13" s="300"/>
    </row>
    <row r="14" spans="2:13" ht="13.5" thickBot="1">
      <c r="B14" s="307"/>
      <c r="C14" s="323"/>
      <c r="D14" s="300"/>
      <c r="E14" s="300"/>
      <c r="F14" s="300"/>
      <c r="G14" s="300"/>
      <c r="H14" s="300"/>
      <c r="I14" s="300"/>
      <c r="J14" s="300"/>
      <c r="K14" s="300"/>
      <c r="L14" s="310"/>
      <c r="M14" s="300"/>
    </row>
    <row r="15" spans="2:13">
      <c r="B15" s="307"/>
      <c r="C15" s="324" t="s">
        <v>514</v>
      </c>
      <c r="D15" s="622" t="s">
        <v>520</v>
      </c>
      <c r="E15" s="623"/>
      <c r="F15" s="300"/>
      <c r="G15" s="300"/>
      <c r="H15" s="300"/>
      <c r="I15" s="300"/>
      <c r="J15" s="300"/>
      <c r="K15" s="300"/>
      <c r="L15" s="310"/>
      <c r="M15" s="300"/>
    </row>
    <row r="16" spans="2:13">
      <c r="B16" s="307"/>
      <c r="C16" s="318" t="s">
        <v>516</v>
      </c>
      <c r="D16" s="319"/>
      <c r="E16" s="325" t="e">
        <f ca="1">E9</f>
        <v>#NAME?</v>
      </c>
      <c r="F16" s="300"/>
      <c r="G16" s="300"/>
      <c r="H16" s="300"/>
      <c r="I16" s="300"/>
      <c r="J16" s="300"/>
      <c r="K16" s="300"/>
      <c r="L16" s="310"/>
      <c r="M16" s="300"/>
    </row>
    <row r="17" spans="2:15" ht="13.5" thickBot="1">
      <c r="B17" s="307"/>
      <c r="C17" s="320" t="s">
        <v>519</v>
      </c>
      <c r="D17" s="321"/>
      <c r="E17" s="326" t="e">
        <f ca="1">E12</f>
        <v>#NAME?</v>
      </c>
      <c r="F17" s="300"/>
      <c r="G17" s="300"/>
      <c r="H17" s="300"/>
      <c r="I17" s="300"/>
      <c r="J17" s="300"/>
      <c r="K17" s="300"/>
      <c r="L17" s="310"/>
      <c r="M17" s="300"/>
      <c r="N17" s="300"/>
      <c r="O17" s="300"/>
    </row>
    <row r="18" spans="2:15">
      <c r="B18" s="307"/>
      <c r="C18" s="300"/>
      <c r="D18" s="300"/>
      <c r="E18" s="300"/>
      <c r="F18" s="300"/>
      <c r="G18" s="300"/>
      <c r="H18" s="300"/>
      <c r="I18" s="300"/>
      <c r="J18" s="300"/>
      <c r="K18" s="300"/>
      <c r="L18" s="310"/>
      <c r="M18" s="300"/>
      <c r="N18" s="300"/>
      <c r="O18" s="300"/>
    </row>
    <row r="19" spans="2:15" ht="13.5" thickBot="1">
      <c r="B19" s="327"/>
      <c r="C19" s="328"/>
      <c r="D19" s="328"/>
      <c r="E19" s="328"/>
      <c r="F19" s="328"/>
      <c r="G19" s="328"/>
      <c r="H19" s="328"/>
      <c r="I19" s="328"/>
      <c r="J19" s="328"/>
      <c r="K19" s="328"/>
      <c r="L19" s="329"/>
      <c r="M19" s="300"/>
      <c r="N19" s="300"/>
      <c r="O19" s="300"/>
    </row>
    <row r="20" spans="2:15" ht="3.75" customHeight="1" thickBot="1">
      <c r="B20" s="330"/>
      <c r="C20" s="331"/>
      <c r="D20" s="331"/>
      <c r="E20" s="331"/>
      <c r="F20" s="331"/>
      <c r="G20" s="331"/>
      <c r="H20" s="331"/>
      <c r="I20" s="331"/>
      <c r="J20" s="331"/>
      <c r="K20" s="331"/>
      <c r="L20" s="332"/>
      <c r="M20" s="300"/>
      <c r="N20" s="300"/>
      <c r="O20" s="300"/>
    </row>
    <row r="21" spans="2:15" ht="3.75" customHeight="1" thickTop="1">
      <c r="B21" s="300"/>
      <c r="C21" s="300"/>
      <c r="D21" s="300"/>
      <c r="E21" s="300"/>
      <c r="F21" s="300"/>
      <c r="G21" s="300"/>
      <c r="H21" s="300"/>
      <c r="I21" s="300"/>
      <c r="J21" s="300"/>
      <c r="K21" s="300"/>
      <c r="L21" s="300"/>
      <c r="M21" s="300"/>
      <c r="N21" s="300"/>
      <c r="O21" s="300"/>
    </row>
    <row r="22" spans="2:15" ht="15" thickBot="1">
      <c r="B22" s="300"/>
      <c r="C22" s="624" t="s">
        <v>521</v>
      </c>
      <c r="D22" s="296" t="s">
        <v>534</v>
      </c>
      <c r="E22" s="300"/>
      <c r="F22" s="300"/>
      <c r="G22" s="300"/>
      <c r="H22" s="300"/>
      <c r="I22" s="300"/>
      <c r="J22" s="300"/>
      <c r="K22" s="300"/>
      <c r="L22" s="300"/>
      <c r="M22" s="300"/>
      <c r="N22" s="300"/>
      <c r="O22" s="300"/>
    </row>
    <row r="23" spans="2:15">
      <c r="B23" s="300"/>
      <c r="C23" s="624"/>
      <c r="D23" s="298" t="s">
        <v>67</v>
      </c>
      <c r="E23" s="298" t="s">
        <v>275</v>
      </c>
      <c r="F23" s="298"/>
      <c r="G23" s="298" t="s">
        <v>535</v>
      </c>
      <c r="H23" s="625" t="s">
        <v>536</v>
      </c>
      <c r="I23" s="625"/>
      <c r="J23" s="625"/>
      <c r="K23" s="625"/>
      <c r="L23" s="300"/>
      <c r="M23" s="300"/>
      <c r="N23" s="300"/>
      <c r="O23" s="300"/>
    </row>
    <row r="24" spans="2:15" ht="16.5" thickBot="1">
      <c r="B24" s="300"/>
      <c r="C24" s="624"/>
      <c r="D24" s="333"/>
      <c r="E24" s="333"/>
      <c r="F24" s="333"/>
      <c r="G24" s="334" t="s">
        <v>537</v>
      </c>
      <c r="H24" s="626" t="s">
        <v>537</v>
      </c>
      <c r="I24" s="626"/>
      <c r="J24" s="626" t="s">
        <v>526</v>
      </c>
      <c r="K24" s="626"/>
      <c r="L24" s="300"/>
      <c r="M24" s="300"/>
      <c r="N24" s="300"/>
      <c r="O24" s="300"/>
    </row>
    <row r="25" spans="2:15" ht="26.25" thickBot="1">
      <c r="B25" s="300"/>
      <c r="C25" s="624"/>
      <c r="D25" s="333"/>
      <c r="E25" s="333"/>
      <c r="F25" s="333"/>
      <c r="G25" s="335"/>
      <c r="H25" s="336" t="s">
        <v>430</v>
      </c>
      <c r="I25" s="336" t="s">
        <v>431</v>
      </c>
      <c r="J25" s="336" t="s">
        <v>430</v>
      </c>
      <c r="K25" s="336" t="s">
        <v>431</v>
      </c>
      <c r="L25" s="300"/>
      <c r="M25" s="300"/>
      <c r="N25" s="300"/>
      <c r="O25" s="300"/>
    </row>
    <row r="26" spans="2:15" ht="26.25" thickBot="1">
      <c r="B26" s="300"/>
      <c r="C26" s="624"/>
      <c r="D26" s="297" t="s">
        <v>45</v>
      </c>
      <c r="E26" s="297" t="s">
        <v>538</v>
      </c>
      <c r="F26" s="297"/>
      <c r="G26" s="337">
        <f>Cement2019</f>
        <v>0</v>
      </c>
      <c r="H26" s="338" t="e">
        <f ca="1">E9</f>
        <v>#NAME?</v>
      </c>
      <c r="I26" s="338" t="e">
        <f ca="1">E12</f>
        <v>#NAME?</v>
      </c>
      <c r="J26" s="339" t="e">
        <f ca="1">E9</f>
        <v>#NAME?</v>
      </c>
      <c r="K26" s="339" t="e">
        <f ca="1">E12</f>
        <v>#NAME?</v>
      </c>
      <c r="L26" s="300"/>
      <c r="M26" s="300"/>
      <c r="N26" s="300"/>
      <c r="O26" s="300">
        <v>0</v>
      </c>
    </row>
    <row r="27" spans="2:15" ht="13.5">
      <c r="B27" s="300"/>
      <c r="C27" s="624"/>
      <c r="D27" s="295" t="s">
        <v>539</v>
      </c>
      <c r="E27" s="300"/>
      <c r="F27" s="300"/>
      <c r="G27" s="300"/>
      <c r="H27" s="300"/>
      <c r="I27" s="300"/>
      <c r="J27" s="300"/>
      <c r="K27" s="300"/>
      <c r="L27" s="300"/>
      <c r="M27" s="300"/>
      <c r="N27" s="340"/>
      <c r="O27" s="300"/>
    </row>
    <row r="33" spans="2:13" ht="13.5" thickBot="1">
      <c r="B33" s="300"/>
      <c r="C33" s="300"/>
      <c r="D33" s="300"/>
      <c r="E33" s="300"/>
      <c r="F33" s="300"/>
      <c r="G33" s="300"/>
      <c r="H33" s="300"/>
      <c r="I33" s="300"/>
      <c r="J33" s="300"/>
      <c r="K33" s="300"/>
      <c r="L33" s="300"/>
      <c r="M33" s="300"/>
    </row>
    <row r="34" spans="2:13" ht="15.75" thickBot="1">
      <c r="B34" s="292" t="s">
        <v>529</v>
      </c>
      <c r="C34" s="304"/>
      <c r="D34" s="304"/>
      <c r="E34" s="305"/>
      <c r="F34" s="305"/>
      <c r="G34" s="305"/>
      <c r="H34" s="305"/>
      <c r="I34" s="305"/>
      <c r="J34" s="305"/>
      <c r="K34" s="305"/>
      <c r="L34" s="306"/>
      <c r="M34" s="300"/>
    </row>
    <row r="35" spans="2:13" ht="14.25" thickTop="1" thickBot="1">
      <c r="B35" s="307"/>
      <c r="C35" s="300"/>
      <c r="D35" s="300"/>
      <c r="E35" s="300"/>
      <c r="F35" s="300"/>
      <c r="G35" s="308" t="e">
        <f ca="1">_xll.RiskResultsGraph(ElectricalTD2019,G36:K47,0,TRUE,2.5,97.5,,,,B34,1)</f>
        <v>#NAME?</v>
      </c>
      <c r="H35" s="309"/>
      <c r="I35" s="300"/>
      <c r="J35" s="300"/>
      <c r="K35" s="300"/>
      <c r="L35" s="310"/>
      <c r="M35" s="300"/>
    </row>
    <row r="36" spans="2:13">
      <c r="B36" s="307"/>
      <c r="C36" s="311" t="s">
        <v>514</v>
      </c>
      <c r="D36" s="312"/>
      <c r="E36" s="313" t="s">
        <v>515</v>
      </c>
      <c r="F36" s="314"/>
      <c r="G36" s="300"/>
      <c r="H36" s="300"/>
      <c r="I36" s="300"/>
      <c r="J36" s="300"/>
      <c r="K36" s="300"/>
      <c r="L36" s="310"/>
      <c r="M36" s="300"/>
    </row>
    <row r="37" spans="2:13" ht="18">
      <c r="B37" s="307"/>
      <c r="C37" s="315" t="s">
        <v>434</v>
      </c>
      <c r="D37" s="316"/>
      <c r="E37" s="317" t="e">
        <f ca="1">RiskMin(ElectricalTD2019)</f>
        <v>#NAME?</v>
      </c>
      <c r="F37" s="309"/>
      <c r="G37" s="300"/>
      <c r="H37" s="300"/>
      <c r="I37" s="300"/>
      <c r="J37" s="300"/>
      <c r="K37" s="300"/>
      <c r="L37" s="310"/>
      <c r="M37" s="293"/>
    </row>
    <row r="38" spans="2:13">
      <c r="B38" s="307"/>
      <c r="C38" s="318" t="s">
        <v>516</v>
      </c>
      <c r="D38" s="319"/>
      <c r="E38" s="317" t="e">
        <f ca="1">RiskPercentile(ElectricalTD2019,0.025)</f>
        <v>#NAME?</v>
      </c>
      <c r="F38" s="309"/>
      <c r="G38" s="300"/>
      <c r="H38" s="300"/>
      <c r="I38" s="300"/>
      <c r="J38" s="300"/>
      <c r="K38" s="300"/>
      <c r="L38" s="310"/>
      <c r="M38" s="294"/>
    </row>
    <row r="39" spans="2:13">
      <c r="B39" s="307"/>
      <c r="C39" s="315" t="s">
        <v>517</v>
      </c>
      <c r="D39" s="316"/>
      <c r="E39" s="317" t="e">
        <f ca="1">RiskMean(ElectricalTD2019)</f>
        <v>#NAME?</v>
      </c>
      <c r="F39" s="309"/>
      <c r="G39" s="300"/>
      <c r="H39" s="300"/>
      <c r="I39" s="300"/>
      <c r="J39" s="300"/>
      <c r="K39" s="300"/>
      <c r="L39" s="310"/>
      <c r="M39" s="294"/>
    </row>
    <row r="40" spans="2:13">
      <c r="B40" s="307"/>
      <c r="C40" s="315" t="s">
        <v>518</v>
      </c>
      <c r="D40" s="316"/>
      <c r="E40" s="317" t="e">
        <f ca="1">RiskStdDev(ElectricalTD2019)</f>
        <v>#NAME?</v>
      </c>
      <c r="F40" s="309"/>
      <c r="G40" s="300"/>
      <c r="H40" s="300"/>
      <c r="I40" s="300"/>
      <c r="J40" s="300"/>
      <c r="K40" s="300"/>
      <c r="L40" s="310"/>
      <c r="M40" s="294"/>
    </row>
    <row r="41" spans="2:13">
      <c r="B41" s="307"/>
      <c r="C41" s="315" t="s">
        <v>519</v>
      </c>
      <c r="D41" s="316"/>
      <c r="E41" s="317" t="e">
        <f ca="1">RiskPercentile(ElectricalTD2019,0.975)</f>
        <v>#NAME?</v>
      </c>
      <c r="F41" s="309"/>
      <c r="G41" s="300"/>
      <c r="H41" s="300"/>
      <c r="I41" s="300"/>
      <c r="J41" s="300"/>
      <c r="K41" s="300"/>
      <c r="L41" s="310"/>
      <c r="M41" s="294"/>
    </row>
    <row r="42" spans="2:13" ht="13.5" thickBot="1">
      <c r="B42" s="307"/>
      <c r="C42" s="320" t="s">
        <v>435</v>
      </c>
      <c r="D42" s="321"/>
      <c r="E42" s="322" t="e">
        <f ca="1">RiskMax(ElectricalTD2019)</f>
        <v>#NAME?</v>
      </c>
      <c r="F42" s="309"/>
      <c r="G42" s="300"/>
      <c r="H42" s="300"/>
      <c r="I42" s="300"/>
      <c r="J42" s="300"/>
      <c r="K42" s="300"/>
      <c r="L42" s="310"/>
      <c r="M42" s="300"/>
    </row>
    <row r="43" spans="2:13" ht="13.5" thickBot="1">
      <c r="B43" s="307"/>
      <c r="C43" s="323"/>
      <c r="D43" s="300"/>
      <c r="E43" s="300"/>
      <c r="F43" s="300"/>
      <c r="G43" s="300"/>
      <c r="H43" s="300"/>
      <c r="I43" s="300"/>
      <c r="J43" s="300"/>
      <c r="K43" s="300"/>
      <c r="L43" s="310"/>
      <c r="M43" s="300"/>
    </row>
    <row r="44" spans="2:13">
      <c r="B44" s="307"/>
      <c r="C44" s="324" t="s">
        <v>514</v>
      </c>
      <c r="D44" s="622" t="s">
        <v>520</v>
      </c>
      <c r="E44" s="623"/>
      <c r="F44" s="300"/>
      <c r="G44" s="300"/>
      <c r="H44" s="300"/>
      <c r="I44" s="300"/>
      <c r="J44" s="300"/>
      <c r="K44" s="300"/>
      <c r="L44" s="310"/>
      <c r="M44" s="300"/>
    </row>
    <row r="45" spans="2:13">
      <c r="B45" s="307"/>
      <c r="C45" s="318" t="s">
        <v>516</v>
      </c>
      <c r="D45" s="319"/>
      <c r="E45" s="341" t="e">
        <f ca="1">E38/E39-1</f>
        <v>#NAME?</v>
      </c>
      <c r="F45" s="300"/>
      <c r="G45" s="300"/>
      <c r="H45" s="300"/>
      <c r="I45" s="300"/>
      <c r="J45" s="300"/>
      <c r="K45" s="300"/>
      <c r="L45" s="310"/>
      <c r="M45" s="300"/>
    </row>
    <row r="46" spans="2:13" ht="13.5" thickBot="1">
      <c r="B46" s="307"/>
      <c r="C46" s="320" t="s">
        <v>519</v>
      </c>
      <c r="D46" s="321"/>
      <c r="E46" s="342" t="e">
        <f ca="1">E41/E39-1</f>
        <v>#NAME?</v>
      </c>
      <c r="F46" s="300"/>
      <c r="G46" s="300"/>
      <c r="H46" s="300"/>
      <c r="I46" s="300"/>
      <c r="J46" s="300"/>
      <c r="K46" s="300"/>
      <c r="L46" s="310"/>
      <c r="M46" s="300"/>
    </row>
    <row r="47" spans="2:13">
      <c r="B47" s="307"/>
      <c r="C47" s="300"/>
      <c r="D47" s="300"/>
      <c r="E47" s="300"/>
      <c r="F47" s="300"/>
      <c r="G47" s="300"/>
      <c r="H47" s="300"/>
      <c r="I47" s="300"/>
      <c r="J47" s="300"/>
      <c r="K47" s="300"/>
      <c r="L47" s="310"/>
      <c r="M47" s="300"/>
    </row>
    <row r="48" spans="2:13" ht="13.5" thickBot="1">
      <c r="B48" s="327"/>
      <c r="C48" s="328"/>
      <c r="D48" s="328"/>
      <c r="E48" s="328"/>
      <c r="F48" s="328"/>
      <c r="G48" s="328"/>
      <c r="H48" s="328"/>
      <c r="I48" s="328"/>
      <c r="J48" s="328"/>
      <c r="K48" s="328"/>
      <c r="L48" s="329"/>
      <c r="M48" s="300"/>
    </row>
    <row r="49" spans="2:15" ht="13.5" thickBot="1">
      <c r="B49" s="330"/>
      <c r="C49" s="331"/>
      <c r="D49" s="331"/>
      <c r="E49" s="331"/>
      <c r="F49" s="331"/>
      <c r="G49" s="331"/>
      <c r="H49" s="331"/>
      <c r="I49" s="331"/>
      <c r="J49" s="331"/>
      <c r="K49" s="331"/>
      <c r="L49" s="332"/>
      <c r="M49" s="300"/>
      <c r="N49" s="300"/>
      <c r="O49" s="300"/>
    </row>
    <row r="50" spans="2:15" ht="13.5" thickTop="1">
      <c r="B50" s="300"/>
      <c r="C50" s="300"/>
      <c r="D50" s="300"/>
      <c r="E50" s="300"/>
      <c r="F50" s="300"/>
      <c r="G50" s="300"/>
      <c r="H50" s="300"/>
      <c r="I50" s="300"/>
      <c r="J50" s="300"/>
      <c r="K50" s="300"/>
      <c r="L50" s="300"/>
      <c r="M50" s="300"/>
      <c r="N50" s="300"/>
      <c r="O50" s="300"/>
    </row>
    <row r="51" spans="2:15" ht="15" thickBot="1">
      <c r="B51" s="300"/>
      <c r="C51" s="624" t="s">
        <v>521</v>
      </c>
      <c r="D51" s="296" t="s">
        <v>540</v>
      </c>
      <c r="E51" s="300"/>
      <c r="F51" s="300"/>
      <c r="G51" s="300"/>
      <c r="H51" s="300"/>
      <c r="I51" s="300"/>
      <c r="J51" s="300"/>
      <c r="K51" s="300"/>
      <c r="L51" s="300"/>
      <c r="M51" s="300"/>
      <c r="N51" s="300"/>
      <c r="O51" s="300"/>
    </row>
    <row r="52" spans="2:15">
      <c r="B52" s="300"/>
      <c r="C52" s="624"/>
      <c r="D52" s="298" t="s">
        <v>67</v>
      </c>
      <c r="E52" s="298" t="s">
        <v>275</v>
      </c>
      <c r="F52" s="298"/>
      <c r="G52" s="298" t="s">
        <v>535</v>
      </c>
      <c r="H52" s="625" t="s">
        <v>536</v>
      </c>
      <c r="I52" s="625"/>
      <c r="J52" s="625"/>
      <c r="K52" s="625"/>
      <c r="L52" s="300"/>
      <c r="M52" s="300"/>
      <c r="N52" s="300"/>
      <c r="O52" s="300"/>
    </row>
    <row r="53" spans="2:15" ht="16.5" thickBot="1">
      <c r="B53" s="300"/>
      <c r="C53" s="624"/>
      <c r="D53" s="333"/>
      <c r="E53" s="333"/>
      <c r="F53" s="333"/>
      <c r="G53" s="334" t="s">
        <v>537</v>
      </c>
      <c r="H53" s="626" t="s">
        <v>537</v>
      </c>
      <c r="I53" s="626"/>
      <c r="J53" s="626" t="s">
        <v>526</v>
      </c>
      <c r="K53" s="626"/>
      <c r="L53" s="300"/>
      <c r="M53" s="300"/>
      <c r="N53" s="300"/>
      <c r="O53" s="300"/>
    </row>
    <row r="54" spans="2:15" ht="26.25" thickBot="1">
      <c r="B54" s="300"/>
      <c r="C54" s="624"/>
      <c r="D54" s="333"/>
      <c r="E54" s="333"/>
      <c r="F54" s="333"/>
      <c r="G54" s="335"/>
      <c r="H54" s="336" t="s">
        <v>430</v>
      </c>
      <c r="I54" s="336" t="s">
        <v>431</v>
      </c>
      <c r="J54" s="336" t="s">
        <v>430</v>
      </c>
      <c r="K54" s="336" t="s">
        <v>431</v>
      </c>
      <c r="L54" s="300"/>
      <c r="M54" s="300"/>
      <c r="N54" s="300"/>
      <c r="O54" s="300"/>
    </row>
    <row r="55" spans="2:15" ht="13.5" thickBot="1">
      <c r="B55" s="300"/>
      <c r="C55" s="624"/>
      <c r="D55" s="299" t="s">
        <v>62</v>
      </c>
      <c r="E55" s="297" t="s">
        <v>360</v>
      </c>
      <c r="F55" s="297"/>
      <c r="G55" s="337">
        <f>ElectricalTD2019</f>
        <v>1.4726322972019588E-2</v>
      </c>
      <c r="H55" s="338" t="e">
        <f ca="1">E38</f>
        <v>#NAME?</v>
      </c>
      <c r="I55" s="338" t="e">
        <f ca="1">E41</f>
        <v>#NAME?</v>
      </c>
      <c r="J55" s="343" t="e">
        <f ca="1">E38/G55-1</f>
        <v>#NAME?</v>
      </c>
      <c r="K55" s="343" t="e">
        <f ca="1">E41/G55-1</f>
        <v>#NAME?</v>
      </c>
      <c r="L55" s="300"/>
      <c r="M55" s="300"/>
      <c r="N55" s="300"/>
      <c r="O55" s="300">
        <v>1.0610878495523687E-2</v>
      </c>
    </row>
    <row r="56" spans="2:15" ht="13.5">
      <c r="B56" s="300"/>
      <c r="C56" s="624"/>
      <c r="D56" s="295" t="s">
        <v>539</v>
      </c>
      <c r="E56" s="300"/>
      <c r="F56" s="300"/>
      <c r="G56" s="300"/>
      <c r="H56" s="300"/>
      <c r="I56" s="300"/>
      <c r="J56" s="300"/>
      <c r="K56" s="300"/>
      <c r="L56" s="300"/>
      <c r="M56" s="300"/>
      <c r="N56" s="340"/>
      <c r="O56" s="300"/>
    </row>
    <row r="62" spans="2:15" ht="13.5" thickBot="1">
      <c r="B62" s="300"/>
      <c r="C62" s="300"/>
      <c r="D62" s="300"/>
      <c r="E62" s="300"/>
      <c r="F62" s="300"/>
      <c r="G62" s="300"/>
      <c r="H62" s="300"/>
      <c r="I62" s="300"/>
      <c r="J62" s="300"/>
      <c r="K62" s="300"/>
      <c r="L62" s="300"/>
      <c r="M62" s="300"/>
      <c r="N62" s="300"/>
      <c r="O62" s="300"/>
    </row>
    <row r="63" spans="2:15" ht="15.75" thickBot="1">
      <c r="B63" s="292" t="s">
        <v>531</v>
      </c>
      <c r="C63" s="304"/>
      <c r="D63" s="304"/>
      <c r="E63" s="305"/>
      <c r="F63" s="305"/>
      <c r="G63" s="305"/>
      <c r="H63" s="305"/>
      <c r="I63" s="305"/>
      <c r="J63" s="305"/>
      <c r="K63" s="305"/>
      <c r="L63" s="306"/>
      <c r="M63" s="300"/>
      <c r="N63" s="300"/>
      <c r="O63" s="300"/>
    </row>
    <row r="64" spans="2:15" ht="14.25" thickTop="1" thickBot="1">
      <c r="B64" s="307"/>
      <c r="C64" s="300"/>
      <c r="D64" s="300"/>
      <c r="E64" s="300"/>
      <c r="F64" s="300"/>
      <c r="G64" s="308" t="e">
        <f ca="1">_xll.RiskResultsGraph(ODSSubs2019,G65:K76,0,TRUE,2.5,97.5,,,,B63,1)</f>
        <v>#NAME?</v>
      </c>
      <c r="H64" s="309"/>
      <c r="I64" s="300"/>
      <c r="J64" s="300"/>
      <c r="K64" s="300"/>
      <c r="L64" s="310"/>
      <c r="M64" s="300"/>
      <c r="N64" s="300"/>
      <c r="O64" s="300"/>
    </row>
    <row r="65" spans="2:13">
      <c r="B65" s="307"/>
      <c r="C65" s="311" t="s">
        <v>514</v>
      </c>
      <c r="D65" s="312"/>
      <c r="E65" s="313" t="s">
        <v>515</v>
      </c>
      <c r="F65" s="314"/>
      <c r="G65" s="300"/>
      <c r="H65" s="300"/>
      <c r="I65" s="300"/>
      <c r="J65" s="300"/>
      <c r="K65" s="300"/>
      <c r="L65" s="310"/>
      <c r="M65" s="300"/>
    </row>
    <row r="66" spans="2:13" ht="18">
      <c r="B66" s="307"/>
      <c r="C66" s="315" t="s">
        <v>434</v>
      </c>
      <c r="D66" s="316"/>
      <c r="E66" s="317" t="e">
        <f ca="1">RiskMin(ODSSubs2019)</f>
        <v>#NAME?</v>
      </c>
      <c r="F66" s="309"/>
      <c r="G66" s="300"/>
      <c r="H66" s="300"/>
      <c r="I66" s="300"/>
      <c r="J66" s="300"/>
      <c r="K66" s="300"/>
      <c r="L66" s="310"/>
      <c r="M66" s="293"/>
    </row>
    <row r="67" spans="2:13">
      <c r="B67" s="307"/>
      <c r="C67" s="318" t="s">
        <v>516</v>
      </c>
      <c r="D67" s="319"/>
      <c r="E67" s="317" t="e">
        <f ca="1">RiskPercentile(ODSSubs2019,0.025)</f>
        <v>#NAME?</v>
      </c>
      <c r="F67" s="309"/>
      <c r="G67" s="300"/>
      <c r="H67" s="300"/>
      <c r="I67" s="300"/>
      <c r="J67" s="300"/>
      <c r="K67" s="300"/>
      <c r="L67" s="310"/>
      <c r="M67" s="294"/>
    </row>
    <row r="68" spans="2:13">
      <c r="B68" s="307"/>
      <c r="C68" s="315" t="s">
        <v>517</v>
      </c>
      <c r="D68" s="316"/>
      <c r="E68" s="317" t="e">
        <f ca="1">RiskMean(ODSSubs2019)</f>
        <v>#NAME?</v>
      </c>
      <c r="F68" s="309"/>
      <c r="G68" s="300"/>
      <c r="H68" s="300"/>
      <c r="I68" s="300"/>
      <c r="J68" s="300"/>
      <c r="K68" s="300"/>
      <c r="L68" s="310"/>
      <c r="M68" s="294"/>
    </row>
    <row r="69" spans="2:13">
      <c r="B69" s="307"/>
      <c r="C69" s="315" t="s">
        <v>518</v>
      </c>
      <c r="D69" s="316"/>
      <c r="E69" s="317" t="e">
        <f ca="1">RiskStdDev(ODSSubs2019)</f>
        <v>#NAME?</v>
      </c>
      <c r="F69" s="309"/>
      <c r="G69" s="300"/>
      <c r="H69" s="300"/>
      <c r="I69" s="300"/>
      <c r="J69" s="300"/>
      <c r="K69" s="300"/>
      <c r="L69" s="310"/>
      <c r="M69" s="294"/>
    </row>
    <row r="70" spans="2:13">
      <c r="B70" s="307"/>
      <c r="C70" s="315" t="s">
        <v>519</v>
      </c>
      <c r="D70" s="316"/>
      <c r="E70" s="317" t="e">
        <f ca="1">RiskPercentile(ODSSubs2019,0.975)</f>
        <v>#NAME?</v>
      </c>
      <c r="F70" s="309"/>
      <c r="G70" s="300"/>
      <c r="H70" s="300"/>
      <c r="I70" s="300"/>
      <c r="J70" s="300"/>
      <c r="K70" s="300"/>
      <c r="L70" s="310"/>
      <c r="M70" s="294"/>
    </row>
    <row r="71" spans="2:13" ht="13.5" thickBot="1">
      <c r="B71" s="307"/>
      <c r="C71" s="320" t="s">
        <v>435</v>
      </c>
      <c r="D71" s="321"/>
      <c r="E71" s="322" t="e">
        <f ca="1">RiskMax(ODSSubs2019)</f>
        <v>#NAME?</v>
      </c>
      <c r="F71" s="309"/>
      <c r="G71" s="300"/>
      <c r="H71" s="300"/>
      <c r="I71" s="300"/>
      <c r="J71" s="300"/>
      <c r="K71" s="300"/>
      <c r="L71" s="310"/>
      <c r="M71" s="300"/>
    </row>
    <row r="72" spans="2:13" ht="13.5" thickBot="1">
      <c r="B72" s="307"/>
      <c r="C72" s="323"/>
      <c r="D72" s="300"/>
      <c r="E72" s="300"/>
      <c r="F72" s="300"/>
      <c r="G72" s="300"/>
      <c r="H72" s="300"/>
      <c r="I72" s="300"/>
      <c r="J72" s="300"/>
      <c r="K72" s="300"/>
      <c r="L72" s="310"/>
      <c r="M72" s="300"/>
    </row>
    <row r="73" spans="2:13">
      <c r="B73" s="307"/>
      <c r="C73" s="324" t="s">
        <v>514</v>
      </c>
      <c r="D73" s="622" t="s">
        <v>520</v>
      </c>
      <c r="E73" s="623"/>
      <c r="F73" s="300"/>
      <c r="G73" s="300"/>
      <c r="H73" s="300"/>
      <c r="I73" s="300"/>
      <c r="J73" s="300"/>
      <c r="K73" s="300"/>
      <c r="L73" s="310"/>
      <c r="M73" s="300"/>
    </row>
    <row r="74" spans="2:13">
      <c r="B74" s="307"/>
      <c r="C74" s="318" t="s">
        <v>516</v>
      </c>
      <c r="D74" s="319"/>
      <c r="E74" s="341" t="e">
        <f ca="1">E67/E68-1</f>
        <v>#NAME?</v>
      </c>
      <c r="F74" s="300"/>
      <c r="G74" s="300"/>
      <c r="H74" s="300"/>
      <c r="I74" s="300"/>
      <c r="J74" s="300"/>
      <c r="K74" s="300"/>
      <c r="L74" s="310"/>
      <c r="M74" s="300"/>
    </row>
    <row r="75" spans="2:13" ht="13.5" thickBot="1">
      <c r="B75" s="307"/>
      <c r="C75" s="320" t="s">
        <v>519</v>
      </c>
      <c r="D75" s="321"/>
      <c r="E75" s="342" t="e">
        <f ca="1">E70/E68-1</f>
        <v>#NAME?</v>
      </c>
      <c r="F75" s="300"/>
      <c r="G75" s="300"/>
      <c r="H75" s="300"/>
      <c r="I75" s="300"/>
      <c r="J75" s="300"/>
      <c r="K75" s="300"/>
      <c r="L75" s="310"/>
      <c r="M75" s="300"/>
    </row>
    <row r="76" spans="2:13">
      <c r="B76" s="307"/>
      <c r="C76" s="300"/>
      <c r="D76" s="300"/>
      <c r="E76" s="300"/>
      <c r="F76" s="300"/>
      <c r="G76" s="300"/>
      <c r="H76" s="300"/>
      <c r="I76" s="300"/>
      <c r="J76" s="300"/>
      <c r="K76" s="300"/>
      <c r="L76" s="310"/>
      <c r="M76" s="300"/>
    </row>
    <row r="77" spans="2:13" ht="13.5" thickBot="1">
      <c r="B77" s="327"/>
      <c r="C77" s="328"/>
      <c r="D77" s="328"/>
      <c r="E77" s="328"/>
      <c r="F77" s="328"/>
      <c r="G77" s="328"/>
      <c r="H77" s="328"/>
      <c r="I77" s="328"/>
      <c r="J77" s="328"/>
      <c r="K77" s="328"/>
      <c r="L77" s="329"/>
      <c r="M77" s="300"/>
    </row>
    <row r="78" spans="2:13" ht="13.5" thickBot="1">
      <c r="B78" s="330"/>
      <c r="C78" s="331"/>
      <c r="D78" s="331"/>
      <c r="E78" s="331"/>
      <c r="F78" s="331"/>
      <c r="G78" s="331"/>
      <c r="H78" s="331"/>
      <c r="I78" s="331"/>
      <c r="J78" s="331"/>
      <c r="K78" s="331"/>
      <c r="L78" s="332"/>
      <c r="M78" s="300"/>
    </row>
    <row r="79" spans="2:13" ht="13.5" thickTop="1">
      <c r="B79" s="300"/>
      <c r="C79" s="300"/>
      <c r="D79" s="300"/>
      <c r="E79" s="300"/>
      <c r="F79" s="300"/>
      <c r="G79" s="300"/>
      <c r="H79" s="300"/>
      <c r="I79" s="300"/>
      <c r="J79" s="300"/>
      <c r="K79" s="300"/>
      <c r="L79" s="300"/>
      <c r="M79" s="300"/>
    </row>
    <row r="80" spans="2:13" ht="15" thickBot="1">
      <c r="B80" s="300"/>
      <c r="C80" s="624" t="s">
        <v>521</v>
      </c>
      <c r="D80" s="296" t="s">
        <v>541</v>
      </c>
      <c r="E80" s="300"/>
      <c r="F80" s="300"/>
      <c r="G80" s="300"/>
      <c r="H80" s="300"/>
      <c r="I80" s="300"/>
      <c r="J80" s="300"/>
      <c r="K80" s="300"/>
      <c r="L80" s="300"/>
      <c r="M80" s="300"/>
    </row>
    <row r="81" spans="3:15">
      <c r="C81" s="624"/>
      <c r="D81" s="298" t="s">
        <v>67</v>
      </c>
      <c r="E81" s="298" t="s">
        <v>275</v>
      </c>
      <c r="F81" s="298"/>
      <c r="G81" s="298" t="s">
        <v>535</v>
      </c>
      <c r="H81" s="625" t="s">
        <v>536</v>
      </c>
      <c r="I81" s="625"/>
      <c r="J81" s="625"/>
      <c r="K81" s="625"/>
      <c r="L81" s="300"/>
      <c r="M81" s="300"/>
      <c r="N81" s="300"/>
      <c r="O81" s="300"/>
    </row>
    <row r="82" spans="3:15" ht="16.5" thickBot="1">
      <c r="C82" s="624"/>
      <c r="D82" s="333"/>
      <c r="E82" s="333"/>
      <c r="F82" s="333"/>
      <c r="G82" s="334" t="s">
        <v>537</v>
      </c>
      <c r="H82" s="626" t="s">
        <v>537</v>
      </c>
      <c r="I82" s="626"/>
      <c r="J82" s="626" t="s">
        <v>526</v>
      </c>
      <c r="K82" s="626"/>
      <c r="L82" s="300"/>
      <c r="M82" s="300"/>
      <c r="N82" s="300"/>
      <c r="O82" s="300"/>
    </row>
    <row r="83" spans="3:15" ht="26.25" thickBot="1">
      <c r="C83" s="624"/>
      <c r="D83" s="333"/>
      <c r="E83" s="333"/>
      <c r="F83" s="333"/>
      <c r="G83" s="335"/>
      <c r="H83" s="336" t="s">
        <v>430</v>
      </c>
      <c r="I83" s="336" t="s">
        <v>431</v>
      </c>
      <c r="J83" s="336" t="s">
        <v>430</v>
      </c>
      <c r="K83" s="336" t="s">
        <v>431</v>
      </c>
      <c r="L83" s="300"/>
      <c r="M83" s="300"/>
      <c r="N83" s="300"/>
      <c r="O83" s="300"/>
    </row>
    <row r="84" spans="3:15" ht="39" thickBot="1">
      <c r="C84" s="624"/>
      <c r="D84" s="297" t="s">
        <v>50</v>
      </c>
      <c r="E84" s="297" t="s">
        <v>533</v>
      </c>
      <c r="F84" s="297"/>
      <c r="G84" s="337">
        <f>ODSSubs2019</f>
        <v>0.80497522367442997</v>
      </c>
      <c r="H84" s="338" t="e">
        <f ca="1">E67</f>
        <v>#NAME?</v>
      </c>
      <c r="I84" s="338" t="e">
        <f ca="1">E70</f>
        <v>#NAME?</v>
      </c>
      <c r="J84" s="343" t="e">
        <f ca="1">E67/G84-1</f>
        <v>#NAME?</v>
      </c>
      <c r="K84" s="343" t="e">
        <f ca="1">E70/G84-1</f>
        <v>#NAME?</v>
      </c>
      <c r="L84" s="300"/>
      <c r="M84" s="300"/>
      <c r="N84" s="300"/>
      <c r="O84" s="300">
        <v>0.76659726522615557</v>
      </c>
    </row>
    <row r="85" spans="3:15" ht="13.5">
      <c r="C85" s="624"/>
      <c r="D85" s="295" t="s">
        <v>539</v>
      </c>
      <c r="E85" s="300"/>
      <c r="F85" s="300"/>
      <c r="G85" s="300"/>
      <c r="H85" s="300"/>
      <c r="I85" s="300"/>
      <c r="J85" s="300"/>
      <c r="K85" s="300"/>
      <c r="L85" s="300"/>
      <c r="M85" s="300"/>
      <c r="N85" s="340"/>
      <c r="O85" s="300"/>
    </row>
  </sheetData>
  <mergeCells count="16">
    <mergeCell ref="C80:C85"/>
    <mergeCell ref="H81:K81"/>
    <mergeCell ref="H82:I82"/>
    <mergeCell ref="J82:K82"/>
    <mergeCell ref="D44:E44"/>
    <mergeCell ref="C51:C56"/>
    <mergeCell ref="H52:K52"/>
    <mergeCell ref="H53:I53"/>
    <mergeCell ref="J53:K53"/>
    <mergeCell ref="D73:E73"/>
    <mergeCell ref="B3:D3"/>
    <mergeCell ref="D15:E15"/>
    <mergeCell ref="C22:C27"/>
    <mergeCell ref="H23:K23"/>
    <mergeCell ref="H24:I24"/>
    <mergeCell ref="J24:K24"/>
  </mergeCells>
  <conditionalFormatting sqref="E8:E13">
    <cfRule type="expression" dxfId="5" priority="7" stopIfTrue="1">
      <formula>RiskIsStatistics</formula>
    </cfRule>
  </conditionalFormatting>
  <conditionalFormatting sqref="E37:E42">
    <cfRule type="expression" dxfId="4" priority="6" stopIfTrue="1">
      <formula>RiskIsStatistics</formula>
    </cfRule>
  </conditionalFormatting>
  <conditionalFormatting sqref="E66:E71">
    <cfRule type="expression" dxfId="3" priority="5" stopIfTrue="1">
      <formula>RiskIsStatistics</formula>
    </cfRule>
  </conditionalFormatting>
  <conditionalFormatting sqref="G6">
    <cfRule type="expression" dxfId="2" priority="8" stopIfTrue="1">
      <formula>RiskIsStatistics</formula>
    </cfRule>
  </conditionalFormatting>
  <conditionalFormatting sqref="G35">
    <cfRule type="expression" dxfId="1" priority="9" stopIfTrue="1">
      <formula>RiskIsStatistics</formula>
    </cfRule>
  </conditionalFormatting>
  <conditionalFormatting sqref="G64">
    <cfRule type="expression" dxfId="0" priority="10" stopIfTrue="1">
      <formula>RiskIsStatistics</formula>
    </cfRule>
  </conditionalFormatting>
  <pageMargins left="0.75" right="0.75" top="1" bottom="1" header="0.5" footer="0.5"/>
  <pageSetup orientation="portrait" r:id="rId1"/>
  <headerFooter alignWithMargins="0"/>
  <drawing r:id="rId2"/>
  <legacy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B06AC5-E33D-49AE-A453-8BED1733C63B}">
  <sheetPr>
    <tabColor rgb="FFFFC000"/>
  </sheetPr>
  <dimension ref="A1:BO20"/>
  <sheetViews>
    <sheetView workbookViewId="0"/>
  </sheetViews>
  <sheetFormatPr defaultRowHeight="12.75"/>
  <cols>
    <col min="1" max="1" width="36.85546875" customWidth="1"/>
  </cols>
  <sheetData>
    <row r="1" spans="1:67" ht="37.5" customHeight="1">
      <c r="A1" s="534" t="s">
        <v>64</v>
      </c>
    </row>
    <row r="2" spans="1:67" ht="18.75">
      <c r="A2" s="344" t="s">
        <v>65</v>
      </c>
      <c r="B2" s="163"/>
      <c r="C2" s="163"/>
      <c r="D2" s="163"/>
      <c r="E2" s="163"/>
      <c r="F2" s="164"/>
      <c r="G2" s="164"/>
      <c r="H2" s="164"/>
      <c r="I2" s="164"/>
      <c r="J2" s="164"/>
      <c r="K2" s="164"/>
      <c r="L2" s="164"/>
      <c r="M2" s="164"/>
      <c r="N2" s="163"/>
      <c r="O2" s="163"/>
      <c r="P2" s="163"/>
      <c r="Q2" s="163"/>
      <c r="R2" s="163"/>
      <c r="S2" s="163"/>
      <c r="T2" s="163"/>
      <c r="U2" s="163"/>
      <c r="V2" s="163"/>
      <c r="W2" s="163"/>
      <c r="X2" s="163"/>
      <c r="Y2" s="163"/>
      <c r="Z2" s="163"/>
      <c r="AA2" s="163"/>
      <c r="AB2" s="163"/>
      <c r="AC2" s="163"/>
      <c r="AD2" s="163"/>
      <c r="AE2" s="163"/>
      <c r="AF2" s="163"/>
      <c r="AG2" s="163"/>
      <c r="AH2" s="163"/>
      <c r="AI2" s="163"/>
      <c r="AJ2" s="163"/>
      <c r="AK2" s="163"/>
      <c r="AL2" s="163"/>
      <c r="AM2" s="163"/>
      <c r="AN2" s="163"/>
      <c r="AO2" s="163"/>
      <c r="AP2" s="163"/>
      <c r="AQ2" s="163"/>
      <c r="AR2" s="163"/>
      <c r="AS2" s="163"/>
      <c r="AT2" s="163"/>
      <c r="AU2" s="163"/>
      <c r="AV2" s="163"/>
      <c r="AW2" s="163"/>
      <c r="AX2" s="163"/>
      <c r="AY2" s="163"/>
      <c r="AZ2" s="163"/>
      <c r="BA2" s="163"/>
      <c r="BB2" s="163"/>
      <c r="BC2" s="163"/>
      <c r="BD2" s="163"/>
      <c r="BE2" s="163"/>
      <c r="BF2" s="163"/>
      <c r="BG2" s="163"/>
      <c r="BH2" s="163"/>
      <c r="BI2" s="163"/>
      <c r="BJ2" s="163"/>
      <c r="BK2" s="163"/>
      <c r="BL2" s="163"/>
      <c r="BM2" s="163"/>
      <c r="BN2" s="163"/>
      <c r="BO2" s="163"/>
    </row>
    <row r="3" spans="1:67">
      <c r="A3" s="42"/>
      <c r="B3" s="42"/>
      <c r="C3" s="42"/>
      <c r="D3" s="42"/>
      <c r="E3" s="42"/>
      <c r="F3" s="42"/>
      <c r="G3" s="42"/>
      <c r="H3" s="42"/>
      <c r="I3" s="42"/>
      <c r="J3" s="42"/>
      <c r="K3" s="42"/>
      <c r="L3" s="42"/>
      <c r="M3" s="42"/>
      <c r="N3" s="42"/>
      <c r="O3" s="42"/>
      <c r="P3" s="42"/>
      <c r="Q3" s="42"/>
      <c r="R3" s="42"/>
      <c r="S3" s="42"/>
      <c r="T3" s="42"/>
      <c r="U3" s="42"/>
      <c r="V3" s="42"/>
      <c r="W3" s="42"/>
      <c r="X3" s="42"/>
      <c r="Y3" s="42"/>
      <c r="Z3" s="42"/>
      <c r="AA3" s="42"/>
      <c r="AB3" s="42"/>
      <c r="AC3" s="42"/>
      <c r="AD3" s="42"/>
      <c r="AE3" s="42"/>
      <c r="AF3" s="42"/>
      <c r="AG3" s="42"/>
      <c r="AH3" s="42"/>
      <c r="AI3" s="42"/>
      <c r="AJ3" s="42"/>
      <c r="AK3" s="42"/>
      <c r="AL3" s="42"/>
      <c r="AM3" s="42"/>
      <c r="AN3" s="42"/>
      <c r="AO3" s="42"/>
      <c r="AP3" s="42"/>
      <c r="AQ3" s="42"/>
      <c r="AR3" s="42"/>
      <c r="AS3" s="42"/>
      <c r="AT3" s="42"/>
      <c r="AU3" s="42"/>
      <c r="AV3" s="42"/>
      <c r="AW3" s="42"/>
      <c r="AX3" s="42"/>
      <c r="AY3" s="42"/>
      <c r="AZ3" s="42"/>
      <c r="BA3" s="42"/>
      <c r="BB3" s="42"/>
      <c r="BC3" s="42"/>
      <c r="BD3" s="42"/>
      <c r="BE3" s="42"/>
      <c r="BF3" s="42"/>
      <c r="BG3" s="42"/>
      <c r="BH3" s="42"/>
      <c r="BI3" s="42"/>
      <c r="BJ3" s="42"/>
      <c r="BK3" s="42"/>
      <c r="BL3" s="42"/>
      <c r="BM3" s="42"/>
      <c r="BN3" s="42"/>
      <c r="BO3" s="42"/>
    </row>
    <row r="4" spans="1:67">
      <c r="A4" s="43" t="s">
        <v>66</v>
      </c>
      <c r="B4" s="42"/>
      <c r="C4" s="42"/>
      <c r="D4" s="42"/>
      <c r="E4" s="42"/>
      <c r="F4" s="42"/>
      <c r="G4" s="42"/>
      <c r="H4" s="42"/>
      <c r="I4" s="42"/>
      <c r="J4" s="42"/>
      <c r="K4" s="42"/>
      <c r="L4" s="42"/>
      <c r="M4" s="42"/>
      <c r="N4" s="42"/>
      <c r="O4" s="42"/>
      <c r="P4" s="42"/>
      <c r="Q4" s="42"/>
      <c r="R4" s="42"/>
      <c r="S4" s="42"/>
      <c r="T4" s="42"/>
      <c r="U4" s="42"/>
      <c r="V4" s="42"/>
      <c r="W4" s="42"/>
      <c r="X4" s="42"/>
      <c r="Y4" s="42"/>
      <c r="Z4" s="42"/>
      <c r="AA4" s="42"/>
      <c r="AB4" s="42"/>
      <c r="AC4" s="42"/>
      <c r="AD4" s="42"/>
      <c r="AE4" s="42"/>
      <c r="AF4" s="42"/>
      <c r="AG4" s="42"/>
      <c r="AH4" s="42"/>
      <c r="AI4" s="42"/>
      <c r="AJ4" s="42"/>
      <c r="AK4" s="42"/>
      <c r="AL4" s="42"/>
      <c r="AM4" s="42"/>
      <c r="AN4" s="42"/>
      <c r="AO4" s="42"/>
      <c r="AP4" s="42"/>
      <c r="AQ4" s="42"/>
      <c r="AR4" s="42"/>
      <c r="AS4" s="42"/>
      <c r="AT4" s="42"/>
      <c r="AU4" s="42"/>
      <c r="AV4" s="42"/>
      <c r="AW4" s="42"/>
      <c r="AX4" s="42"/>
      <c r="AY4" s="42"/>
      <c r="AZ4" s="42"/>
      <c r="BA4" s="42"/>
      <c r="BB4" s="42"/>
      <c r="BC4" s="42"/>
      <c r="BD4" s="42"/>
      <c r="BE4" s="42"/>
      <c r="BF4" s="42"/>
      <c r="BG4" s="42"/>
      <c r="BH4" s="42"/>
      <c r="BI4" s="42"/>
      <c r="BJ4" s="42"/>
      <c r="BK4" s="42"/>
      <c r="BL4" s="42"/>
      <c r="BM4" s="42"/>
      <c r="BN4" s="42"/>
      <c r="BO4" s="42"/>
    </row>
    <row r="5" spans="1:67">
      <c r="A5" s="165"/>
      <c r="B5" s="593">
        <v>1990</v>
      </c>
      <c r="C5" s="594"/>
      <c r="D5" s="594"/>
      <c r="E5" s="594"/>
      <c r="F5" s="594"/>
      <c r="G5" s="595"/>
      <c r="H5" s="593">
        <v>2005</v>
      </c>
      <c r="I5" s="594"/>
      <c r="J5" s="594"/>
      <c r="K5" s="594"/>
      <c r="L5" s="594"/>
      <c r="M5" s="595"/>
      <c r="N5" s="593">
        <v>2007</v>
      </c>
      <c r="O5" s="594"/>
      <c r="P5" s="594"/>
      <c r="Q5" s="594"/>
      <c r="R5" s="594"/>
      <c r="S5" s="595"/>
      <c r="T5" s="593">
        <v>2010</v>
      </c>
      <c r="U5" s="594"/>
      <c r="V5" s="594"/>
      <c r="W5" s="594"/>
      <c r="X5" s="594"/>
      <c r="Y5" s="595"/>
      <c r="Z5" s="593">
        <v>2015</v>
      </c>
      <c r="AA5" s="594"/>
      <c r="AB5" s="594"/>
      <c r="AC5" s="594"/>
      <c r="AD5" s="594"/>
      <c r="AE5" s="595"/>
      <c r="AF5" s="593">
        <v>2016</v>
      </c>
      <c r="AG5" s="594"/>
      <c r="AH5" s="594"/>
      <c r="AI5" s="594"/>
      <c r="AJ5" s="594"/>
      <c r="AK5" s="595"/>
      <c r="AL5" s="593">
        <v>2017</v>
      </c>
      <c r="AM5" s="594"/>
      <c r="AN5" s="594"/>
      <c r="AO5" s="594"/>
      <c r="AP5" s="594"/>
      <c r="AQ5" s="595"/>
      <c r="AR5" s="593">
        <v>2018</v>
      </c>
      <c r="AS5" s="594"/>
      <c r="AT5" s="594"/>
      <c r="AU5" s="594"/>
      <c r="AV5" s="594"/>
      <c r="AW5" s="595"/>
      <c r="AX5" s="593">
        <v>2019</v>
      </c>
      <c r="AY5" s="594"/>
      <c r="AZ5" s="594"/>
      <c r="BA5" s="594"/>
      <c r="BB5" s="594"/>
      <c r="BC5" s="595"/>
      <c r="BD5" s="593">
        <v>2020</v>
      </c>
      <c r="BE5" s="594"/>
      <c r="BF5" s="594"/>
      <c r="BG5" s="594"/>
      <c r="BH5" s="594"/>
      <c r="BI5" s="595"/>
      <c r="BJ5" s="593">
        <v>2021</v>
      </c>
      <c r="BK5" s="594"/>
      <c r="BL5" s="594"/>
      <c r="BM5" s="594"/>
      <c r="BN5" s="594"/>
      <c r="BO5" s="595"/>
    </row>
    <row r="6" spans="1:67" ht="25.5">
      <c r="A6" s="416" t="s">
        <v>67</v>
      </c>
      <c r="B6" s="417" t="s">
        <v>68</v>
      </c>
      <c r="C6" s="417" t="s">
        <v>69</v>
      </c>
      <c r="D6" s="417" t="s">
        <v>70</v>
      </c>
      <c r="E6" s="417" t="s">
        <v>71</v>
      </c>
      <c r="F6" s="417" t="s">
        <v>72</v>
      </c>
      <c r="G6" s="418" t="s">
        <v>49</v>
      </c>
      <c r="H6" s="417" t="s">
        <v>68</v>
      </c>
      <c r="I6" s="417" t="s">
        <v>69</v>
      </c>
      <c r="J6" s="417" t="s">
        <v>70</v>
      </c>
      <c r="K6" s="417" t="s">
        <v>71</v>
      </c>
      <c r="L6" s="417" t="s">
        <v>72</v>
      </c>
      <c r="M6" s="418" t="s">
        <v>49</v>
      </c>
      <c r="N6" s="417" t="s">
        <v>68</v>
      </c>
      <c r="O6" s="417" t="s">
        <v>69</v>
      </c>
      <c r="P6" s="417" t="s">
        <v>70</v>
      </c>
      <c r="Q6" s="417" t="s">
        <v>71</v>
      </c>
      <c r="R6" s="417" t="s">
        <v>72</v>
      </c>
      <c r="S6" s="418" t="s">
        <v>49</v>
      </c>
      <c r="T6" s="417" t="s">
        <v>68</v>
      </c>
      <c r="U6" s="417" t="s">
        <v>69</v>
      </c>
      <c r="V6" s="417" t="s">
        <v>70</v>
      </c>
      <c r="W6" s="417" t="s">
        <v>71</v>
      </c>
      <c r="X6" s="417" t="s">
        <v>72</v>
      </c>
      <c r="Y6" s="418" t="s">
        <v>49</v>
      </c>
      <c r="Z6" s="417" t="s">
        <v>68</v>
      </c>
      <c r="AA6" s="417" t="s">
        <v>69</v>
      </c>
      <c r="AB6" s="417" t="s">
        <v>70</v>
      </c>
      <c r="AC6" s="417" t="s">
        <v>71</v>
      </c>
      <c r="AD6" s="417" t="s">
        <v>72</v>
      </c>
      <c r="AE6" s="418" t="s">
        <v>49</v>
      </c>
      <c r="AF6" s="417" t="s">
        <v>68</v>
      </c>
      <c r="AG6" s="417" t="s">
        <v>69</v>
      </c>
      <c r="AH6" s="417" t="s">
        <v>70</v>
      </c>
      <c r="AI6" s="417" t="s">
        <v>71</v>
      </c>
      <c r="AJ6" s="417" t="s">
        <v>72</v>
      </c>
      <c r="AK6" s="418" t="s">
        <v>49</v>
      </c>
      <c r="AL6" s="417" t="s">
        <v>68</v>
      </c>
      <c r="AM6" s="417" t="s">
        <v>69</v>
      </c>
      <c r="AN6" s="417" t="s">
        <v>70</v>
      </c>
      <c r="AO6" s="417" t="s">
        <v>71</v>
      </c>
      <c r="AP6" s="417" t="s">
        <v>72</v>
      </c>
      <c r="AQ6" s="418" t="s">
        <v>49</v>
      </c>
      <c r="AR6" s="417" t="s">
        <v>68</v>
      </c>
      <c r="AS6" s="417" t="s">
        <v>69</v>
      </c>
      <c r="AT6" s="417" t="s">
        <v>70</v>
      </c>
      <c r="AU6" s="417" t="s">
        <v>71</v>
      </c>
      <c r="AV6" s="417" t="s">
        <v>72</v>
      </c>
      <c r="AW6" s="418" t="s">
        <v>49</v>
      </c>
      <c r="AX6" s="417" t="s">
        <v>68</v>
      </c>
      <c r="AY6" s="417" t="s">
        <v>69</v>
      </c>
      <c r="AZ6" s="417" t="s">
        <v>70</v>
      </c>
      <c r="BA6" s="417" t="s">
        <v>71</v>
      </c>
      <c r="BB6" s="417" t="s">
        <v>72</v>
      </c>
      <c r="BC6" s="418" t="s">
        <v>49</v>
      </c>
      <c r="BD6" s="417" t="s">
        <v>68</v>
      </c>
      <c r="BE6" s="417" t="s">
        <v>69</v>
      </c>
      <c r="BF6" s="417" t="s">
        <v>70</v>
      </c>
      <c r="BG6" s="417" t="s">
        <v>71</v>
      </c>
      <c r="BH6" s="417" t="s">
        <v>72</v>
      </c>
      <c r="BI6" s="418" t="s">
        <v>49</v>
      </c>
      <c r="BJ6" s="417" t="s">
        <v>68</v>
      </c>
      <c r="BK6" s="417" t="s">
        <v>69</v>
      </c>
      <c r="BL6" s="417" t="s">
        <v>70</v>
      </c>
      <c r="BM6" s="417" t="s">
        <v>71</v>
      </c>
      <c r="BN6" s="417" t="s">
        <v>72</v>
      </c>
      <c r="BO6" s="418" t="s">
        <v>49</v>
      </c>
    </row>
    <row r="7" spans="1:67">
      <c r="A7" s="166" t="s">
        <v>45</v>
      </c>
      <c r="B7" s="521">
        <f>'IPPU Summary_old format'!B6-'[1]IPPU Summary_old format'!B6</f>
        <v>0</v>
      </c>
      <c r="C7" s="521">
        <f>'IPPU Summary_old format'!C6-'[1]IPPU Summary_old format'!C6</f>
        <v>0</v>
      </c>
      <c r="D7" s="521">
        <f>'IPPU Summary_old format'!D6-'[1]IPPU Summary_old format'!D6</f>
        <v>0</v>
      </c>
      <c r="E7" s="521">
        <f>'IPPU Summary_old format'!E6-'[1]IPPU Summary_old format'!E6</f>
        <v>0</v>
      </c>
      <c r="F7" s="521">
        <f>'IPPU Summary_old format'!F6-'[1]IPPU Summary_old format'!F6</f>
        <v>0</v>
      </c>
      <c r="G7" s="521">
        <f>'IPPU Summary_old format'!G6-'[1]IPPU Summary_old format'!G6</f>
        <v>0</v>
      </c>
      <c r="H7" s="521">
        <f>'IPPU Summary_old format'!H6-'[1]IPPU Summary_old format'!H6</f>
        <v>0</v>
      </c>
      <c r="I7" s="521">
        <f>'IPPU Summary_old format'!I6-'[1]IPPU Summary_old format'!I6</f>
        <v>0</v>
      </c>
      <c r="J7" s="521">
        <f>'IPPU Summary_old format'!J6-'[1]IPPU Summary_old format'!J6</f>
        <v>0</v>
      </c>
      <c r="K7" s="521">
        <f>'IPPU Summary_old format'!K6-'[1]IPPU Summary_old format'!K6</f>
        <v>0</v>
      </c>
      <c r="L7" s="521">
        <f>'IPPU Summary_old format'!L6-'[1]IPPU Summary_old format'!L6</f>
        <v>0</v>
      </c>
      <c r="M7" s="521">
        <f>'IPPU Summary_old format'!M6-'[1]IPPU Summary_old format'!M6</f>
        <v>0</v>
      </c>
      <c r="N7" s="521">
        <f>'IPPU Summary_old format'!N6-'[1]IPPU Summary_old format'!N6</f>
        <v>0</v>
      </c>
      <c r="O7" s="521">
        <f>'IPPU Summary_old format'!O6-'[1]IPPU Summary_old format'!O6</f>
        <v>0</v>
      </c>
      <c r="P7" s="521">
        <f>'IPPU Summary_old format'!P6-'[1]IPPU Summary_old format'!P6</f>
        <v>0</v>
      </c>
      <c r="Q7" s="521">
        <f>'IPPU Summary_old format'!Q6-'[1]IPPU Summary_old format'!Q6</f>
        <v>0</v>
      </c>
      <c r="R7" s="521">
        <f>'IPPU Summary_old format'!R6-'[1]IPPU Summary_old format'!R6</f>
        <v>0</v>
      </c>
      <c r="S7" s="521">
        <f>'IPPU Summary_old format'!S6-'[1]IPPU Summary_old format'!S6</f>
        <v>0</v>
      </c>
      <c r="T7" s="521">
        <f>'IPPU Summary_old format'!T6-'[1]IPPU Summary_old format'!T6</f>
        <v>0</v>
      </c>
      <c r="U7" s="521">
        <f>'IPPU Summary_old format'!U6-'[1]IPPU Summary_old format'!U6</f>
        <v>0</v>
      </c>
      <c r="V7" s="521">
        <f>'IPPU Summary_old format'!V6-'[1]IPPU Summary_old format'!V6</f>
        <v>0</v>
      </c>
      <c r="W7" s="521">
        <f>'IPPU Summary_old format'!W6-'[1]IPPU Summary_old format'!W6</f>
        <v>0</v>
      </c>
      <c r="X7" s="521">
        <f>'IPPU Summary_old format'!X6-'[1]IPPU Summary_old format'!X6</f>
        <v>0</v>
      </c>
      <c r="Y7" s="521">
        <f>'IPPU Summary_old format'!Y6-'[1]IPPU Summary_old format'!Y6</f>
        <v>0</v>
      </c>
      <c r="Z7" s="521">
        <f>'IPPU Summary_old format'!Z6-'[1]IPPU Summary_old format'!Z6</f>
        <v>0</v>
      </c>
      <c r="AA7" s="521">
        <f>'IPPU Summary_old format'!AA6-'[1]IPPU Summary_old format'!AA6</f>
        <v>0</v>
      </c>
      <c r="AB7" s="521">
        <f>'IPPU Summary_old format'!AB6-'[1]IPPU Summary_old format'!AB6</f>
        <v>0</v>
      </c>
      <c r="AC7" s="521">
        <f>'IPPU Summary_old format'!AC6-'[1]IPPU Summary_old format'!AC6</f>
        <v>0</v>
      </c>
      <c r="AD7" s="521">
        <f>'IPPU Summary_old format'!AD6-'[1]IPPU Summary_old format'!AD6</f>
        <v>0</v>
      </c>
      <c r="AE7" s="521">
        <f>'IPPU Summary_old format'!AE6-'[1]IPPU Summary_old format'!AE6</f>
        <v>0</v>
      </c>
      <c r="AF7" s="521">
        <f>'IPPU Summary_old format'!AF6-'[1]IPPU Summary_old format'!AF6</f>
        <v>0</v>
      </c>
      <c r="AG7" s="521">
        <f>'IPPU Summary_old format'!AG6-'[1]IPPU Summary_old format'!AG6</f>
        <v>0</v>
      </c>
      <c r="AH7" s="521">
        <f>'IPPU Summary_old format'!AH6-'[1]IPPU Summary_old format'!AH6</f>
        <v>0</v>
      </c>
      <c r="AI7" s="521">
        <f>'IPPU Summary_old format'!AI6-'[1]IPPU Summary_old format'!AI6</f>
        <v>0</v>
      </c>
      <c r="AJ7" s="521">
        <f>'IPPU Summary_old format'!AJ6-'[1]IPPU Summary_old format'!AJ6</f>
        <v>0</v>
      </c>
      <c r="AK7" s="521">
        <f>'IPPU Summary_old format'!AK6-'[1]IPPU Summary_old format'!AK6</f>
        <v>0</v>
      </c>
      <c r="AL7" s="521">
        <f>'IPPU Summary_old format'!AL6-'[1]IPPU Summary_old format'!AL6</f>
        <v>0</v>
      </c>
      <c r="AM7" s="521">
        <f>'IPPU Summary_old format'!AM6-'[1]IPPU Summary_old format'!AM6</f>
        <v>0</v>
      </c>
      <c r="AN7" s="521">
        <f>'IPPU Summary_old format'!AN6-'[1]IPPU Summary_old format'!AN6</f>
        <v>0</v>
      </c>
      <c r="AO7" s="521">
        <f>'IPPU Summary_old format'!AO6-'[1]IPPU Summary_old format'!AO6</f>
        <v>0</v>
      </c>
      <c r="AP7" s="521">
        <f>'IPPU Summary_old format'!AP6-'[1]IPPU Summary_old format'!AP6</f>
        <v>0</v>
      </c>
      <c r="AQ7" s="521">
        <f>'IPPU Summary_old format'!AQ6-'[1]IPPU Summary_old format'!AQ6</f>
        <v>0</v>
      </c>
      <c r="AR7" s="521">
        <f>'IPPU Summary_old format'!AR6-'[1]IPPU Summary_old format'!AR6</f>
        <v>0</v>
      </c>
      <c r="AS7" s="521">
        <f>'IPPU Summary_old format'!AS6-'[1]IPPU Summary_old format'!AS6</f>
        <v>0</v>
      </c>
      <c r="AT7" s="521">
        <f>'IPPU Summary_old format'!AT6-'[1]IPPU Summary_old format'!AT6</f>
        <v>0</v>
      </c>
      <c r="AU7" s="521">
        <f>'IPPU Summary_old format'!AU6-'[1]IPPU Summary_old format'!AU6</f>
        <v>0</v>
      </c>
      <c r="AV7" s="521">
        <f>'IPPU Summary_old format'!AV6-'[1]IPPU Summary_old format'!AV6</f>
        <v>0</v>
      </c>
      <c r="AW7" s="521">
        <f>'IPPU Summary_old format'!AW6-'[1]IPPU Summary_old format'!AW6</f>
        <v>0</v>
      </c>
      <c r="AX7" s="521">
        <f>'IPPU Summary_old format'!AX6-'[1]IPPU Summary_old format'!AX6</f>
        <v>0</v>
      </c>
      <c r="AY7" s="521">
        <f>'IPPU Summary_old format'!AY6-'[1]IPPU Summary_old format'!AY6</f>
        <v>0</v>
      </c>
      <c r="AZ7" s="521">
        <f>'IPPU Summary_old format'!AZ6-'[1]IPPU Summary_old format'!AZ6</f>
        <v>0</v>
      </c>
      <c r="BA7" s="521">
        <f>'IPPU Summary_old format'!BA6-'[1]IPPU Summary_old format'!BA6</f>
        <v>0</v>
      </c>
      <c r="BB7" s="521">
        <f>'IPPU Summary_old format'!BB6-'[1]IPPU Summary_old format'!BB6</f>
        <v>0</v>
      </c>
      <c r="BC7" s="521">
        <f>'IPPU Summary_old format'!BC6-'[1]IPPU Summary_old format'!BC6</f>
        <v>0</v>
      </c>
      <c r="BD7" s="521">
        <f>'IPPU Summary_old format'!BD6-'[1]IPPU Summary_old format'!BD6</f>
        <v>0</v>
      </c>
      <c r="BE7" s="521">
        <f>'IPPU Summary_old format'!BE6-'[1]IPPU Summary_old format'!BE6</f>
        <v>0</v>
      </c>
      <c r="BF7" s="521">
        <f>'IPPU Summary_old format'!BF6-'[1]IPPU Summary_old format'!BF6</f>
        <v>0</v>
      </c>
      <c r="BG7" s="521">
        <f>'IPPU Summary_old format'!BG6-'[1]IPPU Summary_old format'!BG6</f>
        <v>0</v>
      </c>
      <c r="BH7" s="521">
        <f>'IPPU Summary_old format'!BH6-'[1]IPPU Summary_old format'!BH6</f>
        <v>0</v>
      </c>
      <c r="BI7" s="521">
        <f>'IPPU Summary_old format'!BI6-'[1]IPPU Summary_old format'!BI6</f>
        <v>0</v>
      </c>
      <c r="BJ7" s="521">
        <f>'IPPU Summary_old format'!BJ6-'[1]IPPU Summary_old format'!BJ6</f>
        <v>0</v>
      </c>
      <c r="BK7" s="521">
        <f>'IPPU Summary_old format'!BK6-'[1]IPPU Summary_old format'!BK6</f>
        <v>0</v>
      </c>
      <c r="BL7" s="521">
        <f>'IPPU Summary_old format'!BL6-'[1]IPPU Summary_old format'!BL6</f>
        <v>0</v>
      </c>
      <c r="BM7" s="521">
        <f>'IPPU Summary_old format'!BM6-'[1]IPPU Summary_old format'!BM6</f>
        <v>0</v>
      </c>
      <c r="BN7" s="521">
        <f>'IPPU Summary_old format'!BN6-'[1]IPPU Summary_old format'!BN6</f>
        <v>0</v>
      </c>
      <c r="BO7" s="521">
        <f>'IPPU Summary_old format'!BO6-'[1]IPPU Summary_old format'!BO6</f>
        <v>0</v>
      </c>
    </row>
    <row r="8" spans="1:67">
      <c r="A8" s="166" t="s">
        <v>73</v>
      </c>
      <c r="B8" s="521">
        <f>'IPPU Summary_old format'!B7-'[1]IPPU Summary_old format'!B7</f>
        <v>0</v>
      </c>
      <c r="C8" s="521">
        <f>'IPPU Summary_old format'!C7-'[1]IPPU Summary_old format'!C7</f>
        <v>0</v>
      </c>
      <c r="D8" s="521">
        <f>'IPPU Summary_old format'!D7-'[1]IPPU Summary_old format'!D7</f>
        <v>0</v>
      </c>
      <c r="E8" s="521">
        <f>'IPPU Summary_old format'!E7-'[1]IPPU Summary_old format'!E7</f>
        <v>2.7447484941185805E-6</v>
      </c>
      <c r="F8" s="521">
        <f>'IPPU Summary_old format'!F7-'[1]IPPU Summary_old format'!F7</f>
        <v>-2.7447484941267586E-6</v>
      </c>
      <c r="G8" s="521">
        <f>'IPPU Summary_old format'!G7-'[1]IPPU Summary_old format'!G7</f>
        <v>0</v>
      </c>
      <c r="H8" s="521">
        <f>'IPPU Summary_old format'!H7-'[1]IPPU Summary_old format'!H7</f>
        <v>0</v>
      </c>
      <c r="I8" s="521">
        <f>'IPPU Summary_old format'!I7-'[1]IPPU Summary_old format'!I7</f>
        <v>0</v>
      </c>
      <c r="J8" s="521">
        <f>'IPPU Summary_old format'!J7-'[1]IPPU Summary_old format'!J7</f>
        <v>0</v>
      </c>
      <c r="K8" s="521">
        <f>'IPPU Summary_old format'!K7-'[1]IPPU Summary_old format'!K7</f>
        <v>-2.1247495635739314E-7</v>
      </c>
      <c r="L8" s="521">
        <f>'IPPU Summary_old format'!L7-'[1]IPPU Summary_old format'!L7</f>
        <v>2.8807361969382383E-4</v>
      </c>
      <c r="M8" s="521">
        <f>'IPPU Summary_old format'!M7-'[1]IPPU Summary_old format'!M7</f>
        <v>2.8786114473746544E-4</v>
      </c>
      <c r="N8" s="521">
        <f>'IPPU Summary_old format'!N7-'[1]IPPU Summary_old format'!N7</f>
        <v>0</v>
      </c>
      <c r="O8" s="521">
        <f>'IPPU Summary_old format'!O7-'[1]IPPU Summary_old format'!O7</f>
        <v>0</v>
      </c>
      <c r="P8" s="521">
        <f>'IPPU Summary_old format'!P7-'[1]IPPU Summary_old format'!P7</f>
        <v>0</v>
      </c>
      <c r="Q8" s="521">
        <f>'IPPU Summary_old format'!Q7-'[1]IPPU Summary_old format'!Q7</f>
        <v>-1.3900594291009669E-7</v>
      </c>
      <c r="R8" s="521">
        <f>'IPPU Summary_old format'!R7-'[1]IPPU Summary_old format'!R7</f>
        <v>1.3900594291252344E-7</v>
      </c>
      <c r="S8" s="521">
        <f>'IPPU Summary_old format'!S7-'[1]IPPU Summary_old format'!S7</f>
        <v>0</v>
      </c>
      <c r="T8" s="521">
        <f>'IPPU Summary_old format'!T7-'[1]IPPU Summary_old format'!T7</f>
        <v>0</v>
      </c>
      <c r="U8" s="521">
        <f>'IPPU Summary_old format'!U7-'[1]IPPU Summary_old format'!U7</f>
        <v>0</v>
      </c>
      <c r="V8" s="521">
        <f>'IPPU Summary_old format'!V7-'[1]IPPU Summary_old format'!V7</f>
        <v>0</v>
      </c>
      <c r="W8" s="521">
        <f>'IPPU Summary_old format'!W7-'[1]IPPU Summary_old format'!W7</f>
        <v>-2.5438540916581894E-7</v>
      </c>
      <c r="X8" s="521">
        <f>'IPPU Summary_old format'!X7-'[1]IPPU Summary_old format'!X7</f>
        <v>2.543854091680009E-7</v>
      </c>
      <c r="Y8" s="521">
        <f>'IPPU Summary_old format'!Y7-'[1]IPPU Summary_old format'!Y7</f>
        <v>0</v>
      </c>
      <c r="Z8" s="521">
        <f>'IPPU Summary_old format'!Z7-'[1]IPPU Summary_old format'!Z7</f>
        <v>0</v>
      </c>
      <c r="AA8" s="521">
        <f>'IPPU Summary_old format'!AA7-'[1]IPPU Summary_old format'!AA7</f>
        <v>0</v>
      </c>
      <c r="AB8" s="521">
        <f>'IPPU Summary_old format'!AB7-'[1]IPPU Summary_old format'!AB7</f>
        <v>0</v>
      </c>
      <c r="AC8" s="521">
        <f>'IPPU Summary_old format'!AC7-'[1]IPPU Summary_old format'!AC7</f>
        <v>0</v>
      </c>
      <c r="AD8" s="521">
        <f>'IPPU Summary_old format'!AD7-'[1]IPPU Summary_old format'!AD7</f>
        <v>0</v>
      </c>
      <c r="AE8" s="521">
        <f>'IPPU Summary_old format'!AE7-'[1]IPPU Summary_old format'!AE7</f>
        <v>0</v>
      </c>
      <c r="AF8" s="521">
        <f>'IPPU Summary_old format'!AF7-'[1]IPPU Summary_old format'!AF7</f>
        <v>0</v>
      </c>
      <c r="AG8" s="521">
        <f>'IPPU Summary_old format'!AG7-'[1]IPPU Summary_old format'!AG7</f>
        <v>0</v>
      </c>
      <c r="AH8" s="521">
        <f>'IPPU Summary_old format'!AH7-'[1]IPPU Summary_old format'!AH7</f>
        <v>0</v>
      </c>
      <c r="AI8" s="521">
        <f>'IPPU Summary_old format'!AI7-'[1]IPPU Summary_old format'!AI7</f>
        <v>4.7445430891841848E-8</v>
      </c>
      <c r="AJ8" s="521">
        <f>'IPPU Summary_old format'!AJ7-'[1]IPPU Summary_old format'!AJ7</f>
        <v>-4.9357665843179424E-4</v>
      </c>
      <c r="AK8" s="521">
        <f>'IPPU Summary_old format'!AK7-'[1]IPPU Summary_old format'!AK7</f>
        <v>-4.9352921300090287E-4</v>
      </c>
      <c r="AL8" s="521">
        <f>'IPPU Summary_old format'!AL7-'[1]IPPU Summary_old format'!AL7</f>
        <v>0</v>
      </c>
      <c r="AM8" s="521">
        <f>'IPPU Summary_old format'!AM7-'[1]IPPU Summary_old format'!AM7</f>
        <v>0</v>
      </c>
      <c r="AN8" s="521">
        <f>'IPPU Summary_old format'!AN7-'[1]IPPU Summary_old format'!AN7</f>
        <v>0</v>
      </c>
      <c r="AO8" s="521">
        <f>'IPPU Summary_old format'!AO7-'[1]IPPU Summary_old format'!AO7</f>
        <v>2.9280956970070738E-8</v>
      </c>
      <c r="AP8" s="521">
        <f>'IPPU Summary_old format'!AP7-'[1]IPPU Summary_old format'!AP7</f>
        <v>-4.9074416230556785E-4</v>
      </c>
      <c r="AQ8" s="521">
        <f>'IPPU Summary_old format'!AQ7-'[1]IPPU Summary_old format'!AQ7</f>
        <v>-4.90714881348598E-4</v>
      </c>
      <c r="AR8" s="521">
        <f>'IPPU Summary_old format'!AR7-'[1]IPPU Summary_old format'!AR7</f>
        <v>0</v>
      </c>
      <c r="AS8" s="521">
        <f>'IPPU Summary_old format'!AS7-'[1]IPPU Summary_old format'!AS7</f>
        <v>0</v>
      </c>
      <c r="AT8" s="521">
        <f>'IPPU Summary_old format'!AT7-'[1]IPPU Summary_old format'!AT7</f>
        <v>0</v>
      </c>
      <c r="AU8" s="521">
        <f>'IPPU Summary_old format'!AU7-'[1]IPPU Summary_old format'!AU7</f>
        <v>0</v>
      </c>
      <c r="AV8" s="521">
        <f>'IPPU Summary_old format'!AV7-'[1]IPPU Summary_old format'!AV7</f>
        <v>-4.7366919745291808E-4</v>
      </c>
      <c r="AW8" s="521">
        <f>'IPPU Summary_old format'!AW7-'[1]IPPU Summary_old format'!AW7</f>
        <v>-4.7366919745291808E-4</v>
      </c>
      <c r="AX8" s="521">
        <f>'IPPU Summary_old format'!AX7-'[1]IPPU Summary_old format'!AX7</f>
        <v>0</v>
      </c>
      <c r="AY8" s="521">
        <f>'IPPU Summary_old format'!AY7-'[1]IPPU Summary_old format'!AY7</f>
        <v>0</v>
      </c>
      <c r="AZ8" s="521">
        <f>'IPPU Summary_old format'!AZ7-'[1]IPPU Summary_old format'!AZ7</f>
        <v>0</v>
      </c>
      <c r="BA8" s="521">
        <f>'IPPU Summary_old format'!BA7-'[1]IPPU Summary_old format'!BA7</f>
        <v>6.7224457291615931E-8</v>
      </c>
      <c r="BB8" s="521">
        <f>'IPPU Summary_old format'!BB7-'[1]IPPU Summary_old format'!BB7</f>
        <v>-6.7224457290723794E-8</v>
      </c>
      <c r="BC8" s="521">
        <f>'IPPU Summary_old format'!BC7-'[1]IPPU Summary_old format'!BC7</f>
        <v>0</v>
      </c>
      <c r="BD8" s="521">
        <f>'IPPU Summary_old format'!BD7-'[1]IPPU Summary_old format'!BD7</f>
        <v>0</v>
      </c>
      <c r="BE8" s="521">
        <f>'IPPU Summary_old format'!BE7-'[1]IPPU Summary_old format'!BE7</f>
        <v>0</v>
      </c>
      <c r="BF8" s="521">
        <f>'IPPU Summary_old format'!BF7-'[1]IPPU Summary_old format'!BF7</f>
        <v>0</v>
      </c>
      <c r="BG8" s="521">
        <f>'IPPU Summary_old format'!BG7-'[1]IPPU Summary_old format'!BG7</f>
        <v>-3.5010556441497182E-8</v>
      </c>
      <c r="BH8" s="521">
        <f>'IPPU Summary_old format'!BH7-'[1]IPPU Summary_old format'!BH7</f>
        <v>3.5010556440062679E-8</v>
      </c>
      <c r="BI8" s="521">
        <f>'IPPU Summary_old format'!BI7-'[1]IPPU Summary_old format'!BI7</f>
        <v>0</v>
      </c>
      <c r="BJ8" s="521">
        <f>'IPPU Summary_old format'!BJ7-'[1]IPPU Summary_old format'!BJ7</f>
        <v>0</v>
      </c>
      <c r="BK8" s="521">
        <f>'IPPU Summary_old format'!BK7-'[1]IPPU Summary_old format'!BK7</f>
        <v>0</v>
      </c>
      <c r="BL8" s="521">
        <f>'IPPU Summary_old format'!BL7-'[1]IPPU Summary_old format'!BL7</f>
        <v>0</v>
      </c>
      <c r="BM8" s="521">
        <f>'IPPU Summary_old format'!BM7-'[1]IPPU Summary_old format'!BM7</f>
        <v>-2.153831549559766E-6</v>
      </c>
      <c r="BN8" s="521">
        <f>'IPPU Summary_old format'!BN7-'[1]IPPU Summary_old format'!BN7</f>
        <v>2.1538315495613775E-6</v>
      </c>
      <c r="BO8" s="521">
        <f>'IPPU Summary_old format'!BO7-'[1]IPPU Summary_old format'!BO7</f>
        <v>0</v>
      </c>
    </row>
    <row r="9" spans="1:67">
      <c r="A9" s="166" t="s">
        <v>74</v>
      </c>
      <c r="B9" s="521">
        <f>'IPPU Summary_old format'!B8-'[1]IPPU Summary_old format'!B8</f>
        <v>5.5693607944445335E-10</v>
      </c>
      <c r="C9" s="521">
        <f>'IPPU Summary_old format'!C8-'[1]IPPU Summary_old format'!C8</f>
        <v>0</v>
      </c>
      <c r="D9" s="521">
        <f>'IPPU Summary_old format'!D8-'[1]IPPU Summary_old format'!D8</f>
        <v>0</v>
      </c>
      <c r="E9" s="521">
        <f>'IPPU Summary_old format'!E8-'[1]IPPU Summary_old format'!E8</f>
        <v>1.0201840326002189E-5</v>
      </c>
      <c r="F9" s="521">
        <f>'IPPU Summary_old format'!F8-'[1]IPPU Summary_old format'!F8</f>
        <v>0</v>
      </c>
      <c r="G9" s="521">
        <f>'IPPU Summary_old format'!G8-'[1]IPPU Summary_old format'!G8</f>
        <v>1.0202397262081692E-5</v>
      </c>
      <c r="H9" s="521">
        <f>'IPPU Summary_old format'!H8-'[1]IPPU Summary_old format'!H8</f>
        <v>-6.0211750667003218E-9</v>
      </c>
      <c r="I9" s="521">
        <f>'IPPU Summary_old format'!I8-'[1]IPPU Summary_old format'!I8</f>
        <v>0</v>
      </c>
      <c r="J9" s="521">
        <f>'IPPU Summary_old format'!J8-'[1]IPPU Summary_old format'!J8</f>
        <v>0</v>
      </c>
      <c r="K9" s="521">
        <f>'IPPU Summary_old format'!K8-'[1]IPPU Summary_old format'!K8</f>
        <v>-7.0969543786381095E-5</v>
      </c>
      <c r="L9" s="521">
        <f>'IPPU Summary_old format'!L8-'[1]IPPU Summary_old format'!L8</f>
        <v>0</v>
      </c>
      <c r="M9" s="521">
        <f>'IPPU Summary_old format'!M8-'[1]IPPU Summary_old format'!M8</f>
        <v>-7.0975564961439641E-5</v>
      </c>
      <c r="N9" s="521">
        <f>'IPPU Summary_old format'!N8-'[1]IPPU Summary_old format'!N8</f>
        <v>1.3298818299480457E-9</v>
      </c>
      <c r="O9" s="521">
        <f>'IPPU Summary_old format'!O8-'[1]IPPU Summary_old format'!O8</f>
        <v>0</v>
      </c>
      <c r="P9" s="521">
        <f>'IPPU Summary_old format'!P8-'[1]IPPU Summary_old format'!P8</f>
        <v>0</v>
      </c>
      <c r="Q9" s="521">
        <f>'IPPU Summary_old format'!Q8-'[1]IPPU Summary_old format'!Q8</f>
        <v>3.3219113535831735E-4</v>
      </c>
      <c r="R9" s="521">
        <f>'IPPU Summary_old format'!R8-'[1]IPPU Summary_old format'!R8</f>
        <v>0</v>
      </c>
      <c r="S9" s="521">
        <f>'IPPU Summary_old format'!S8-'[1]IPPU Summary_old format'!S8</f>
        <v>3.3219246524018864E-4</v>
      </c>
      <c r="T9" s="521">
        <f>'IPPU Summary_old format'!T8-'[1]IPPU Summary_old format'!T8</f>
        <v>-6.7040167080910354E-8</v>
      </c>
      <c r="U9" s="521">
        <f>'IPPU Summary_old format'!U8-'[1]IPPU Summary_old format'!U8</f>
        <v>0</v>
      </c>
      <c r="V9" s="521">
        <f>'IPPU Summary_old format'!V8-'[1]IPPU Summary_old format'!V8</f>
        <v>0</v>
      </c>
      <c r="W9" s="521">
        <f>'IPPU Summary_old format'!W8-'[1]IPPU Summary_old format'!W8</f>
        <v>-4.672994283628662E-3</v>
      </c>
      <c r="X9" s="521">
        <f>'IPPU Summary_old format'!X8-'[1]IPPU Summary_old format'!X8</f>
        <v>0</v>
      </c>
      <c r="Y9" s="521">
        <f>'IPPU Summary_old format'!Y8-'[1]IPPU Summary_old format'!Y8</f>
        <v>-4.6730613237957463E-3</v>
      </c>
      <c r="Z9" s="521">
        <f>'IPPU Summary_old format'!Z8-'[1]IPPU Summary_old format'!Z8</f>
        <v>-8.9869556205349454E-8</v>
      </c>
      <c r="AA9" s="521">
        <f>'IPPU Summary_old format'!AA8-'[1]IPPU Summary_old format'!AA8</f>
        <v>0</v>
      </c>
      <c r="AB9" s="521">
        <f>'IPPU Summary_old format'!AB8-'[1]IPPU Summary_old format'!AB8</f>
        <v>0</v>
      </c>
      <c r="AC9" s="521">
        <f>'IPPU Summary_old format'!AC8-'[1]IPPU Summary_old format'!AC8</f>
        <v>-5.0817624273346018E-3</v>
      </c>
      <c r="AD9" s="521">
        <f>'IPPU Summary_old format'!AD8-'[1]IPPU Summary_old format'!AD8</f>
        <v>0</v>
      </c>
      <c r="AE9" s="521">
        <f>'IPPU Summary_old format'!AE8-'[1]IPPU Summary_old format'!AE8</f>
        <v>-5.0818522968908431E-3</v>
      </c>
      <c r="AF9" s="521">
        <f>'IPPU Summary_old format'!AF8-'[1]IPPU Summary_old format'!AF8</f>
        <v>-9.2895622438600429E-8</v>
      </c>
      <c r="AG9" s="521">
        <f>'IPPU Summary_old format'!AG8-'[1]IPPU Summary_old format'!AG8</f>
        <v>0</v>
      </c>
      <c r="AH9" s="521">
        <f>'IPPU Summary_old format'!AH8-'[1]IPPU Summary_old format'!AH8</f>
        <v>0</v>
      </c>
      <c r="AI9" s="521">
        <f>'IPPU Summary_old format'!AI8-'[1]IPPU Summary_old format'!AI8</f>
        <v>-4.9006967201242757E-3</v>
      </c>
      <c r="AJ9" s="521">
        <f>'IPPU Summary_old format'!AJ8-'[1]IPPU Summary_old format'!AJ8</f>
        <v>0</v>
      </c>
      <c r="AK9" s="521">
        <f>'IPPU Summary_old format'!AK8-'[1]IPPU Summary_old format'!AK8</f>
        <v>-4.9007896157466924E-3</v>
      </c>
      <c r="AL9" s="521">
        <f>'IPPU Summary_old format'!AL8-'[1]IPPU Summary_old format'!AL8</f>
        <v>-7.2376481305622256E-8</v>
      </c>
      <c r="AM9" s="521">
        <f>'IPPU Summary_old format'!AM8-'[1]IPPU Summary_old format'!AM8</f>
        <v>0</v>
      </c>
      <c r="AN9" s="521">
        <f>'IPPU Summary_old format'!AN8-'[1]IPPU Summary_old format'!AN8</f>
        <v>0</v>
      </c>
      <c r="AO9" s="521">
        <f>'IPPU Summary_old format'!AO8-'[1]IPPU Summary_old format'!AO8</f>
        <v>-3.4252680110040679E-3</v>
      </c>
      <c r="AP9" s="521">
        <f>'IPPU Summary_old format'!AP8-'[1]IPPU Summary_old format'!AP8</f>
        <v>0</v>
      </c>
      <c r="AQ9" s="521">
        <f>'IPPU Summary_old format'!AQ8-'[1]IPPU Summary_old format'!AQ8</f>
        <v>-3.4253403874853205E-3</v>
      </c>
      <c r="AR9" s="521">
        <f>'IPPU Summary_old format'!AR8-'[1]IPPU Summary_old format'!AR8</f>
        <v>-7.0778380855617787E-8</v>
      </c>
      <c r="AS9" s="521">
        <f>'IPPU Summary_old format'!AS8-'[1]IPPU Summary_old format'!AS8</f>
        <v>0</v>
      </c>
      <c r="AT9" s="521">
        <f>'IPPU Summary_old format'!AT8-'[1]IPPU Summary_old format'!AT8</f>
        <v>0</v>
      </c>
      <c r="AU9" s="521">
        <f>'IPPU Summary_old format'!AU8-'[1]IPPU Summary_old format'!AU8</f>
        <v>-3.0740612324251515E-3</v>
      </c>
      <c r="AV9" s="521">
        <f>'IPPU Summary_old format'!AV8-'[1]IPPU Summary_old format'!AV8</f>
        <v>0</v>
      </c>
      <c r="AW9" s="521">
        <f>'IPPU Summary_old format'!AW8-'[1]IPPU Summary_old format'!AW8</f>
        <v>-3.0741320108060854E-3</v>
      </c>
      <c r="AX9" s="521">
        <f>'IPPU Summary_old format'!AX8-'[1]IPPU Summary_old format'!AX8</f>
        <v>-1.3894570332081027E-7</v>
      </c>
      <c r="AY9" s="521">
        <f>'IPPU Summary_old format'!AY8-'[1]IPPU Summary_old format'!AY8</f>
        <v>0</v>
      </c>
      <c r="AZ9" s="521">
        <f>'IPPU Summary_old format'!AZ8-'[1]IPPU Summary_old format'!AZ8</f>
        <v>0</v>
      </c>
      <c r="BA9" s="521">
        <f>'IPPU Summary_old format'!BA8-'[1]IPPU Summary_old format'!BA8</f>
        <v>-6.2459962167505934E-3</v>
      </c>
      <c r="BB9" s="521">
        <f>'IPPU Summary_old format'!BB8-'[1]IPPU Summary_old format'!BB8</f>
        <v>0</v>
      </c>
      <c r="BC9" s="521">
        <f>'IPPU Summary_old format'!BC8-'[1]IPPU Summary_old format'!BC8</f>
        <v>-6.2461351624539807E-3</v>
      </c>
      <c r="BD9" s="521">
        <f>'IPPU Summary_old format'!BD8-'[1]IPPU Summary_old format'!BD8</f>
        <v>-8.2807687287128829E-8</v>
      </c>
      <c r="BE9" s="521">
        <f>'IPPU Summary_old format'!BE8-'[1]IPPU Summary_old format'!BE8</f>
        <v>0</v>
      </c>
      <c r="BF9" s="521">
        <f>'IPPU Summary_old format'!BF8-'[1]IPPU Summary_old format'!BF8</f>
        <v>0</v>
      </c>
      <c r="BG9" s="521">
        <f>'IPPU Summary_old format'!BG8-'[1]IPPU Summary_old format'!BG8</f>
        <v>-3.3722325527144603E-3</v>
      </c>
      <c r="BH9" s="521">
        <f>'IPPU Summary_old format'!BH8-'[1]IPPU Summary_old format'!BH8</f>
        <v>0</v>
      </c>
      <c r="BI9" s="521">
        <f>'IPPU Summary_old format'!BI8-'[1]IPPU Summary_old format'!BI8</f>
        <v>-3.3723153604017231E-3</v>
      </c>
      <c r="BJ9" s="521">
        <f>'IPPU Summary_old format'!BJ8-'[1]IPPU Summary_old format'!BJ8</f>
        <v>1.0285821569351166E-7</v>
      </c>
      <c r="BK9" s="521">
        <f>'IPPU Summary_old format'!BK8-'[1]IPPU Summary_old format'!BK8</f>
        <v>0</v>
      </c>
      <c r="BL9" s="521">
        <f>'IPPU Summary_old format'!BL8-'[1]IPPU Summary_old format'!BL8</f>
        <v>0</v>
      </c>
      <c r="BM9" s="521">
        <f>'IPPU Summary_old format'!BM8-'[1]IPPU Summary_old format'!BM8</f>
        <v>5.5741174286958461E-3</v>
      </c>
      <c r="BN9" s="521">
        <f>'IPPU Summary_old format'!BN8-'[1]IPPU Summary_old format'!BN8</f>
        <v>0</v>
      </c>
      <c r="BO9" s="521">
        <f>'IPPU Summary_old format'!BO8-'[1]IPPU Summary_old format'!BO8</f>
        <v>5.5742202869114577E-3</v>
      </c>
    </row>
    <row r="10" spans="1:67">
      <c r="A10" s="173" t="s">
        <v>49</v>
      </c>
      <c r="B10" s="521">
        <f>'IPPU Summary_old format'!B9-'[1]IPPU Summary_old format'!B9</f>
        <v>5.5693608058682287E-10</v>
      </c>
      <c r="C10" s="521">
        <f>'IPPU Summary_old format'!C9-'[1]IPPU Summary_old format'!C9</f>
        <v>0</v>
      </c>
      <c r="D10" s="521">
        <f>'IPPU Summary_old format'!D9-'[1]IPPU Summary_old format'!D9</f>
        <v>0</v>
      </c>
      <c r="E10" s="521">
        <f>'IPPU Summary_old format'!E9-'[1]IPPU Summary_old format'!E9</f>
        <v>1.2946588820120708E-5</v>
      </c>
      <c r="F10" s="521">
        <f>'IPPU Summary_old format'!F9-'[1]IPPU Summary_old format'!F9</f>
        <v>-2.7447484941267586E-6</v>
      </c>
      <c r="G10" s="521">
        <f>'IPPU Summary_old format'!G9-'[1]IPPU Summary_old format'!G9</f>
        <v>1.0202397262071283E-5</v>
      </c>
      <c r="H10" s="521">
        <f>'IPPU Summary_old format'!H9-'[1]IPPU Summary_old format'!H9</f>
        <v>-6.0211750667003218E-9</v>
      </c>
      <c r="I10" s="521">
        <f>'IPPU Summary_old format'!I9-'[1]IPPU Summary_old format'!I9</f>
        <v>0</v>
      </c>
      <c r="J10" s="521">
        <f>'IPPU Summary_old format'!J9-'[1]IPPU Summary_old format'!J9</f>
        <v>0</v>
      </c>
      <c r="K10" s="521">
        <f>'IPPU Summary_old format'!K9-'[1]IPPU Summary_old format'!K9</f>
        <v>-7.1182018742732556E-5</v>
      </c>
      <c r="L10" s="521">
        <f>'IPPU Summary_old format'!L9-'[1]IPPU Summary_old format'!L9</f>
        <v>2.8807361969382383E-4</v>
      </c>
      <c r="M10" s="521">
        <f>'IPPU Summary_old format'!M9-'[1]IPPU Summary_old format'!M9</f>
        <v>2.1688557977606049E-4</v>
      </c>
      <c r="N10" s="521">
        <f>'IPPU Summary_old format'!N9-'[1]IPPU Summary_old format'!N9</f>
        <v>1.3298818299480457E-9</v>
      </c>
      <c r="O10" s="521">
        <f>'IPPU Summary_old format'!O9-'[1]IPPU Summary_old format'!O9</f>
        <v>0</v>
      </c>
      <c r="P10" s="521">
        <f>'IPPU Summary_old format'!P9-'[1]IPPU Summary_old format'!P9</f>
        <v>0</v>
      </c>
      <c r="Q10" s="521">
        <f>'IPPU Summary_old format'!Q9-'[1]IPPU Summary_old format'!Q9</f>
        <v>3.3205212941544993E-4</v>
      </c>
      <c r="R10" s="521">
        <f>'IPPU Summary_old format'!R9-'[1]IPPU Summary_old format'!R9</f>
        <v>1.3900594291252344E-7</v>
      </c>
      <c r="S10" s="521">
        <f>'IPPU Summary_old format'!S9-'[1]IPPU Summary_old format'!S9</f>
        <v>3.3219246524018864E-4</v>
      </c>
      <c r="T10" s="521">
        <f>'IPPU Summary_old format'!T9-'[1]IPPU Summary_old format'!T9</f>
        <v>-6.7040167080910354E-8</v>
      </c>
      <c r="U10" s="521">
        <f>'IPPU Summary_old format'!U9-'[1]IPPU Summary_old format'!U9</f>
        <v>0</v>
      </c>
      <c r="V10" s="521">
        <f>'IPPU Summary_old format'!V9-'[1]IPPU Summary_old format'!V9</f>
        <v>0</v>
      </c>
      <c r="W10" s="521">
        <f>'IPPU Summary_old format'!W9-'[1]IPPU Summary_old format'!W9</f>
        <v>-4.6732486690378439E-3</v>
      </c>
      <c r="X10" s="521">
        <f>'IPPU Summary_old format'!X9-'[1]IPPU Summary_old format'!X9</f>
        <v>2.543854091680009E-7</v>
      </c>
      <c r="Y10" s="521">
        <f>'IPPU Summary_old format'!Y9-'[1]IPPU Summary_old format'!Y9</f>
        <v>-4.6730613237957463E-3</v>
      </c>
      <c r="Z10" s="521">
        <f>'IPPU Summary_old format'!Z9-'[1]IPPU Summary_old format'!Z9</f>
        <v>-8.9869556205349454E-8</v>
      </c>
      <c r="AA10" s="521">
        <f>'IPPU Summary_old format'!AA9-'[1]IPPU Summary_old format'!AA9</f>
        <v>0</v>
      </c>
      <c r="AB10" s="521">
        <f>'IPPU Summary_old format'!AB9-'[1]IPPU Summary_old format'!AB9</f>
        <v>0</v>
      </c>
      <c r="AC10" s="521">
        <f>'IPPU Summary_old format'!AC9-'[1]IPPU Summary_old format'!AC9</f>
        <v>-5.0817624273346018E-3</v>
      </c>
      <c r="AD10" s="521">
        <f>'IPPU Summary_old format'!AD9-'[1]IPPU Summary_old format'!AD9</f>
        <v>0</v>
      </c>
      <c r="AE10" s="521">
        <f>'IPPU Summary_old format'!AE9-'[1]IPPU Summary_old format'!AE9</f>
        <v>-5.0818522968908431E-3</v>
      </c>
      <c r="AF10" s="521">
        <f>'IPPU Summary_old format'!AF9-'[1]IPPU Summary_old format'!AF9</f>
        <v>-9.2895622438600429E-8</v>
      </c>
      <c r="AG10" s="521">
        <f>'IPPU Summary_old format'!AG9-'[1]IPPU Summary_old format'!AG9</f>
        <v>0</v>
      </c>
      <c r="AH10" s="521">
        <f>'IPPU Summary_old format'!AH9-'[1]IPPU Summary_old format'!AH9</f>
        <v>0</v>
      </c>
      <c r="AI10" s="521">
        <f>'IPPU Summary_old format'!AI9-'[1]IPPU Summary_old format'!AI9</f>
        <v>-4.9006492746933583E-3</v>
      </c>
      <c r="AJ10" s="521">
        <f>'IPPU Summary_old format'!AJ9-'[1]IPPU Summary_old format'!AJ9</f>
        <v>-4.9357665843179424E-4</v>
      </c>
      <c r="AK10" s="521">
        <f>'IPPU Summary_old format'!AK9-'[1]IPPU Summary_old format'!AK9</f>
        <v>-5.3943188287475241E-3</v>
      </c>
      <c r="AL10" s="521">
        <f>'IPPU Summary_old format'!AL9-'[1]IPPU Summary_old format'!AL9</f>
        <v>-7.2376481305622256E-8</v>
      </c>
      <c r="AM10" s="521">
        <f>'IPPU Summary_old format'!AM9-'[1]IPPU Summary_old format'!AM9</f>
        <v>0</v>
      </c>
      <c r="AN10" s="521">
        <f>'IPPU Summary_old format'!AN9-'[1]IPPU Summary_old format'!AN9</f>
        <v>0</v>
      </c>
      <c r="AO10" s="521">
        <f>'IPPU Summary_old format'!AO9-'[1]IPPU Summary_old format'!AO9</f>
        <v>-3.4252387300471865E-3</v>
      </c>
      <c r="AP10" s="521">
        <f>'IPPU Summary_old format'!AP9-'[1]IPPU Summary_old format'!AP9</f>
        <v>-4.9074416230556785E-4</v>
      </c>
      <c r="AQ10" s="521">
        <f>'IPPU Summary_old format'!AQ9-'[1]IPPU Summary_old format'!AQ9</f>
        <v>-3.9160552688338734E-3</v>
      </c>
      <c r="AR10" s="521">
        <f>'IPPU Summary_old format'!AR9-'[1]IPPU Summary_old format'!AR9</f>
        <v>-7.0778380855617787E-8</v>
      </c>
      <c r="AS10" s="521">
        <f>'IPPU Summary_old format'!AS9-'[1]IPPU Summary_old format'!AS9</f>
        <v>0</v>
      </c>
      <c r="AT10" s="521">
        <f>'IPPU Summary_old format'!AT9-'[1]IPPU Summary_old format'!AT9</f>
        <v>0</v>
      </c>
      <c r="AU10" s="521">
        <f>'IPPU Summary_old format'!AU9-'[1]IPPU Summary_old format'!AU9</f>
        <v>-3.0740612324251515E-3</v>
      </c>
      <c r="AV10" s="521">
        <f>'IPPU Summary_old format'!AV9-'[1]IPPU Summary_old format'!AV9</f>
        <v>-4.7366919745291808E-4</v>
      </c>
      <c r="AW10" s="521">
        <f>'IPPU Summary_old format'!AW9-'[1]IPPU Summary_old format'!AW9</f>
        <v>-3.5478012082590382E-3</v>
      </c>
      <c r="AX10" s="521">
        <f>'IPPU Summary_old format'!AX9-'[1]IPPU Summary_old format'!AX9</f>
        <v>-1.3894570332081027E-7</v>
      </c>
      <c r="AY10" s="521">
        <f>'IPPU Summary_old format'!AY9-'[1]IPPU Summary_old format'!AY9</f>
        <v>0</v>
      </c>
      <c r="AZ10" s="521">
        <f>'IPPU Summary_old format'!AZ9-'[1]IPPU Summary_old format'!AZ9</f>
        <v>0</v>
      </c>
      <c r="BA10" s="521">
        <f>'IPPU Summary_old format'!BA9-'[1]IPPU Summary_old format'!BA9</f>
        <v>-6.2459289922933703E-3</v>
      </c>
      <c r="BB10" s="521">
        <f>'IPPU Summary_old format'!BB9-'[1]IPPU Summary_old format'!BB9</f>
        <v>-6.7224457290723794E-8</v>
      </c>
      <c r="BC10" s="521">
        <f>'IPPU Summary_old format'!BC9-'[1]IPPU Summary_old format'!BC9</f>
        <v>-6.2461351624539807E-3</v>
      </c>
      <c r="BD10" s="521">
        <f>'IPPU Summary_old format'!BD9-'[1]IPPU Summary_old format'!BD9</f>
        <v>-8.2807687287128829E-8</v>
      </c>
      <c r="BE10" s="521">
        <f>'IPPU Summary_old format'!BE9-'[1]IPPU Summary_old format'!BE9</f>
        <v>0</v>
      </c>
      <c r="BF10" s="521">
        <f>'IPPU Summary_old format'!BF9-'[1]IPPU Summary_old format'!BF9</f>
        <v>0</v>
      </c>
      <c r="BG10" s="521">
        <f>'IPPU Summary_old format'!BG9-'[1]IPPU Summary_old format'!BG9</f>
        <v>-3.3722675632708032E-3</v>
      </c>
      <c r="BH10" s="521">
        <f>'IPPU Summary_old format'!BH9-'[1]IPPU Summary_old format'!BH9</f>
        <v>3.5010556440062679E-8</v>
      </c>
      <c r="BI10" s="521">
        <f>'IPPU Summary_old format'!BI9-'[1]IPPU Summary_old format'!BI9</f>
        <v>-3.3723153604017231E-3</v>
      </c>
      <c r="BJ10" s="521">
        <f>'IPPU Summary_old format'!BJ9-'[1]IPPU Summary_old format'!BJ9</f>
        <v>1.0285821569351166E-7</v>
      </c>
      <c r="BK10" s="521">
        <f>'IPPU Summary_old format'!BK9-'[1]IPPU Summary_old format'!BK9</f>
        <v>0</v>
      </c>
      <c r="BL10" s="521">
        <f>'IPPU Summary_old format'!BL9-'[1]IPPU Summary_old format'!BL9</f>
        <v>0</v>
      </c>
      <c r="BM10" s="521">
        <f>'IPPU Summary_old format'!BM9-'[1]IPPU Summary_old format'!BM9</f>
        <v>5.57196359714629E-3</v>
      </c>
      <c r="BN10" s="521">
        <f>'IPPU Summary_old format'!BN9-'[1]IPPU Summary_old format'!BN9</f>
        <v>2.1538315495613775E-6</v>
      </c>
      <c r="BO10" s="521">
        <f>'IPPU Summary_old format'!BO9-'[1]IPPU Summary_old format'!BO9</f>
        <v>5.5742202869114577E-3</v>
      </c>
    </row>
    <row r="11" spans="1:67">
      <c r="G11" s="574"/>
    </row>
    <row r="12" spans="1:67">
      <c r="G12" s="574"/>
    </row>
    <row r="17" spans="1:12">
      <c r="A17" s="533" t="s">
        <v>75</v>
      </c>
      <c r="B17" s="68">
        <v>1990</v>
      </c>
      <c r="C17" s="68">
        <v>2005</v>
      </c>
      <c r="D17" s="68">
        <v>2007</v>
      </c>
      <c r="E17" s="68">
        <v>2010</v>
      </c>
      <c r="F17" s="68">
        <v>2015</v>
      </c>
      <c r="G17" s="68">
        <v>2016</v>
      </c>
      <c r="H17" s="68">
        <v>2017</v>
      </c>
      <c r="I17" s="68">
        <v>2018</v>
      </c>
      <c r="J17" s="68">
        <v>2019</v>
      </c>
      <c r="K17" s="68">
        <v>2020</v>
      </c>
      <c r="L17" s="68">
        <v>2021</v>
      </c>
    </row>
    <row r="18" spans="1:12">
      <c r="A18" s="159" t="s">
        <v>76</v>
      </c>
      <c r="B18" s="521">
        <f>'ODS Subs'!D12-'[1]ODS Subs'!D12</f>
        <v>0</v>
      </c>
      <c r="C18" s="521">
        <f>'ODS Subs'!E12-'[1]ODS Subs'!E12</f>
        <v>0</v>
      </c>
      <c r="D18" s="521">
        <f>'ODS Subs'!F12-'[1]ODS Subs'!F12</f>
        <v>0</v>
      </c>
      <c r="E18" s="521">
        <f>'ODS Subs'!G12-'[1]ODS Subs'!G12</f>
        <v>0</v>
      </c>
      <c r="F18" s="521">
        <f>'ODS Subs'!H12-'[1]ODS Subs'!H12</f>
        <v>0</v>
      </c>
      <c r="G18" s="521">
        <f>'ODS Subs'!I12-'[1]ODS Subs'!I12</f>
        <v>0</v>
      </c>
      <c r="H18" s="521">
        <f>'ODS Subs'!J12-'[1]ODS Subs'!J12</f>
        <v>0</v>
      </c>
      <c r="I18" s="521">
        <f>'ODS Subs'!K12-'[1]ODS Subs'!K12</f>
        <v>0</v>
      </c>
      <c r="J18" s="521">
        <f>'ODS Subs'!L12-'[1]ODS Subs'!L12</f>
        <v>1.3877787807814457E-16</v>
      </c>
      <c r="K18" s="521">
        <f>'ODS Subs'!M12-'[1]ODS Subs'!M12</f>
        <v>0</v>
      </c>
      <c r="L18" s="521">
        <f>'ODS Subs'!N12-'[1]ODS Subs'!N12</f>
        <v>0</v>
      </c>
    </row>
    <row r="19" spans="1:12">
      <c r="A19" s="159" t="s">
        <v>77</v>
      </c>
      <c r="B19" s="521">
        <f>'ODS Subs'!D21-'[1]ODS Subs'!D21</f>
        <v>1.0202397262081637E-5</v>
      </c>
      <c r="C19" s="521">
        <f>'ODS Subs'!E21-'[1]ODS Subs'!E21</f>
        <v>1.1725832894094786E-3</v>
      </c>
      <c r="D19" s="521">
        <f>'ODS Subs'!F21-'[1]ODS Subs'!F21</f>
        <v>1.7888174749886333E-3</v>
      </c>
      <c r="E19" s="521">
        <f>'ODS Subs'!G21-'[1]ODS Subs'!G21</f>
        <v>-2.8695370341198234E-3</v>
      </c>
      <c r="F19" s="521">
        <f>'ODS Subs'!H21-'[1]ODS Subs'!H21</f>
        <v>-2.5096697347231078E-3</v>
      </c>
      <c r="G19" s="521">
        <f>'ODS Subs'!I21-'[1]ODS Subs'!I21</f>
        <v>-2.1778256749110103E-3</v>
      </c>
      <c r="H19" s="521">
        <f>'ODS Subs'!J21-'[1]ODS Subs'!J21</f>
        <v>-5.4574798424097959E-4</v>
      </c>
      <c r="I19" s="521">
        <f>'ODS Subs'!K21-'[1]ODS Subs'!K21</f>
        <v>-3.5253188182843287E-5</v>
      </c>
      <c r="J19" s="521">
        <f>'ODS Subs'!L21-'[1]ODS Subs'!L21</f>
        <v>-3.0648551940469781E-3</v>
      </c>
      <c r="K19" s="521">
        <f>'ODS Subs'!M21-'[1]ODS Subs'!M21</f>
        <v>-9.0300886355865195E-5</v>
      </c>
      <c r="L19" s="521">
        <f>'ODS Subs'!N21-'[1]ODS Subs'!N21</f>
        <v>7.1738901932122401E-3</v>
      </c>
    </row>
    <row r="20" spans="1:12">
      <c r="A20" s="159" t="s">
        <v>78</v>
      </c>
      <c r="B20" s="521">
        <f>'ODS Subs'!D27-'[1]ODS Subs'!D27</f>
        <v>0</v>
      </c>
      <c r="C20" s="521">
        <f>'ODS Subs'!E27-'[1]ODS Subs'!E27</f>
        <v>-1.2435588543708298E-3</v>
      </c>
      <c r="D20" s="521">
        <f>'ODS Subs'!F27-'[1]ODS Subs'!F27</f>
        <v>-1.4566250097483024E-3</v>
      </c>
      <c r="E20" s="521">
        <f>'ODS Subs'!G27-'[1]ODS Subs'!G27</f>
        <v>-1.8035242896756731E-3</v>
      </c>
      <c r="F20" s="521">
        <f>'ODS Subs'!H27-'[1]ODS Subs'!H27</f>
        <v>-2.5721825621679018E-3</v>
      </c>
      <c r="G20" s="521">
        <f>'ODS Subs'!I27-'[1]ODS Subs'!I27</f>
        <v>-2.7229639408356543E-3</v>
      </c>
      <c r="H20" s="521">
        <f>'ODS Subs'!J27-'[1]ODS Subs'!J27</f>
        <v>-2.8795924032442577E-3</v>
      </c>
      <c r="I20" s="521">
        <f>'ODS Subs'!K27-'[1]ODS Subs'!K27</f>
        <v>-3.0388788226232699E-3</v>
      </c>
      <c r="J20" s="521">
        <f>'ODS Subs'!L27-'[1]ODS Subs'!L27</f>
        <v>-3.1812799684072246E-3</v>
      </c>
      <c r="K20" s="521">
        <f>'ODS Subs'!M27-'[1]ODS Subs'!M27</f>
        <v>-3.282014474046302E-3</v>
      </c>
      <c r="L20" s="521">
        <f>'ODS Subs'!N27-'[1]ODS Subs'!N27</f>
        <v>-1.5996699063003939E-3</v>
      </c>
    </row>
  </sheetData>
  <mergeCells count="11">
    <mergeCell ref="AL5:AQ5"/>
    <mergeCell ref="AR5:AW5"/>
    <mergeCell ref="AX5:BC5"/>
    <mergeCell ref="BD5:BI5"/>
    <mergeCell ref="BJ5:BO5"/>
    <mergeCell ref="AF5:AK5"/>
    <mergeCell ref="B5:G5"/>
    <mergeCell ref="H5:M5"/>
    <mergeCell ref="N5:S5"/>
    <mergeCell ref="T5:Y5"/>
    <mergeCell ref="Z5:AE5"/>
  </mergeCells>
  <conditionalFormatting sqref="B18:L20">
    <cfRule type="cellIs" dxfId="29" priority="1" operator="lessThan">
      <formula>-0.000000001</formula>
    </cfRule>
    <cfRule type="cellIs" dxfId="28" priority="2" operator="greaterThan">
      <formula>0.000000001</formula>
    </cfRule>
  </conditionalFormatting>
  <conditionalFormatting sqref="B7:BO10">
    <cfRule type="cellIs" dxfId="27" priority="3" operator="lessThan">
      <formula>-0.000000001</formula>
    </cfRule>
    <cfRule type="cellIs" dxfId="26" priority="4" operator="greaterThan">
      <formula>0.000000001</formula>
    </cfRule>
  </conditionalFormatting>
  <pageMargins left="0.7" right="0.7" top="0.75" bottom="0.75" header="0.3" footer="0.3"/>
  <legacy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E4F6800-DBD7-4575-BDD0-1653F12EE374}">
  <sheetPr>
    <tabColor rgb="FFFFC000"/>
  </sheetPr>
  <dimension ref="A1:BO20"/>
  <sheetViews>
    <sheetView workbookViewId="0"/>
  </sheetViews>
  <sheetFormatPr defaultRowHeight="12.75"/>
  <cols>
    <col min="1" max="1" width="36.85546875" customWidth="1"/>
  </cols>
  <sheetData>
    <row r="1" spans="1:67" ht="37.5" customHeight="1">
      <c r="A1" s="534" t="s">
        <v>79</v>
      </c>
    </row>
    <row r="2" spans="1:67" ht="18.75">
      <c r="A2" s="344" t="s">
        <v>65</v>
      </c>
      <c r="B2" s="163"/>
      <c r="C2" s="163"/>
      <c r="D2" s="163"/>
      <c r="E2" s="163"/>
      <c r="F2" s="164"/>
      <c r="G2" s="164"/>
      <c r="H2" s="164"/>
      <c r="I2" s="164"/>
      <c r="J2" s="164"/>
      <c r="K2" s="164"/>
      <c r="L2" s="164"/>
      <c r="M2" s="164"/>
      <c r="N2" s="163"/>
      <c r="O2" s="163"/>
      <c r="P2" s="163"/>
      <c r="Q2" s="163"/>
      <c r="R2" s="163"/>
      <c r="S2" s="163"/>
      <c r="T2" s="163"/>
      <c r="U2" s="163"/>
      <c r="V2" s="163"/>
      <c r="W2" s="163"/>
      <c r="X2" s="163"/>
      <c r="Y2" s="163"/>
      <c r="Z2" s="163"/>
      <c r="AA2" s="163"/>
      <c r="AB2" s="163"/>
      <c r="AC2" s="163"/>
      <c r="AD2" s="163"/>
      <c r="AE2" s="163"/>
      <c r="AF2" s="163"/>
      <c r="AG2" s="163"/>
      <c r="AH2" s="163"/>
      <c r="AI2" s="163"/>
      <c r="AJ2" s="163"/>
      <c r="AK2" s="163"/>
      <c r="AL2" s="163"/>
      <c r="AM2" s="163"/>
      <c r="AN2" s="163"/>
      <c r="AO2" s="163"/>
      <c r="AP2" s="163"/>
      <c r="AQ2" s="163"/>
      <c r="AR2" s="163"/>
      <c r="AS2" s="163"/>
      <c r="AT2" s="163"/>
      <c r="AU2" s="163"/>
      <c r="AV2" s="163"/>
      <c r="AW2" s="163"/>
      <c r="AX2" s="163"/>
      <c r="AY2" s="163"/>
      <c r="AZ2" s="163"/>
      <c r="BA2" s="163"/>
      <c r="BB2" s="163"/>
      <c r="BC2" s="163"/>
      <c r="BD2" s="163"/>
      <c r="BE2" s="163"/>
      <c r="BF2" s="163"/>
      <c r="BG2" s="163"/>
      <c r="BH2" s="163"/>
      <c r="BI2" s="163"/>
      <c r="BJ2" s="163"/>
      <c r="BK2" s="163"/>
      <c r="BL2" s="163"/>
      <c r="BM2" s="163"/>
      <c r="BN2" s="163"/>
      <c r="BO2" s="163"/>
    </row>
    <row r="3" spans="1:67">
      <c r="A3" s="42"/>
      <c r="B3" s="42"/>
      <c r="C3" s="42"/>
      <c r="D3" s="42"/>
      <c r="E3" s="42"/>
      <c r="F3" s="42"/>
      <c r="G3" s="42"/>
      <c r="H3" s="42"/>
      <c r="I3" s="42"/>
      <c r="J3" s="42"/>
      <c r="K3" s="42"/>
      <c r="L3" s="42"/>
      <c r="M3" s="42"/>
      <c r="N3" s="42"/>
      <c r="O3" s="42"/>
      <c r="P3" s="42"/>
      <c r="Q3" s="42"/>
      <c r="R3" s="42"/>
      <c r="S3" s="42"/>
      <c r="T3" s="42"/>
      <c r="U3" s="42"/>
      <c r="V3" s="42"/>
      <c r="W3" s="42"/>
      <c r="X3" s="42"/>
      <c r="Y3" s="42"/>
      <c r="Z3" s="42"/>
      <c r="AA3" s="42"/>
      <c r="AB3" s="42"/>
      <c r="AC3" s="42"/>
      <c r="AD3" s="42"/>
      <c r="AE3" s="42"/>
      <c r="AF3" s="42"/>
      <c r="AG3" s="42"/>
      <c r="AH3" s="42"/>
      <c r="AI3" s="42"/>
      <c r="AJ3" s="42"/>
      <c r="AK3" s="42"/>
      <c r="AL3" s="42"/>
      <c r="AM3" s="42"/>
      <c r="AN3" s="42"/>
      <c r="AO3" s="42"/>
      <c r="AP3" s="42"/>
      <c r="AQ3" s="42"/>
      <c r="AR3" s="42"/>
      <c r="AS3" s="42"/>
      <c r="AT3" s="42"/>
      <c r="AU3" s="42"/>
      <c r="AV3" s="42"/>
      <c r="AW3" s="42"/>
      <c r="AX3" s="42"/>
      <c r="AY3" s="42"/>
      <c r="AZ3" s="42"/>
      <c r="BA3" s="42"/>
      <c r="BB3" s="42"/>
      <c r="BC3" s="42"/>
      <c r="BD3" s="42"/>
      <c r="BE3" s="42"/>
      <c r="BF3" s="42"/>
      <c r="BG3" s="42"/>
      <c r="BH3" s="42"/>
      <c r="BI3" s="42"/>
      <c r="BJ3" s="42"/>
      <c r="BK3" s="42"/>
      <c r="BL3" s="42"/>
      <c r="BM3" s="42"/>
      <c r="BN3" s="42"/>
      <c r="BO3" s="42"/>
    </row>
    <row r="4" spans="1:67">
      <c r="A4" s="43" t="s">
        <v>66</v>
      </c>
      <c r="B4" s="42"/>
      <c r="C4" s="42"/>
      <c r="D4" s="42"/>
      <c r="E4" s="42"/>
      <c r="F4" s="42"/>
      <c r="G4" s="42"/>
      <c r="H4" s="42"/>
      <c r="I4" s="42"/>
      <c r="J4" s="42"/>
      <c r="K4" s="42"/>
      <c r="L4" s="42"/>
      <c r="M4" s="42"/>
      <c r="N4" s="42"/>
      <c r="O4" s="42"/>
      <c r="P4" s="42"/>
      <c r="Q4" s="42"/>
      <c r="R4" s="42"/>
      <c r="S4" s="42"/>
      <c r="T4" s="42"/>
      <c r="U4" s="42"/>
      <c r="V4" s="42"/>
      <c r="W4" s="42"/>
      <c r="X4" s="42"/>
      <c r="Y4" s="42"/>
      <c r="Z4" s="42"/>
      <c r="AA4" s="42"/>
      <c r="AB4" s="42"/>
      <c r="AC4" s="42"/>
      <c r="AD4" s="42"/>
      <c r="AE4" s="42"/>
      <c r="AF4" s="42"/>
      <c r="AG4" s="42"/>
      <c r="AH4" s="42"/>
      <c r="AI4" s="42"/>
      <c r="AJ4" s="42"/>
      <c r="AK4" s="42"/>
      <c r="AL4" s="42"/>
      <c r="AM4" s="42"/>
      <c r="AN4" s="42"/>
      <c r="AO4" s="42"/>
      <c r="AP4" s="42"/>
      <c r="AQ4" s="42"/>
      <c r="AR4" s="42"/>
      <c r="AS4" s="42"/>
      <c r="AT4" s="42"/>
      <c r="AU4" s="42"/>
      <c r="AV4" s="42"/>
      <c r="AW4" s="42"/>
      <c r="AX4" s="42"/>
      <c r="AY4" s="42"/>
      <c r="AZ4" s="42"/>
      <c r="BA4" s="42"/>
      <c r="BB4" s="42"/>
      <c r="BC4" s="42"/>
      <c r="BD4" s="42"/>
      <c r="BE4" s="42"/>
      <c r="BF4" s="42"/>
      <c r="BG4" s="42"/>
      <c r="BH4" s="42"/>
      <c r="BI4" s="42"/>
      <c r="BJ4" s="42"/>
      <c r="BK4" s="42"/>
      <c r="BL4" s="42"/>
      <c r="BM4" s="42"/>
      <c r="BN4" s="42"/>
      <c r="BO4" s="42"/>
    </row>
    <row r="5" spans="1:67">
      <c r="A5" s="165"/>
      <c r="B5" s="593">
        <v>1990</v>
      </c>
      <c r="C5" s="594"/>
      <c r="D5" s="594"/>
      <c r="E5" s="594"/>
      <c r="F5" s="594"/>
      <c r="G5" s="595"/>
      <c r="H5" s="593">
        <v>2005</v>
      </c>
      <c r="I5" s="594"/>
      <c r="J5" s="594"/>
      <c r="K5" s="594"/>
      <c r="L5" s="594"/>
      <c r="M5" s="595"/>
      <c r="N5" s="593">
        <v>2007</v>
      </c>
      <c r="O5" s="594"/>
      <c r="P5" s="594"/>
      <c r="Q5" s="594"/>
      <c r="R5" s="594"/>
      <c r="S5" s="595"/>
      <c r="T5" s="593">
        <v>2010</v>
      </c>
      <c r="U5" s="594"/>
      <c r="V5" s="594"/>
      <c r="W5" s="594"/>
      <c r="X5" s="594"/>
      <c r="Y5" s="595"/>
      <c r="Z5" s="593">
        <v>2015</v>
      </c>
      <c r="AA5" s="594"/>
      <c r="AB5" s="594"/>
      <c r="AC5" s="594"/>
      <c r="AD5" s="594"/>
      <c r="AE5" s="595"/>
      <c r="AF5" s="593">
        <v>2016</v>
      </c>
      <c r="AG5" s="594"/>
      <c r="AH5" s="594"/>
      <c r="AI5" s="594"/>
      <c r="AJ5" s="594"/>
      <c r="AK5" s="595"/>
      <c r="AL5" s="593">
        <v>2017</v>
      </c>
      <c r="AM5" s="594"/>
      <c r="AN5" s="594"/>
      <c r="AO5" s="594"/>
      <c r="AP5" s="594"/>
      <c r="AQ5" s="595"/>
      <c r="AR5" s="593">
        <v>2018</v>
      </c>
      <c r="AS5" s="594"/>
      <c r="AT5" s="594"/>
      <c r="AU5" s="594"/>
      <c r="AV5" s="594"/>
      <c r="AW5" s="595"/>
      <c r="AX5" s="593">
        <v>2019</v>
      </c>
      <c r="AY5" s="594"/>
      <c r="AZ5" s="594"/>
      <c r="BA5" s="594"/>
      <c r="BB5" s="594"/>
      <c r="BC5" s="595"/>
      <c r="BD5" s="593">
        <v>2020</v>
      </c>
      <c r="BE5" s="594"/>
      <c r="BF5" s="594"/>
      <c r="BG5" s="594"/>
      <c r="BH5" s="594"/>
      <c r="BI5" s="595"/>
      <c r="BJ5" s="593">
        <v>2021</v>
      </c>
      <c r="BK5" s="594"/>
      <c r="BL5" s="594"/>
      <c r="BM5" s="594"/>
      <c r="BN5" s="594"/>
      <c r="BO5" s="595"/>
    </row>
    <row r="6" spans="1:67" ht="25.5">
      <c r="A6" s="416" t="s">
        <v>67</v>
      </c>
      <c r="B6" s="417" t="s">
        <v>68</v>
      </c>
      <c r="C6" s="417" t="s">
        <v>69</v>
      </c>
      <c r="D6" s="417" t="s">
        <v>70</v>
      </c>
      <c r="E6" s="417" t="s">
        <v>71</v>
      </c>
      <c r="F6" s="417" t="s">
        <v>72</v>
      </c>
      <c r="G6" s="418" t="s">
        <v>49</v>
      </c>
      <c r="H6" s="417" t="s">
        <v>68</v>
      </c>
      <c r="I6" s="417" t="s">
        <v>69</v>
      </c>
      <c r="J6" s="417" t="s">
        <v>70</v>
      </c>
      <c r="K6" s="417" t="s">
        <v>71</v>
      </c>
      <c r="L6" s="417" t="s">
        <v>72</v>
      </c>
      <c r="M6" s="418" t="s">
        <v>49</v>
      </c>
      <c r="N6" s="417" t="s">
        <v>68</v>
      </c>
      <c r="O6" s="417" t="s">
        <v>69</v>
      </c>
      <c r="P6" s="417" t="s">
        <v>70</v>
      </c>
      <c r="Q6" s="417" t="s">
        <v>71</v>
      </c>
      <c r="R6" s="417" t="s">
        <v>72</v>
      </c>
      <c r="S6" s="418" t="s">
        <v>49</v>
      </c>
      <c r="T6" s="417" t="s">
        <v>68</v>
      </c>
      <c r="U6" s="417" t="s">
        <v>69</v>
      </c>
      <c r="V6" s="417" t="s">
        <v>70</v>
      </c>
      <c r="W6" s="417" t="s">
        <v>71</v>
      </c>
      <c r="X6" s="417" t="s">
        <v>72</v>
      </c>
      <c r="Y6" s="418" t="s">
        <v>49</v>
      </c>
      <c r="Z6" s="417" t="s">
        <v>68</v>
      </c>
      <c r="AA6" s="417" t="s">
        <v>69</v>
      </c>
      <c r="AB6" s="417" t="s">
        <v>70</v>
      </c>
      <c r="AC6" s="417" t="s">
        <v>71</v>
      </c>
      <c r="AD6" s="417" t="s">
        <v>72</v>
      </c>
      <c r="AE6" s="418" t="s">
        <v>49</v>
      </c>
      <c r="AF6" s="417" t="s">
        <v>68</v>
      </c>
      <c r="AG6" s="417" t="s">
        <v>69</v>
      </c>
      <c r="AH6" s="417" t="s">
        <v>70</v>
      </c>
      <c r="AI6" s="417" t="s">
        <v>71</v>
      </c>
      <c r="AJ6" s="417" t="s">
        <v>72</v>
      </c>
      <c r="AK6" s="418" t="s">
        <v>49</v>
      </c>
      <c r="AL6" s="417" t="s">
        <v>68</v>
      </c>
      <c r="AM6" s="417" t="s">
        <v>69</v>
      </c>
      <c r="AN6" s="417" t="s">
        <v>70</v>
      </c>
      <c r="AO6" s="417" t="s">
        <v>71</v>
      </c>
      <c r="AP6" s="417" t="s">
        <v>72</v>
      </c>
      <c r="AQ6" s="418" t="s">
        <v>49</v>
      </c>
      <c r="AR6" s="417" t="s">
        <v>68</v>
      </c>
      <c r="AS6" s="417" t="s">
        <v>69</v>
      </c>
      <c r="AT6" s="417" t="s">
        <v>70</v>
      </c>
      <c r="AU6" s="417" t="s">
        <v>71</v>
      </c>
      <c r="AV6" s="417" t="s">
        <v>72</v>
      </c>
      <c r="AW6" s="418" t="s">
        <v>49</v>
      </c>
      <c r="AX6" s="417" t="s">
        <v>68</v>
      </c>
      <c r="AY6" s="417" t="s">
        <v>69</v>
      </c>
      <c r="AZ6" s="417" t="s">
        <v>70</v>
      </c>
      <c r="BA6" s="417" t="s">
        <v>71</v>
      </c>
      <c r="BB6" s="417" t="s">
        <v>72</v>
      </c>
      <c r="BC6" s="418" t="s">
        <v>49</v>
      </c>
      <c r="BD6" s="417" t="s">
        <v>68</v>
      </c>
      <c r="BE6" s="417" t="s">
        <v>69</v>
      </c>
      <c r="BF6" s="417" t="s">
        <v>70</v>
      </c>
      <c r="BG6" s="417" t="s">
        <v>71</v>
      </c>
      <c r="BH6" s="417" t="s">
        <v>72</v>
      </c>
      <c r="BI6" s="418" t="s">
        <v>49</v>
      </c>
      <c r="BJ6" s="417" t="s">
        <v>68</v>
      </c>
      <c r="BK6" s="417" t="s">
        <v>69</v>
      </c>
      <c r="BL6" s="417" t="s">
        <v>70</v>
      </c>
      <c r="BM6" s="417" t="s">
        <v>71</v>
      </c>
      <c r="BN6" s="417" t="s">
        <v>72</v>
      </c>
      <c r="BO6" s="418" t="s">
        <v>49</v>
      </c>
    </row>
    <row r="7" spans="1:67">
      <c r="A7" s="166" t="s">
        <v>45</v>
      </c>
      <c r="B7" s="521">
        <f>'IPPU Summary_old format'!B6-'[2]IPPU Summary'!B6</f>
        <v>0</v>
      </c>
      <c r="C7" s="521">
        <f>'IPPU Summary_old format'!C6-'[2]IPPU Summary'!C6</f>
        <v>0</v>
      </c>
      <c r="D7" s="521">
        <f>'IPPU Summary_old format'!D6-'[2]IPPU Summary'!D6</f>
        <v>0</v>
      </c>
      <c r="E7" s="521">
        <f>'IPPU Summary_old format'!E6-'[2]IPPU Summary'!E6</f>
        <v>0</v>
      </c>
      <c r="F7" s="521">
        <f>'IPPU Summary_old format'!F6-'[2]IPPU Summary'!F6</f>
        <v>0</v>
      </c>
      <c r="G7" s="521">
        <f>'IPPU Summary_old format'!G6-'[2]IPPU Summary'!G6</f>
        <v>0</v>
      </c>
      <c r="H7" s="521">
        <f>'IPPU Summary_old format'!H6-'[2]IPPU Summary'!H6</f>
        <v>0</v>
      </c>
      <c r="I7" s="521">
        <f>'IPPU Summary_old format'!I6-'[2]IPPU Summary'!I6</f>
        <v>0</v>
      </c>
      <c r="J7" s="521">
        <f>'IPPU Summary_old format'!J6-'[2]IPPU Summary'!J6</f>
        <v>0</v>
      </c>
      <c r="K7" s="521">
        <f>'IPPU Summary_old format'!K6-'[2]IPPU Summary'!K6</f>
        <v>0</v>
      </c>
      <c r="L7" s="521">
        <f>'IPPU Summary_old format'!L6-'[2]IPPU Summary'!L6</f>
        <v>0</v>
      </c>
      <c r="M7" s="521">
        <f>'IPPU Summary_old format'!M6-'[2]IPPU Summary'!M6</f>
        <v>0</v>
      </c>
      <c r="N7" s="521">
        <f>'IPPU Summary_old format'!N6-'[2]IPPU Summary'!N6</f>
        <v>0</v>
      </c>
      <c r="O7" s="521">
        <f>'IPPU Summary_old format'!O6-'[2]IPPU Summary'!O6</f>
        <v>0</v>
      </c>
      <c r="P7" s="521">
        <f>'IPPU Summary_old format'!P6-'[2]IPPU Summary'!P6</f>
        <v>0</v>
      </c>
      <c r="Q7" s="521">
        <f>'IPPU Summary_old format'!Q6-'[2]IPPU Summary'!Q6</f>
        <v>0</v>
      </c>
      <c r="R7" s="521">
        <f>'IPPU Summary_old format'!R6-'[2]IPPU Summary'!R6</f>
        <v>0</v>
      </c>
      <c r="S7" s="521">
        <f>'IPPU Summary_old format'!S6-'[2]IPPU Summary'!S6</f>
        <v>0</v>
      </c>
      <c r="T7" s="521">
        <f>'IPPU Summary_old format'!T6-'[2]IPPU Summary'!T6</f>
        <v>0</v>
      </c>
      <c r="U7" s="521">
        <f>'IPPU Summary_old format'!U6-'[2]IPPU Summary'!U6</f>
        <v>0</v>
      </c>
      <c r="V7" s="521">
        <f>'IPPU Summary_old format'!V6-'[2]IPPU Summary'!V6</f>
        <v>0</v>
      </c>
      <c r="W7" s="521">
        <f>'IPPU Summary_old format'!W6-'[2]IPPU Summary'!W6</f>
        <v>0</v>
      </c>
      <c r="X7" s="521">
        <f>'IPPU Summary_old format'!X6-'[2]IPPU Summary'!X6</f>
        <v>0</v>
      </c>
      <c r="Y7" s="521">
        <f>'IPPU Summary_old format'!Y6-'[2]IPPU Summary'!Y6</f>
        <v>0</v>
      </c>
      <c r="Z7" s="521">
        <f>'IPPU Summary_old format'!Z6-'[2]IPPU Summary'!Z6</f>
        <v>0</v>
      </c>
      <c r="AA7" s="521">
        <f>'IPPU Summary_old format'!AA6-'[2]IPPU Summary'!AA6</f>
        <v>0</v>
      </c>
      <c r="AB7" s="521">
        <f>'IPPU Summary_old format'!AB6-'[2]IPPU Summary'!AB6</f>
        <v>0</v>
      </c>
      <c r="AC7" s="521">
        <f>'IPPU Summary_old format'!AC6-'[2]IPPU Summary'!AC6</f>
        <v>0</v>
      </c>
      <c r="AD7" s="521">
        <f>'IPPU Summary_old format'!AD6-'[2]IPPU Summary'!AD6</f>
        <v>0</v>
      </c>
      <c r="AE7" s="521">
        <f>'IPPU Summary_old format'!AE6-'[2]IPPU Summary'!AE6</f>
        <v>0</v>
      </c>
      <c r="AF7" s="521">
        <f>'IPPU Summary_old format'!AF6-'[2]IPPU Summary'!AF6</f>
        <v>0</v>
      </c>
      <c r="AG7" s="521">
        <f>'IPPU Summary_old format'!AG6-'[2]IPPU Summary'!AG6</f>
        <v>0</v>
      </c>
      <c r="AH7" s="521">
        <f>'IPPU Summary_old format'!AH6-'[2]IPPU Summary'!AH6</f>
        <v>0</v>
      </c>
      <c r="AI7" s="521">
        <f>'IPPU Summary_old format'!AI6-'[2]IPPU Summary'!AI6</f>
        <v>0</v>
      </c>
      <c r="AJ7" s="521">
        <f>'IPPU Summary_old format'!AJ6-'[2]IPPU Summary'!AJ6</f>
        <v>0</v>
      </c>
      <c r="AK7" s="521">
        <f>'IPPU Summary_old format'!AK6-'[2]IPPU Summary'!AK6</f>
        <v>0</v>
      </c>
      <c r="AL7" s="521">
        <f>'IPPU Summary_old format'!AL6-'[2]IPPU Summary'!AL6</f>
        <v>0</v>
      </c>
      <c r="AM7" s="521">
        <f>'IPPU Summary_old format'!AM6-'[2]IPPU Summary'!AM6</f>
        <v>0</v>
      </c>
      <c r="AN7" s="521">
        <f>'IPPU Summary_old format'!AN6-'[2]IPPU Summary'!AN6</f>
        <v>0</v>
      </c>
      <c r="AO7" s="521">
        <f>'IPPU Summary_old format'!AO6-'[2]IPPU Summary'!AO6</f>
        <v>0</v>
      </c>
      <c r="AP7" s="521">
        <f>'IPPU Summary_old format'!AP6-'[2]IPPU Summary'!AP6</f>
        <v>0</v>
      </c>
      <c r="AQ7" s="521">
        <f>'IPPU Summary_old format'!AQ6-'[2]IPPU Summary'!AQ6</f>
        <v>0</v>
      </c>
      <c r="AR7" s="521">
        <f>'IPPU Summary_old format'!AR6-'[2]IPPU Summary'!AR6</f>
        <v>0</v>
      </c>
      <c r="AS7" s="521">
        <f>'IPPU Summary_old format'!AS6-'[2]IPPU Summary'!AS6</f>
        <v>0</v>
      </c>
      <c r="AT7" s="521">
        <f>'IPPU Summary_old format'!AT6-'[2]IPPU Summary'!AT6</f>
        <v>0</v>
      </c>
      <c r="AU7" s="521">
        <f>'IPPU Summary_old format'!AU6-'[2]IPPU Summary'!AU6</f>
        <v>0</v>
      </c>
      <c r="AV7" s="521">
        <f>'IPPU Summary_old format'!AV6-'[2]IPPU Summary'!AV6</f>
        <v>0</v>
      </c>
      <c r="AW7" s="521">
        <f>'IPPU Summary_old format'!AW6-'[2]IPPU Summary'!AW6</f>
        <v>0</v>
      </c>
      <c r="AX7" s="521">
        <f>'IPPU Summary_old format'!AX6-'[2]IPPU Summary'!AX6</f>
        <v>0</v>
      </c>
      <c r="AY7" s="521">
        <f>'IPPU Summary_old format'!AY6-'[2]IPPU Summary'!AY6</f>
        <v>0</v>
      </c>
      <c r="AZ7" s="521">
        <f>'IPPU Summary_old format'!AZ6-'[2]IPPU Summary'!AZ6</f>
        <v>0</v>
      </c>
      <c r="BA7" s="521">
        <f>'IPPU Summary_old format'!BA6-'[2]IPPU Summary'!BA6</f>
        <v>0</v>
      </c>
      <c r="BB7" s="521">
        <f>'IPPU Summary_old format'!BB6-'[2]IPPU Summary'!BB6</f>
        <v>0</v>
      </c>
      <c r="BC7" s="521">
        <f>'IPPU Summary_old format'!BC6-'[2]IPPU Summary'!BC6</f>
        <v>0</v>
      </c>
      <c r="BD7" s="521" t="s">
        <v>80</v>
      </c>
      <c r="BE7" s="521" t="s">
        <v>80</v>
      </c>
      <c r="BF7" s="521" t="s">
        <v>80</v>
      </c>
      <c r="BG7" s="521" t="s">
        <v>80</v>
      </c>
      <c r="BH7" s="521" t="s">
        <v>80</v>
      </c>
      <c r="BI7" s="521" t="s">
        <v>80</v>
      </c>
      <c r="BJ7" s="521" t="s">
        <v>80</v>
      </c>
      <c r="BK7" s="521" t="s">
        <v>80</v>
      </c>
      <c r="BL7" s="521" t="s">
        <v>80</v>
      </c>
      <c r="BM7" s="521" t="s">
        <v>80</v>
      </c>
      <c r="BN7" s="521" t="s">
        <v>80</v>
      </c>
      <c r="BO7" s="521" t="s">
        <v>80</v>
      </c>
    </row>
    <row r="8" spans="1:67">
      <c r="A8" s="166" t="s">
        <v>73</v>
      </c>
      <c r="B8" s="521">
        <f>'IPPU Summary_old format'!B7-'[2]IPPU Summary'!B7</f>
        <v>0</v>
      </c>
      <c r="C8" s="521">
        <f>'IPPU Summary_old format'!C7-'[2]IPPU Summary'!C7</f>
        <v>0</v>
      </c>
      <c r="D8" s="521">
        <f>'IPPU Summary_old format'!D7-'[2]IPPU Summary'!D7</f>
        <v>0</v>
      </c>
      <c r="E8" s="521">
        <f>'IPPU Summary_old format'!E7-'[2]IPPU Summary'!E7</f>
        <v>2.7447484941185805E-6</v>
      </c>
      <c r="F8" s="521">
        <f>'IPPU Summary_old format'!F7-'[2]IPPU Summary'!F7</f>
        <v>4.7308959553778868E-3</v>
      </c>
      <c r="G8" s="521">
        <f>'IPPU Summary_old format'!G7-'[2]IPPU Summary'!G7</f>
        <v>4.7336407038719996E-3</v>
      </c>
      <c r="H8" s="521">
        <f>'IPPU Summary_old format'!H7-'[2]IPPU Summary'!H7</f>
        <v>0</v>
      </c>
      <c r="I8" s="521">
        <f>'IPPU Summary_old format'!I7-'[2]IPPU Summary'!I7</f>
        <v>0</v>
      </c>
      <c r="J8" s="521">
        <f>'IPPU Summary_old format'!J7-'[2]IPPU Summary'!J7</f>
        <v>0</v>
      </c>
      <c r="K8" s="521">
        <f>'IPPU Summary_old format'!K7-'[2]IPPU Summary'!K7</f>
        <v>5.5130832124708125E-6</v>
      </c>
      <c r="L8" s="521">
        <f>'IPPU Summary_old format'!L7-'[2]IPPU Summary'!L7</f>
        <v>1.0212558481411629E-2</v>
      </c>
      <c r="M8" s="521">
        <f>'IPPU Summary_old format'!M7-'[2]IPPU Summary'!M7</f>
        <v>1.02180715646241E-2</v>
      </c>
      <c r="N8" s="521">
        <f>'IPPU Summary_old format'!N7-'[2]IPPU Summary'!N7</f>
        <v>0</v>
      </c>
      <c r="O8" s="521">
        <f>'IPPU Summary_old format'!O7-'[2]IPPU Summary'!O7</f>
        <v>0</v>
      </c>
      <c r="P8" s="521">
        <f>'IPPU Summary_old format'!P7-'[2]IPPU Summary'!P7</f>
        <v>0</v>
      </c>
      <c r="Q8" s="521">
        <f>'IPPU Summary_old format'!Q7-'[2]IPPU Summary'!Q7</f>
        <v>4.1486452059049522E-6</v>
      </c>
      <c r="R8" s="521">
        <f>'IPPU Summary_old format'!R7-'[2]IPPU Summary'!R7</f>
        <v>1.1095332471679001E-2</v>
      </c>
      <c r="S8" s="521">
        <f>'IPPU Summary_old format'!S7-'[2]IPPU Summary'!S7</f>
        <v>1.1099481116884906E-2</v>
      </c>
      <c r="T8" s="521">
        <f>'IPPU Summary_old format'!T7-'[2]IPPU Summary'!T7</f>
        <v>0</v>
      </c>
      <c r="U8" s="521">
        <f>'IPPU Summary_old format'!U7-'[2]IPPU Summary'!U7</f>
        <v>0</v>
      </c>
      <c r="V8" s="521">
        <f>'IPPU Summary_old format'!V7-'[2]IPPU Summary'!V7</f>
        <v>0</v>
      </c>
      <c r="W8" s="521">
        <f>'IPPU Summary_old format'!W7-'[2]IPPU Summary'!W7</f>
        <v>4.1656999834269896E-6</v>
      </c>
      <c r="X8" s="521">
        <f>'IPPU Summary_old format'!X7-'[2]IPPU Summary'!X7</f>
        <v>5.6928398407269671E-3</v>
      </c>
      <c r="Y8" s="521">
        <f>'IPPU Summary_old format'!Y7-'[2]IPPU Summary'!Y7</f>
        <v>5.6970055407103929E-3</v>
      </c>
      <c r="Z8" s="521">
        <f>'IPPU Summary_old format'!Z7-'[2]IPPU Summary'!Z7</f>
        <v>0</v>
      </c>
      <c r="AA8" s="521">
        <f>'IPPU Summary_old format'!AA7-'[2]IPPU Summary'!AA7</f>
        <v>0</v>
      </c>
      <c r="AB8" s="521">
        <f>'IPPU Summary_old format'!AB7-'[2]IPPU Summary'!AB7</f>
        <v>0</v>
      </c>
      <c r="AC8" s="521">
        <f>'IPPU Summary_old format'!AC7-'[2]IPPU Summary'!AC7</f>
        <v>0</v>
      </c>
      <c r="AD8" s="521">
        <f>'IPPU Summary_old format'!AD7-'[2]IPPU Summary'!AD7</f>
        <v>3.8359742290673612E-3</v>
      </c>
      <c r="AE8" s="521">
        <f>'IPPU Summary_old format'!AE7-'[2]IPPU Summary'!AE7</f>
        <v>3.8359742290673612E-3</v>
      </c>
      <c r="AF8" s="521">
        <f>'IPPU Summary_old format'!AF7-'[2]IPPU Summary'!AF7</f>
        <v>0</v>
      </c>
      <c r="AG8" s="521">
        <f>'IPPU Summary_old format'!AG7-'[2]IPPU Summary'!AG7</f>
        <v>0</v>
      </c>
      <c r="AH8" s="521">
        <f>'IPPU Summary_old format'!AH7-'[2]IPPU Summary'!AH7</f>
        <v>0</v>
      </c>
      <c r="AI8" s="521">
        <f>'IPPU Summary_old format'!AI7-'[2]IPPU Summary'!AI7</f>
        <v>7.018651673310413E-7</v>
      </c>
      <c r="AJ8" s="521">
        <f>'IPPU Summary_old format'!AJ7-'[2]IPPU Summary'!AJ7</f>
        <v>3.3253994543482133E-3</v>
      </c>
      <c r="AK8" s="521">
        <f>'IPPU Summary_old format'!AK7-'[2]IPPU Summary'!AK7</f>
        <v>3.3261013195155439E-3</v>
      </c>
      <c r="AL8" s="521">
        <f>'IPPU Summary_old format'!AL7-'[2]IPPU Summary'!AL7</f>
        <v>0</v>
      </c>
      <c r="AM8" s="521">
        <f>'IPPU Summary_old format'!AM7-'[2]IPPU Summary'!AM7</f>
        <v>0</v>
      </c>
      <c r="AN8" s="521">
        <f>'IPPU Summary_old format'!AN7-'[2]IPPU Summary'!AN7</f>
        <v>0</v>
      </c>
      <c r="AO8" s="521">
        <f>'IPPU Summary_old format'!AO7-'[2]IPPU Summary'!AO7</f>
        <v>1.9195294013713066E-7</v>
      </c>
      <c r="AP8" s="521">
        <f>'IPPU Summary_old format'!AP7-'[2]IPPU Summary'!AP7</f>
        <v>2.8133527488807576E-3</v>
      </c>
      <c r="AQ8" s="521">
        <f>'IPPU Summary_old format'!AQ7-'[2]IPPU Summary'!AQ7</f>
        <v>2.8135447018208942E-3</v>
      </c>
      <c r="AR8" s="521">
        <f>'IPPU Summary_old format'!AR7-'[2]IPPU Summary'!AR7</f>
        <v>0</v>
      </c>
      <c r="AS8" s="521">
        <f>'IPPU Summary_old format'!AS7-'[2]IPPU Summary'!AS7</f>
        <v>0</v>
      </c>
      <c r="AT8" s="521">
        <f>'IPPU Summary_old format'!AT7-'[2]IPPU Summary'!AT7</f>
        <v>0</v>
      </c>
      <c r="AU8" s="521">
        <f>'IPPU Summary_old format'!AU7-'[2]IPPU Summary'!AU7</f>
        <v>0</v>
      </c>
      <c r="AV8" s="521">
        <f>'IPPU Summary_old format'!AV7-'[2]IPPU Summary'!AV7</f>
        <v>2.593649899238425E-3</v>
      </c>
      <c r="AW8" s="521">
        <f>'IPPU Summary_old format'!AW7-'[2]IPPU Summary'!AW7</f>
        <v>2.593649899238425E-3</v>
      </c>
      <c r="AX8" s="521">
        <f>'IPPU Summary_old format'!AX7-'[2]IPPU Summary'!AX7</f>
        <v>0</v>
      </c>
      <c r="AY8" s="521">
        <f>'IPPU Summary_old format'!AY7-'[2]IPPU Summary'!AY7</f>
        <v>0</v>
      </c>
      <c r="AZ8" s="521">
        <f>'IPPU Summary_old format'!AZ7-'[2]IPPU Summary'!AZ7</f>
        <v>0</v>
      </c>
      <c r="BA8" s="521">
        <f>'IPPU Summary_old format'!BA7-'[2]IPPU Summary'!BA7</f>
        <v>1.0275738471718442E-6</v>
      </c>
      <c r="BB8" s="521">
        <f>'IPPU Summary_old format'!BB7-'[2]IPPU Summary'!BB7</f>
        <v>4.4973152700526955E-3</v>
      </c>
      <c r="BC8" s="521">
        <f>'IPPU Summary_old format'!BC7-'[2]IPPU Summary'!BC7</f>
        <v>4.4983428438998673E-3</v>
      </c>
      <c r="BD8" s="521" t="s">
        <v>80</v>
      </c>
      <c r="BE8" s="521" t="s">
        <v>80</v>
      </c>
      <c r="BF8" s="521" t="s">
        <v>80</v>
      </c>
      <c r="BG8" s="521" t="s">
        <v>80</v>
      </c>
      <c r="BH8" s="521" t="s">
        <v>80</v>
      </c>
      <c r="BI8" s="521" t="s">
        <v>80</v>
      </c>
      <c r="BJ8" s="521" t="s">
        <v>80</v>
      </c>
      <c r="BK8" s="521" t="s">
        <v>80</v>
      </c>
      <c r="BL8" s="521" t="s">
        <v>80</v>
      </c>
      <c r="BM8" s="521" t="s">
        <v>80</v>
      </c>
      <c r="BN8" s="521" t="s">
        <v>80</v>
      </c>
      <c r="BO8" s="521" t="s">
        <v>80</v>
      </c>
    </row>
    <row r="9" spans="1:67">
      <c r="A9" s="166" t="s">
        <v>74</v>
      </c>
      <c r="B9" s="521">
        <f>'IPPU Summary_old format'!B8-'[2]IPPU Summary'!B8</f>
        <v>7.0700498616782576E-8</v>
      </c>
      <c r="C9" s="521">
        <f>'IPPU Summary_old format'!C8-'[2]IPPU Summary'!C8</f>
        <v>0</v>
      </c>
      <c r="D9" s="521">
        <f>'IPPU Summary_old format'!D8-'[2]IPPU Summary'!D8</f>
        <v>0</v>
      </c>
      <c r="E9" s="521">
        <f>'IPPU Summary_old format'!E8-'[2]IPPU Summary'!E8</f>
        <v>1.4067864083310727E-4</v>
      </c>
      <c r="F9" s="521">
        <f>'IPPU Summary_old format'!F8-'[2]IPPU Summary'!F8</f>
        <v>0</v>
      </c>
      <c r="G9" s="521">
        <f>'IPPU Summary_old format'!G8-'[2]IPPU Summary'!G8</f>
        <v>1.4074934133172408E-4</v>
      </c>
      <c r="H9" s="521">
        <f>'IPPU Summary_old format'!H8-'[2]IPPU Summary'!H8</f>
        <v>6.1490435613295533E-6</v>
      </c>
      <c r="I9" s="521">
        <f>'IPPU Summary_old format'!I8-'[2]IPPU Summary'!I8</f>
        <v>0</v>
      </c>
      <c r="J9" s="521">
        <f>'IPPU Summary_old format'!J8-'[2]IPPU Summary'!J8</f>
        <v>0</v>
      </c>
      <c r="K9" s="521">
        <f>'IPPU Summary_old format'!K8-'[2]IPPU Summary'!K8</f>
        <v>-3.9379318586334477E-2</v>
      </c>
      <c r="L9" s="521">
        <f>'IPPU Summary_old format'!L8-'[2]IPPU Summary'!L8</f>
        <v>0</v>
      </c>
      <c r="M9" s="521">
        <f>'IPPU Summary_old format'!M8-'[2]IPPU Summary'!M8</f>
        <v>-3.9373169542773145E-2</v>
      </c>
      <c r="N9" s="521">
        <f>'IPPU Summary_old format'!N8-'[2]IPPU Summary'!N8</f>
        <v>6.8611634966690673E-6</v>
      </c>
      <c r="O9" s="521">
        <f>'IPPU Summary_old format'!O8-'[2]IPPU Summary'!O8</f>
        <v>0</v>
      </c>
      <c r="P9" s="521">
        <f>'IPPU Summary_old format'!P8-'[2]IPPU Summary'!P8</f>
        <v>0</v>
      </c>
      <c r="Q9" s="521">
        <f>'IPPU Summary_old format'!Q8-'[2]IPPU Summary'!Q8</f>
        <v>-4.410545383088027E-2</v>
      </c>
      <c r="R9" s="521">
        <f>'IPPU Summary_old format'!R8-'[2]IPPU Summary'!R8</f>
        <v>0</v>
      </c>
      <c r="S9" s="521">
        <f>'IPPU Summary_old format'!S8-'[2]IPPU Summary'!S8</f>
        <v>-4.4098592667383585E-2</v>
      </c>
      <c r="T9" s="521">
        <f>'IPPU Summary_old format'!T8-'[2]IPPU Summary'!T8</f>
        <v>8.9617885042643091E-6</v>
      </c>
      <c r="U9" s="521">
        <f>'IPPU Summary_old format'!U8-'[2]IPPU Summary'!U8</f>
        <v>0</v>
      </c>
      <c r="V9" s="521">
        <f>'IPPU Summary_old format'!V8-'[2]IPPU Summary'!V8</f>
        <v>0</v>
      </c>
      <c r="W9" s="521">
        <f>'IPPU Summary_old format'!W8-'[2]IPPU Summary'!W8</f>
        <v>-5.4007975098691929E-2</v>
      </c>
      <c r="X9" s="521">
        <f>'IPPU Summary_old format'!X8-'[2]IPPU Summary'!X8</f>
        <v>0</v>
      </c>
      <c r="Y9" s="521">
        <f>'IPPU Summary_old format'!Y8-'[2]IPPU Summary'!Y8</f>
        <v>-5.3999013310187638E-2</v>
      </c>
      <c r="Z9" s="521">
        <f>'IPPU Summary_old format'!Z8-'[2]IPPU Summary'!Z8</f>
        <v>1.2638775544916968E-5</v>
      </c>
      <c r="AA9" s="521">
        <f>'IPPU Summary_old format'!AA8-'[2]IPPU Summary'!AA8</f>
        <v>0</v>
      </c>
      <c r="AB9" s="521">
        <f>'IPPU Summary_old format'!AB8-'[2]IPPU Summary'!AB8</f>
        <v>0</v>
      </c>
      <c r="AC9" s="521">
        <f>'IPPU Summary_old format'!AC8-'[2]IPPU Summary'!AC8</f>
        <v>-5.0193482644726561E-2</v>
      </c>
      <c r="AD9" s="521">
        <f>'IPPU Summary_old format'!AD8-'[2]IPPU Summary'!AD8</f>
        <v>0</v>
      </c>
      <c r="AE9" s="521">
        <f>'IPPU Summary_old format'!AE8-'[2]IPPU Summary'!AE8</f>
        <v>-5.0180843869181646E-2</v>
      </c>
      <c r="AF9" s="521">
        <f>'IPPU Summary_old format'!AF8-'[2]IPPU Summary'!AF8</f>
        <v>1.3507016175364299E-5</v>
      </c>
      <c r="AG9" s="521">
        <f>'IPPU Summary_old format'!AG8-'[2]IPPU Summary'!AG8</f>
        <v>0</v>
      </c>
      <c r="AH9" s="521">
        <f>'IPPU Summary_old format'!AH8-'[2]IPPU Summary'!AH8</f>
        <v>0</v>
      </c>
      <c r="AI9" s="521">
        <f>'IPPU Summary_old format'!AI8-'[2]IPPU Summary'!AI8</f>
        <v>-4.2102655072542738E-2</v>
      </c>
      <c r="AJ9" s="521">
        <f>'IPPU Summary_old format'!AJ8-'[2]IPPU Summary'!AJ8</f>
        <v>0</v>
      </c>
      <c r="AK9" s="521">
        <f>'IPPU Summary_old format'!AK8-'[2]IPPU Summary'!AK8</f>
        <v>-4.208914805636732E-2</v>
      </c>
      <c r="AL9" s="521">
        <f>'IPPU Summary_old format'!AL8-'[2]IPPU Summary'!AL8</f>
        <v>1.4415347511563672E-5</v>
      </c>
      <c r="AM9" s="521">
        <f>'IPPU Summary_old format'!AM8-'[2]IPPU Summary'!AM8</f>
        <v>0</v>
      </c>
      <c r="AN9" s="521">
        <f>'IPPU Summary_old format'!AN8-'[2]IPPU Summary'!AN8</f>
        <v>0</v>
      </c>
      <c r="AO9" s="521">
        <f>'IPPU Summary_old format'!AO8-'[2]IPPU Summary'!AO8</f>
        <v>-3.4691779365975894E-2</v>
      </c>
      <c r="AP9" s="521">
        <f>'IPPU Summary_old format'!AP8-'[2]IPPU Summary'!AP8</f>
        <v>0</v>
      </c>
      <c r="AQ9" s="521">
        <f>'IPPU Summary_old format'!AQ8-'[2]IPPU Summary'!AQ8</f>
        <v>-3.4677364018464329E-2</v>
      </c>
      <c r="AR9" s="521">
        <f>'IPPU Summary_old format'!AR8-'[2]IPPU Summary'!AR8</f>
        <v>1.5472406064412486E-5</v>
      </c>
      <c r="AS9" s="521">
        <f>'IPPU Summary_old format'!AS8-'[2]IPPU Summary'!AS8</f>
        <v>0</v>
      </c>
      <c r="AT9" s="521">
        <f>'IPPU Summary_old format'!AT8-'[2]IPPU Summary'!AT8</f>
        <v>0</v>
      </c>
      <c r="AU9" s="521">
        <f>'IPPU Summary_old format'!AU8-'[2]IPPU Summary'!AU8</f>
        <v>-2.8863301825822973E-2</v>
      </c>
      <c r="AV9" s="521">
        <f>'IPPU Summary_old format'!AV8-'[2]IPPU Summary'!AV8</f>
        <v>0</v>
      </c>
      <c r="AW9" s="521">
        <f>'IPPU Summary_old format'!AW8-'[2]IPPU Summary'!AW8</f>
        <v>-2.8847829419758608E-2</v>
      </c>
      <c r="AX9" s="521">
        <f>'IPPU Summary_old format'!AX8-'[2]IPPU Summary'!AX8</f>
        <v>1.6401554035510345E-5</v>
      </c>
      <c r="AY9" s="521">
        <f>'IPPU Summary_old format'!AY8-'[2]IPPU Summary'!AY8</f>
        <v>0</v>
      </c>
      <c r="AZ9" s="521">
        <f>'IPPU Summary_old format'!AZ8-'[2]IPPU Summary'!AZ8</f>
        <v>0</v>
      </c>
      <c r="BA9" s="521">
        <f>'IPPU Summary_old format'!BA8-'[2]IPPU Summary'!BA8</f>
        <v>-2.6330070429478658E-2</v>
      </c>
      <c r="BB9" s="521">
        <f>'IPPU Summary_old format'!BB8-'[2]IPPU Summary'!BB8</f>
        <v>0</v>
      </c>
      <c r="BC9" s="521">
        <f>'IPPU Summary_old format'!BC8-'[2]IPPU Summary'!BC8</f>
        <v>-2.6313668875443175E-2</v>
      </c>
      <c r="BD9" s="521" t="s">
        <v>80</v>
      </c>
      <c r="BE9" s="521" t="s">
        <v>80</v>
      </c>
      <c r="BF9" s="521" t="s">
        <v>80</v>
      </c>
      <c r="BG9" s="521" t="s">
        <v>80</v>
      </c>
      <c r="BH9" s="521" t="s">
        <v>80</v>
      </c>
      <c r="BI9" s="521" t="s">
        <v>80</v>
      </c>
      <c r="BJ9" s="521" t="s">
        <v>80</v>
      </c>
      <c r="BK9" s="521" t="s">
        <v>80</v>
      </c>
      <c r="BL9" s="521" t="s">
        <v>80</v>
      </c>
      <c r="BM9" s="521" t="s">
        <v>80</v>
      </c>
      <c r="BN9" s="521" t="s">
        <v>80</v>
      </c>
      <c r="BO9" s="521" t="s">
        <v>80</v>
      </c>
    </row>
    <row r="10" spans="1:67">
      <c r="A10" s="173" t="s">
        <v>49</v>
      </c>
      <c r="B10" s="521">
        <f>'IPPU Summary_old format'!B9-'[2]IPPU Summary'!B9</f>
        <v>7.070049862223371E-8</v>
      </c>
      <c r="C10" s="521">
        <f>'IPPU Summary_old format'!C9-'[2]IPPU Summary'!C9</f>
        <v>0</v>
      </c>
      <c r="D10" s="521">
        <f>'IPPU Summary_old format'!D9-'[2]IPPU Summary'!D9</f>
        <v>0</v>
      </c>
      <c r="E10" s="521">
        <f>'IPPU Summary_old format'!E9-'[2]IPPU Summary'!E9</f>
        <v>1.4342338932722578E-4</v>
      </c>
      <c r="F10" s="521">
        <f>'IPPU Summary_old format'!F9-'[2]IPPU Summary'!F9</f>
        <v>4.7308959553778868E-3</v>
      </c>
      <c r="G10" s="521">
        <f>'IPPU Summary_old format'!G9-'[2]IPPU Summary'!G9</f>
        <v>4.8743900452037359E-3</v>
      </c>
      <c r="H10" s="521">
        <f>'IPPU Summary_old format'!H9-'[2]IPPU Summary'!H9</f>
        <v>6.1490435613295533E-6</v>
      </c>
      <c r="I10" s="521">
        <f>'IPPU Summary_old format'!I9-'[2]IPPU Summary'!I9</f>
        <v>0</v>
      </c>
      <c r="J10" s="521">
        <f>'IPPU Summary_old format'!J9-'[2]IPPU Summary'!J9</f>
        <v>0</v>
      </c>
      <c r="K10" s="521">
        <f>'IPPU Summary_old format'!K9-'[2]IPPU Summary'!K9</f>
        <v>-3.9373805503122028E-2</v>
      </c>
      <c r="L10" s="521">
        <f>'IPPU Summary_old format'!L9-'[2]IPPU Summary'!L9</f>
        <v>1.0212558481411629E-2</v>
      </c>
      <c r="M10" s="521">
        <f>'IPPU Summary_old format'!M9-'[2]IPPU Summary'!M9</f>
        <v>-2.9155097978149025E-2</v>
      </c>
      <c r="N10" s="521">
        <f>'IPPU Summary_old format'!N9-'[2]IPPU Summary'!N9</f>
        <v>6.8611634966690673E-6</v>
      </c>
      <c r="O10" s="521">
        <f>'IPPU Summary_old format'!O9-'[2]IPPU Summary'!O9</f>
        <v>0</v>
      </c>
      <c r="P10" s="521">
        <f>'IPPU Summary_old format'!P9-'[2]IPPU Summary'!P9</f>
        <v>0</v>
      </c>
      <c r="Q10" s="521">
        <f>'IPPU Summary_old format'!Q9-'[2]IPPU Summary'!Q9</f>
        <v>-4.4101305185674344E-2</v>
      </c>
      <c r="R10" s="521">
        <f>'IPPU Summary_old format'!R9-'[2]IPPU Summary'!R9</f>
        <v>1.1095332471679001E-2</v>
      </c>
      <c r="S10" s="521">
        <f>'IPPU Summary_old format'!S9-'[2]IPPU Summary'!S9</f>
        <v>-3.2999111550498728E-2</v>
      </c>
      <c r="T10" s="521">
        <f>'IPPU Summary_old format'!T9-'[2]IPPU Summary'!T9</f>
        <v>8.9617885042643091E-6</v>
      </c>
      <c r="U10" s="521">
        <f>'IPPU Summary_old format'!U9-'[2]IPPU Summary'!U9</f>
        <v>0</v>
      </c>
      <c r="V10" s="521">
        <f>'IPPU Summary_old format'!V9-'[2]IPPU Summary'!V9</f>
        <v>0</v>
      </c>
      <c r="W10" s="521">
        <f>'IPPU Summary_old format'!W9-'[2]IPPU Summary'!W9</f>
        <v>-5.4003809398708524E-2</v>
      </c>
      <c r="X10" s="521">
        <f>'IPPU Summary_old format'!X9-'[2]IPPU Summary'!X9</f>
        <v>5.6928398407269671E-3</v>
      </c>
      <c r="Y10" s="521">
        <f>'IPPU Summary_old format'!Y9-'[2]IPPU Summary'!Y9</f>
        <v>-4.830200776947724E-2</v>
      </c>
      <c r="Z10" s="521">
        <f>'IPPU Summary_old format'!Z9-'[2]IPPU Summary'!Z9</f>
        <v>1.2638775544916968E-5</v>
      </c>
      <c r="AA10" s="521">
        <f>'IPPU Summary_old format'!AA9-'[2]IPPU Summary'!AA9</f>
        <v>0</v>
      </c>
      <c r="AB10" s="521">
        <f>'IPPU Summary_old format'!AB9-'[2]IPPU Summary'!AB9</f>
        <v>0</v>
      </c>
      <c r="AC10" s="521">
        <f>'IPPU Summary_old format'!AC9-'[2]IPPU Summary'!AC9</f>
        <v>-5.0193482644726561E-2</v>
      </c>
      <c r="AD10" s="521">
        <f>'IPPU Summary_old format'!AD9-'[2]IPPU Summary'!AD9</f>
        <v>3.8359742290673612E-3</v>
      </c>
      <c r="AE10" s="521">
        <f>'IPPU Summary_old format'!AE9-'[2]IPPU Summary'!AE9</f>
        <v>-4.6344869640114195E-2</v>
      </c>
      <c r="AF10" s="521">
        <f>'IPPU Summary_old format'!AF9-'[2]IPPU Summary'!AF9</f>
        <v>1.3507016175364299E-5</v>
      </c>
      <c r="AG10" s="521">
        <f>'IPPU Summary_old format'!AG9-'[2]IPPU Summary'!AG9</f>
        <v>0</v>
      </c>
      <c r="AH10" s="521">
        <f>'IPPU Summary_old format'!AH9-'[2]IPPU Summary'!AH9</f>
        <v>0</v>
      </c>
      <c r="AI10" s="521">
        <f>'IPPU Summary_old format'!AI9-'[2]IPPU Summary'!AI9</f>
        <v>-4.210195320737542E-2</v>
      </c>
      <c r="AJ10" s="521">
        <f>'IPPU Summary_old format'!AJ9-'[2]IPPU Summary'!AJ9</f>
        <v>3.3253994543482133E-3</v>
      </c>
      <c r="AK10" s="521">
        <f>'IPPU Summary_old format'!AK9-'[2]IPPU Summary'!AK9</f>
        <v>-3.8763046736851714E-2</v>
      </c>
      <c r="AL10" s="521">
        <f>'IPPU Summary_old format'!AL9-'[2]IPPU Summary'!AL9</f>
        <v>1.4415347511563672E-5</v>
      </c>
      <c r="AM10" s="521">
        <f>'IPPU Summary_old format'!AM9-'[2]IPPU Summary'!AM9</f>
        <v>0</v>
      </c>
      <c r="AN10" s="521">
        <f>'IPPU Summary_old format'!AN9-'[2]IPPU Summary'!AN9</f>
        <v>0</v>
      </c>
      <c r="AO10" s="521">
        <f>'IPPU Summary_old format'!AO9-'[2]IPPU Summary'!AO9</f>
        <v>-3.4691587413035796E-2</v>
      </c>
      <c r="AP10" s="521">
        <f>'IPPU Summary_old format'!AP9-'[2]IPPU Summary'!AP9</f>
        <v>2.8133527488807576E-3</v>
      </c>
      <c r="AQ10" s="521">
        <f>'IPPU Summary_old format'!AQ9-'[2]IPPU Summary'!AQ9</f>
        <v>-3.1863819316643394E-2</v>
      </c>
      <c r="AR10" s="521">
        <f>'IPPU Summary_old format'!AR9-'[2]IPPU Summary'!AR9</f>
        <v>1.5472406064412486E-5</v>
      </c>
      <c r="AS10" s="521">
        <f>'IPPU Summary_old format'!AS9-'[2]IPPU Summary'!AS9</f>
        <v>0</v>
      </c>
      <c r="AT10" s="521">
        <f>'IPPU Summary_old format'!AT9-'[2]IPPU Summary'!AT9</f>
        <v>0</v>
      </c>
      <c r="AU10" s="521">
        <f>'IPPU Summary_old format'!AU9-'[2]IPPU Summary'!AU9</f>
        <v>-2.8863301825822973E-2</v>
      </c>
      <c r="AV10" s="521">
        <f>'IPPU Summary_old format'!AV9-'[2]IPPU Summary'!AV9</f>
        <v>2.593649899238425E-3</v>
      </c>
      <c r="AW10" s="521">
        <f>'IPPU Summary_old format'!AW9-'[2]IPPU Summary'!AW9</f>
        <v>-2.6254179520520227E-2</v>
      </c>
      <c r="AX10" s="521">
        <f>'IPPU Summary_old format'!AX9-'[2]IPPU Summary'!AX9</f>
        <v>1.6401554035510345E-5</v>
      </c>
      <c r="AY10" s="521">
        <f>'IPPU Summary_old format'!AY9-'[2]IPPU Summary'!AY9</f>
        <v>0</v>
      </c>
      <c r="AZ10" s="521">
        <f>'IPPU Summary_old format'!AZ9-'[2]IPPU Summary'!AZ9</f>
        <v>0</v>
      </c>
      <c r="BA10" s="521">
        <f>'IPPU Summary_old format'!BA9-'[2]IPPU Summary'!BA9</f>
        <v>-2.6329042855631535E-2</v>
      </c>
      <c r="BB10" s="521">
        <f>'IPPU Summary_old format'!BB9-'[2]IPPU Summary'!BB9</f>
        <v>4.4973152700526955E-3</v>
      </c>
      <c r="BC10" s="521">
        <f>'IPPU Summary_old format'!BC9-'[2]IPPU Summary'!BC9</f>
        <v>-2.1815326031543347E-2</v>
      </c>
      <c r="BD10" s="521" t="s">
        <v>80</v>
      </c>
      <c r="BE10" s="521" t="s">
        <v>80</v>
      </c>
      <c r="BF10" s="521" t="s">
        <v>80</v>
      </c>
      <c r="BG10" s="521" t="s">
        <v>80</v>
      </c>
      <c r="BH10" s="521" t="s">
        <v>80</v>
      </c>
      <c r="BI10" s="521" t="s">
        <v>80</v>
      </c>
      <c r="BJ10" s="521" t="s">
        <v>80</v>
      </c>
      <c r="BK10" s="521" t="s">
        <v>80</v>
      </c>
      <c r="BL10" s="521" t="s">
        <v>80</v>
      </c>
      <c r="BM10" s="521" t="s">
        <v>80</v>
      </c>
      <c r="BN10" s="521" t="s">
        <v>80</v>
      </c>
      <c r="BO10" s="521" t="s">
        <v>80</v>
      </c>
    </row>
    <row r="11" spans="1:67">
      <c r="G11" s="574"/>
    </row>
    <row r="12" spans="1:67">
      <c r="G12" s="574"/>
    </row>
    <row r="17" spans="1:12">
      <c r="A17" s="533" t="s">
        <v>75</v>
      </c>
      <c r="B17" s="68">
        <v>1990</v>
      </c>
      <c r="C17" s="68">
        <v>2005</v>
      </c>
      <c r="D17" s="68">
        <v>2007</v>
      </c>
      <c r="E17" s="68">
        <v>2010</v>
      </c>
      <c r="F17" s="68">
        <v>2015</v>
      </c>
      <c r="G17" s="68">
        <v>2016</v>
      </c>
      <c r="H17" s="68">
        <v>2017</v>
      </c>
      <c r="I17" s="68">
        <v>2018</v>
      </c>
      <c r="J17" s="68">
        <v>2019</v>
      </c>
      <c r="K17" s="68">
        <v>2020</v>
      </c>
      <c r="L17" s="68">
        <v>2021</v>
      </c>
    </row>
    <row r="18" spans="1:12">
      <c r="A18" s="159" t="s">
        <v>76</v>
      </c>
      <c r="B18" s="521">
        <f>'ODS Subs'!D12-'[2]ODS Subs'!D12</f>
        <v>0</v>
      </c>
      <c r="C18" s="521">
        <f>'ODS Subs'!E12-'[2]ODS Subs'!E12</f>
        <v>-3.5115663605230163E-2</v>
      </c>
      <c r="D18" s="521">
        <f>'ODS Subs'!F12-'[2]ODS Subs'!F12</f>
        <v>-3.7050243192992716E-2</v>
      </c>
      <c r="E18" s="521">
        <f>'ODS Subs'!G12-'[2]ODS Subs'!G12</f>
        <v>-3.9799572271459582E-2</v>
      </c>
      <c r="F18" s="521">
        <f>'ODS Subs'!H12-'[2]ODS Subs'!H12</f>
        <v>-4.282541257007455E-2</v>
      </c>
      <c r="G18" s="521">
        <f>'ODS Subs'!I12-'[2]ODS Subs'!I12</f>
        <v>-4.2842672453397762E-2</v>
      </c>
      <c r="H18" s="521">
        <f>'ODS Subs'!J12-'[2]ODS Subs'!J12</f>
        <v>-4.3696909979659859E-2</v>
      </c>
      <c r="I18" s="521">
        <f>'ODS Subs'!K12-'[2]ODS Subs'!K12</f>
        <v>-4.5266385910481932E-2</v>
      </c>
      <c r="J18" s="521">
        <f>'ODS Subs'!L12-'[2]ODS Subs'!L12</f>
        <v>-4.6652881304297497E-2</v>
      </c>
      <c r="K18" s="521" t="s">
        <v>80</v>
      </c>
      <c r="L18" s="521" t="s">
        <v>80</v>
      </c>
    </row>
    <row r="19" spans="1:12">
      <c r="A19" s="159" t="s">
        <v>77</v>
      </c>
      <c r="B19" s="521">
        <f>'ODS Subs'!D21-'[2]ODS Subs'!D21</f>
        <v>5.3390560918985171E-5</v>
      </c>
      <c r="C19" s="521">
        <f>'ODS Subs'!E21-'[2]ODS Subs'!E21</f>
        <v>-3.723685776346404E-2</v>
      </c>
      <c r="D19" s="521">
        <f>'ODS Subs'!F21-'[2]ODS Subs'!F21</f>
        <v>-5.2497429457499793E-2</v>
      </c>
      <c r="E19" s="521">
        <f>'ODS Subs'!G21-'[2]ODS Subs'!G21</f>
        <v>-8.4018945026705288E-2</v>
      </c>
      <c r="F19" s="521">
        <f>'ODS Subs'!H21-'[2]ODS Subs'!H21</f>
        <v>-9.4725413881538573E-2</v>
      </c>
      <c r="G19" s="521">
        <f>'ODS Subs'!I21-'[2]ODS Subs'!I21</f>
        <v>-8.6682136070607152E-2</v>
      </c>
      <c r="H19" s="521">
        <f>'ODS Subs'!J21-'[2]ODS Subs'!J21</f>
        <v>-7.4933993697678114E-2</v>
      </c>
      <c r="I19" s="521">
        <f>'ODS Subs'!K21-'[2]ODS Subs'!K21</f>
        <v>-6.4321810532621398E-2</v>
      </c>
      <c r="J19" s="521">
        <f>'ODS Subs'!L21-'[2]ODS Subs'!L21</f>
        <v>-5.823105136202042E-2</v>
      </c>
      <c r="K19" s="521" t="s">
        <v>80</v>
      </c>
      <c r="L19" s="521" t="s">
        <v>80</v>
      </c>
    </row>
    <row r="20" spans="1:12">
      <c r="A20" s="159" t="s">
        <v>78</v>
      </c>
      <c r="B20" s="521">
        <f>'ODS Subs'!D27-'[2]ODS Subs'!D27</f>
        <v>8.7358780412739043E-5</v>
      </c>
      <c r="C20" s="521">
        <f>'ODS Subs'!E27-'[2]ODS Subs'!E27</f>
        <v>3.2979351825921072E-2</v>
      </c>
      <c r="D20" s="521">
        <f>'ODS Subs'!F27-'[2]ODS Subs'!F27</f>
        <v>4.5449079983108986E-2</v>
      </c>
      <c r="E20" s="521">
        <f>'ODS Subs'!G27-'[2]ODS Subs'!G27</f>
        <v>6.981950398797715E-2</v>
      </c>
      <c r="F20" s="521">
        <f>'ODS Subs'!H27-'[2]ODS Subs'!H27</f>
        <v>8.7369982582431338E-2</v>
      </c>
      <c r="G20" s="521">
        <f>'ODS Subs'!I27-'[2]ODS Subs'!I27</f>
        <v>8.743566046763751E-2</v>
      </c>
      <c r="H20" s="521">
        <f>'ODS Subs'!J27-'[2]ODS Subs'!J27</f>
        <v>8.3953539658873755E-2</v>
      </c>
      <c r="I20" s="521">
        <f>'ODS Subs'!K27-'[2]ODS Subs'!K27</f>
        <v>8.0740367023344695E-2</v>
      </c>
      <c r="J20" s="521">
        <f>'ODS Subs'!L27-'[2]ODS Subs'!L27</f>
        <v>7.8570263790874895E-2</v>
      </c>
      <c r="K20" s="521" t="s">
        <v>80</v>
      </c>
      <c r="L20" s="521" t="s">
        <v>80</v>
      </c>
    </row>
  </sheetData>
  <mergeCells count="11">
    <mergeCell ref="AL5:AQ5"/>
    <mergeCell ref="AR5:AW5"/>
    <mergeCell ref="AX5:BC5"/>
    <mergeCell ref="BD5:BI5"/>
    <mergeCell ref="BJ5:BO5"/>
    <mergeCell ref="AF5:AK5"/>
    <mergeCell ref="B5:G5"/>
    <mergeCell ref="H5:M5"/>
    <mergeCell ref="N5:S5"/>
    <mergeCell ref="T5:Y5"/>
    <mergeCell ref="Z5:AE5"/>
  </mergeCells>
  <conditionalFormatting sqref="B18:J20">
    <cfRule type="cellIs" dxfId="25" priority="1" operator="lessThan">
      <formula>-0.002</formula>
    </cfRule>
    <cfRule type="cellIs" dxfId="24" priority="2" operator="greaterThan">
      <formula>0.002</formula>
    </cfRule>
  </conditionalFormatting>
  <conditionalFormatting sqref="B7:BC10">
    <cfRule type="cellIs" dxfId="23" priority="7" operator="lessThan">
      <formula>-0.002</formula>
    </cfRule>
    <cfRule type="cellIs" dxfId="22" priority="9" operator="greaterThan">
      <formula>0.002</formula>
    </cfRule>
  </conditionalFormatting>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indexed="36"/>
  </sheetPr>
  <dimension ref="A1:BV16"/>
  <sheetViews>
    <sheetView workbookViewId="0"/>
  </sheetViews>
  <sheetFormatPr defaultColWidth="9.42578125" defaultRowHeight="12.75"/>
  <cols>
    <col min="1" max="1" width="36.42578125" style="289" customWidth="1"/>
    <col min="2" max="2" width="5.5703125" style="289" customWidth="1"/>
    <col min="3" max="4" width="4.5703125" style="289" customWidth="1"/>
    <col min="5" max="5" width="10.28515625" style="289" customWidth="1"/>
    <col min="6" max="6" width="5.5703125" style="289" customWidth="1"/>
    <col min="7" max="7" width="9.42578125" style="289" customWidth="1"/>
    <col min="8" max="10" width="5.5703125" style="289" customWidth="1"/>
    <col min="11" max="11" width="9.5703125" style="289" customWidth="1"/>
    <col min="12" max="13" width="5.5703125" style="289" customWidth="1"/>
    <col min="14" max="14" width="5.140625" style="289" bestFit="1" customWidth="1"/>
    <col min="15" max="16" width="4.5703125" style="289" customWidth="1"/>
    <col min="17" max="17" width="10.5703125" style="289" customWidth="1"/>
    <col min="18" max="19" width="5.5703125" style="289" customWidth="1"/>
    <col min="20" max="20" width="5.140625" style="289" bestFit="1" customWidth="1"/>
    <col min="21" max="22" width="4.5703125" style="289" customWidth="1"/>
    <col min="23" max="23" width="10.28515625" style="289" customWidth="1"/>
    <col min="24" max="25" width="5.5703125" style="289" customWidth="1"/>
    <col min="26" max="26" width="5.140625" style="289" bestFit="1" customWidth="1"/>
    <col min="27" max="28" width="4.5703125" style="289" customWidth="1"/>
    <col min="29" max="29" width="10.28515625" style="289" customWidth="1"/>
    <col min="30" max="31" width="5.5703125" style="289" customWidth="1"/>
    <col min="32" max="32" width="5.140625" style="289" bestFit="1" customWidth="1"/>
    <col min="33" max="34" width="4.5703125" style="289" bestFit="1" customWidth="1"/>
    <col min="35" max="35" width="10.42578125" style="289" customWidth="1"/>
    <col min="36" max="37" width="6.7109375" style="289" customWidth="1"/>
    <col min="38" max="38" width="5.140625" style="289" bestFit="1" customWidth="1"/>
    <col min="39" max="40" width="4.5703125" style="289" bestFit="1" customWidth="1"/>
    <col min="41" max="41" width="10.5703125" style="289" customWidth="1"/>
    <col min="42" max="43" width="5.5703125" style="289" bestFit="1" customWidth="1"/>
    <col min="44" max="44" width="5.140625" style="289" bestFit="1" customWidth="1"/>
    <col min="45" max="46" width="4.5703125" style="289" bestFit="1" customWidth="1"/>
    <col min="47" max="47" width="9.42578125" style="289"/>
    <col min="48" max="48" width="5.42578125" style="289" bestFit="1" customWidth="1"/>
    <col min="49" max="49" width="15.5703125" style="289" customWidth="1"/>
    <col min="50" max="50" width="5.140625" style="289" bestFit="1" customWidth="1"/>
    <col min="51" max="52" width="4.5703125" style="289" bestFit="1" customWidth="1"/>
    <col min="53" max="53" width="9.42578125" style="289"/>
    <col min="54" max="55" width="5.42578125" style="289" bestFit="1" customWidth="1"/>
    <col min="56" max="56" width="6.85546875" style="289" customWidth="1"/>
    <col min="57" max="58" width="4.42578125" style="289" bestFit="1" customWidth="1"/>
    <col min="59" max="59" width="9.42578125" style="289" bestFit="1" customWidth="1"/>
    <col min="60" max="61" width="5.28515625" style="289" bestFit="1" customWidth="1"/>
    <col min="62" max="62" width="8.85546875" style="289" customWidth="1"/>
    <col min="63" max="63" width="14.7109375" style="289" customWidth="1"/>
    <col min="64" max="64" width="4.42578125" style="289" bestFit="1" customWidth="1"/>
    <col min="65" max="65" width="19.42578125" style="289" customWidth="1"/>
    <col min="66" max="67" width="21.85546875" style="289" customWidth="1"/>
    <col min="68" max="68" width="8.85546875" style="289" customWidth="1"/>
    <col min="69" max="69" width="14.7109375" style="289" customWidth="1"/>
    <col min="70" max="70" width="4.7109375" style="289" bestFit="1" customWidth="1"/>
    <col min="71" max="71" width="19.42578125" style="289" customWidth="1"/>
    <col min="72" max="73" width="21.85546875" style="289" customWidth="1"/>
    <col min="74" max="16384" width="9.42578125" style="289"/>
  </cols>
  <sheetData>
    <row r="1" spans="1:74" s="287" customFormat="1" ht="22.5" customHeight="1">
      <c r="A1" s="344" t="s">
        <v>65</v>
      </c>
      <c r="B1" s="163"/>
      <c r="C1" s="163"/>
      <c r="D1" s="163"/>
      <c r="E1" s="163"/>
      <c r="F1" s="164"/>
      <c r="G1" s="164"/>
      <c r="H1" s="164"/>
      <c r="I1" s="164"/>
      <c r="J1" s="164"/>
      <c r="K1" s="164"/>
      <c r="L1" s="164"/>
      <c r="M1" s="164"/>
      <c r="N1" s="163"/>
      <c r="O1" s="163"/>
      <c r="P1" s="163"/>
      <c r="Q1" s="163"/>
      <c r="R1" s="163"/>
      <c r="S1" s="163"/>
      <c r="T1" s="163"/>
      <c r="U1" s="163"/>
      <c r="V1" s="163"/>
      <c r="W1" s="163"/>
      <c r="X1" s="163"/>
      <c r="Y1" s="163"/>
      <c r="Z1" s="163"/>
      <c r="AA1" s="163"/>
      <c r="AB1" s="163"/>
      <c r="AC1" s="163"/>
      <c r="AD1" s="163"/>
      <c r="AE1" s="163"/>
      <c r="AF1" s="163"/>
      <c r="AG1" s="163"/>
      <c r="AH1" s="163"/>
      <c r="AI1" s="163"/>
      <c r="AJ1" s="163"/>
      <c r="AK1" s="163"/>
      <c r="AL1" s="163"/>
      <c r="AM1" s="163"/>
      <c r="AN1" s="163"/>
      <c r="AO1" s="163"/>
      <c r="AP1" s="163"/>
      <c r="AQ1" s="163"/>
      <c r="AR1" s="163"/>
      <c r="AS1" s="163"/>
      <c r="AT1" s="163"/>
      <c r="AU1" s="163"/>
      <c r="AV1" s="163"/>
      <c r="AW1" s="163"/>
      <c r="AX1" s="163"/>
      <c r="AY1" s="163"/>
      <c r="AZ1" s="163"/>
      <c r="BA1" s="163"/>
      <c r="BB1" s="163"/>
      <c r="BC1" s="163"/>
      <c r="BD1" s="163"/>
      <c r="BE1" s="163"/>
      <c r="BF1" s="163"/>
      <c r="BG1" s="163"/>
      <c r="BH1" s="163"/>
      <c r="BI1" s="163"/>
      <c r="BJ1" s="163"/>
      <c r="BK1" s="163"/>
      <c r="BL1" s="163"/>
      <c r="BM1" s="163"/>
      <c r="BN1" s="163"/>
      <c r="BO1" s="163"/>
      <c r="BP1" s="163"/>
      <c r="BQ1" s="163"/>
      <c r="BR1" s="163"/>
      <c r="BS1" s="163"/>
      <c r="BT1" s="163"/>
      <c r="BU1" s="163"/>
      <c r="BV1" s="163"/>
    </row>
    <row r="3" spans="1:74">
      <c r="A3" s="43" t="s">
        <v>66</v>
      </c>
      <c r="B3" s="42"/>
      <c r="C3" s="42"/>
      <c r="D3" s="42"/>
      <c r="E3" s="42"/>
      <c r="F3" s="42"/>
      <c r="G3" s="42"/>
      <c r="H3" s="42"/>
      <c r="I3" s="42"/>
      <c r="J3" s="42"/>
      <c r="K3" s="42"/>
      <c r="L3" s="42"/>
      <c r="M3" s="42"/>
      <c r="N3" s="42"/>
      <c r="O3" s="42"/>
      <c r="P3" s="42"/>
      <c r="Q3" s="42"/>
      <c r="R3" s="42"/>
      <c r="S3" s="42"/>
      <c r="T3" s="42"/>
      <c r="U3" s="42"/>
      <c r="V3" s="42"/>
      <c r="W3" s="42"/>
      <c r="X3" s="42"/>
      <c r="Y3" s="42"/>
      <c r="Z3" s="42"/>
      <c r="AA3" s="42"/>
      <c r="AB3" s="42"/>
      <c r="AC3" s="42"/>
      <c r="AD3" s="42"/>
      <c r="AE3" s="42"/>
      <c r="AF3" s="42"/>
      <c r="AG3" s="42"/>
      <c r="AH3" s="42"/>
      <c r="AI3" s="42"/>
      <c r="AJ3" s="42"/>
      <c r="AK3" s="42"/>
      <c r="AL3" s="42"/>
      <c r="AM3" s="42"/>
      <c r="AN3" s="42"/>
      <c r="AO3" s="42"/>
      <c r="AP3" s="42"/>
      <c r="AQ3" s="42"/>
      <c r="AR3" s="42"/>
      <c r="AS3" s="42"/>
      <c r="AT3" s="42"/>
      <c r="AU3" s="42"/>
      <c r="AV3" s="42"/>
      <c r="AW3" s="42"/>
      <c r="AX3" s="42"/>
      <c r="AY3" s="42"/>
      <c r="AZ3" s="42"/>
      <c r="BA3" s="42"/>
      <c r="BB3" s="42"/>
      <c r="BC3" s="42"/>
      <c r="BD3" s="42"/>
      <c r="BE3" s="42"/>
      <c r="BF3" s="42"/>
      <c r="BG3" s="42"/>
      <c r="BH3" s="42"/>
      <c r="BI3" s="42"/>
      <c r="BJ3" s="42"/>
      <c r="BK3" s="42"/>
      <c r="BL3" s="42"/>
      <c r="BM3" s="42"/>
      <c r="BN3" s="42"/>
      <c r="BO3" s="42"/>
      <c r="BP3" s="42"/>
      <c r="BQ3" s="42"/>
      <c r="BR3" s="42"/>
      <c r="BS3" s="42"/>
      <c r="BT3" s="42"/>
      <c r="BU3" s="42"/>
      <c r="BV3" s="42"/>
    </row>
    <row r="4" spans="1:74" s="288" customFormat="1">
      <c r="A4" s="165"/>
      <c r="B4" s="593">
        <v>1990</v>
      </c>
      <c r="C4" s="594"/>
      <c r="D4" s="594"/>
      <c r="E4" s="594"/>
      <c r="F4" s="594"/>
      <c r="G4" s="595"/>
      <c r="H4" s="593">
        <v>2005</v>
      </c>
      <c r="I4" s="594"/>
      <c r="J4" s="594"/>
      <c r="K4" s="594"/>
      <c r="L4" s="594"/>
      <c r="M4" s="595"/>
      <c r="N4" s="593">
        <v>2007</v>
      </c>
      <c r="O4" s="594"/>
      <c r="P4" s="594"/>
      <c r="Q4" s="594"/>
      <c r="R4" s="594"/>
      <c r="S4" s="595"/>
      <c r="T4" s="593">
        <v>2010</v>
      </c>
      <c r="U4" s="594"/>
      <c r="V4" s="594"/>
      <c r="W4" s="594"/>
      <c r="X4" s="594"/>
      <c r="Y4" s="595"/>
      <c r="Z4" s="593">
        <v>2015</v>
      </c>
      <c r="AA4" s="594"/>
      <c r="AB4" s="594"/>
      <c r="AC4" s="594"/>
      <c r="AD4" s="594"/>
      <c r="AE4" s="595"/>
      <c r="AF4" s="593">
        <v>2016</v>
      </c>
      <c r="AG4" s="594"/>
      <c r="AH4" s="594"/>
      <c r="AI4" s="594"/>
      <c r="AJ4" s="594"/>
      <c r="AK4" s="595"/>
      <c r="AL4" s="593">
        <v>2017</v>
      </c>
      <c r="AM4" s="594"/>
      <c r="AN4" s="594"/>
      <c r="AO4" s="594"/>
      <c r="AP4" s="594"/>
      <c r="AQ4" s="595"/>
      <c r="AR4" s="593">
        <v>2018</v>
      </c>
      <c r="AS4" s="594"/>
      <c r="AT4" s="594"/>
      <c r="AU4" s="594"/>
      <c r="AV4" s="594"/>
      <c r="AW4" s="595"/>
      <c r="AX4" s="593">
        <v>2019</v>
      </c>
      <c r="AY4" s="594"/>
      <c r="AZ4" s="594"/>
      <c r="BA4" s="594"/>
      <c r="BB4" s="594"/>
      <c r="BC4" s="595"/>
      <c r="BD4" s="593">
        <v>2020</v>
      </c>
      <c r="BE4" s="594"/>
      <c r="BF4" s="594"/>
      <c r="BG4" s="594"/>
      <c r="BH4" s="594"/>
      <c r="BI4" s="595"/>
      <c r="BJ4" s="593">
        <v>2021</v>
      </c>
      <c r="BK4" s="594"/>
      <c r="BL4" s="594"/>
      <c r="BM4" s="594"/>
      <c r="BN4" s="594"/>
      <c r="BO4" s="595"/>
      <c r="BP4" s="593">
        <v>2022</v>
      </c>
      <c r="BQ4" s="594"/>
      <c r="BR4" s="594"/>
      <c r="BS4" s="594"/>
      <c r="BT4" s="594"/>
      <c r="BU4" s="595"/>
      <c r="BV4" s="43"/>
    </row>
    <row r="5" spans="1:74" s="419" customFormat="1" ht="25.5">
      <c r="A5" s="416" t="s">
        <v>67</v>
      </c>
      <c r="B5" s="417" t="s">
        <v>68</v>
      </c>
      <c r="C5" s="417" t="s">
        <v>69</v>
      </c>
      <c r="D5" s="417" t="s">
        <v>70</v>
      </c>
      <c r="E5" s="417" t="s">
        <v>71</v>
      </c>
      <c r="F5" s="417" t="s">
        <v>72</v>
      </c>
      <c r="G5" s="418" t="s">
        <v>49</v>
      </c>
      <c r="H5" s="417" t="s">
        <v>68</v>
      </c>
      <c r="I5" s="417" t="s">
        <v>69</v>
      </c>
      <c r="J5" s="417" t="s">
        <v>70</v>
      </c>
      <c r="K5" s="417" t="s">
        <v>71</v>
      </c>
      <c r="L5" s="417" t="s">
        <v>72</v>
      </c>
      <c r="M5" s="418" t="s">
        <v>49</v>
      </c>
      <c r="N5" s="417" t="s">
        <v>68</v>
      </c>
      <c r="O5" s="417" t="s">
        <v>69</v>
      </c>
      <c r="P5" s="417" t="s">
        <v>70</v>
      </c>
      <c r="Q5" s="417" t="s">
        <v>71</v>
      </c>
      <c r="R5" s="417" t="s">
        <v>72</v>
      </c>
      <c r="S5" s="418" t="s">
        <v>49</v>
      </c>
      <c r="T5" s="417" t="s">
        <v>68</v>
      </c>
      <c r="U5" s="417" t="s">
        <v>69</v>
      </c>
      <c r="V5" s="417" t="s">
        <v>70</v>
      </c>
      <c r="W5" s="417" t="s">
        <v>71</v>
      </c>
      <c r="X5" s="417" t="s">
        <v>72</v>
      </c>
      <c r="Y5" s="418" t="s">
        <v>49</v>
      </c>
      <c r="Z5" s="417" t="s">
        <v>68</v>
      </c>
      <c r="AA5" s="417" t="s">
        <v>69</v>
      </c>
      <c r="AB5" s="417" t="s">
        <v>70</v>
      </c>
      <c r="AC5" s="417" t="s">
        <v>71</v>
      </c>
      <c r="AD5" s="417" t="s">
        <v>72</v>
      </c>
      <c r="AE5" s="418" t="s">
        <v>49</v>
      </c>
      <c r="AF5" s="417" t="s">
        <v>68</v>
      </c>
      <c r="AG5" s="417" t="s">
        <v>69</v>
      </c>
      <c r="AH5" s="417" t="s">
        <v>70</v>
      </c>
      <c r="AI5" s="417" t="s">
        <v>71</v>
      </c>
      <c r="AJ5" s="417" t="s">
        <v>72</v>
      </c>
      <c r="AK5" s="418" t="s">
        <v>49</v>
      </c>
      <c r="AL5" s="417" t="s">
        <v>68</v>
      </c>
      <c r="AM5" s="417" t="s">
        <v>69</v>
      </c>
      <c r="AN5" s="417" t="s">
        <v>70</v>
      </c>
      <c r="AO5" s="417" t="s">
        <v>71</v>
      </c>
      <c r="AP5" s="417" t="s">
        <v>72</v>
      </c>
      <c r="AQ5" s="418" t="s">
        <v>49</v>
      </c>
      <c r="AR5" s="417" t="s">
        <v>68</v>
      </c>
      <c r="AS5" s="417" t="s">
        <v>69</v>
      </c>
      <c r="AT5" s="417" t="s">
        <v>70</v>
      </c>
      <c r="AU5" s="417" t="s">
        <v>71</v>
      </c>
      <c r="AV5" s="417" t="s">
        <v>72</v>
      </c>
      <c r="AW5" s="418" t="s">
        <v>49</v>
      </c>
      <c r="AX5" s="417" t="s">
        <v>68</v>
      </c>
      <c r="AY5" s="417" t="s">
        <v>69</v>
      </c>
      <c r="AZ5" s="417" t="s">
        <v>70</v>
      </c>
      <c r="BA5" s="417" t="s">
        <v>71</v>
      </c>
      <c r="BB5" s="417" t="s">
        <v>72</v>
      </c>
      <c r="BC5" s="418" t="s">
        <v>49</v>
      </c>
      <c r="BD5" s="417" t="s">
        <v>68</v>
      </c>
      <c r="BE5" s="417" t="s">
        <v>69</v>
      </c>
      <c r="BF5" s="417" t="s">
        <v>70</v>
      </c>
      <c r="BG5" s="417" t="s">
        <v>71</v>
      </c>
      <c r="BH5" s="417" t="s">
        <v>72</v>
      </c>
      <c r="BI5" s="418" t="s">
        <v>49</v>
      </c>
      <c r="BJ5" s="417" t="s">
        <v>68</v>
      </c>
      <c r="BK5" s="417" t="s">
        <v>69</v>
      </c>
      <c r="BL5" s="417" t="s">
        <v>70</v>
      </c>
      <c r="BM5" s="417" t="s">
        <v>71</v>
      </c>
      <c r="BN5" s="417" t="s">
        <v>72</v>
      </c>
      <c r="BO5" s="418" t="s">
        <v>49</v>
      </c>
      <c r="BP5" s="417" t="s">
        <v>68</v>
      </c>
      <c r="BQ5" s="417" t="s">
        <v>69</v>
      </c>
      <c r="BR5" s="417" t="s">
        <v>70</v>
      </c>
      <c r="BS5" s="417" t="s">
        <v>71</v>
      </c>
      <c r="BT5" s="417" t="s">
        <v>72</v>
      </c>
      <c r="BU5" s="418" t="s">
        <v>49</v>
      </c>
      <c r="BV5" s="583"/>
    </row>
    <row r="6" spans="1:74" s="288" customFormat="1">
      <c r="A6" s="166" t="s">
        <v>45</v>
      </c>
      <c r="B6" s="345">
        <f>Cement!B12</f>
        <v>0.10146173274</v>
      </c>
      <c r="C6" s="346">
        <v>0</v>
      </c>
      <c r="D6" s="346">
        <v>0</v>
      </c>
      <c r="E6" s="346">
        <v>0</v>
      </c>
      <c r="F6" s="346">
        <v>0</v>
      </c>
      <c r="G6" s="167">
        <f>SUM(B6:F6)</f>
        <v>0.10146173274</v>
      </c>
      <c r="H6" s="345">
        <f>Cement!C12</f>
        <v>0</v>
      </c>
      <c r="I6" s="346">
        <v>0</v>
      </c>
      <c r="J6" s="346">
        <v>0</v>
      </c>
      <c r="K6" s="346">
        <v>0</v>
      </c>
      <c r="L6" s="346">
        <v>0</v>
      </c>
      <c r="M6" s="167">
        <f>SUM(H6:L6)</f>
        <v>0</v>
      </c>
      <c r="N6" s="168">
        <f>Cement!D12</f>
        <v>0</v>
      </c>
      <c r="O6" s="168">
        <v>0</v>
      </c>
      <c r="P6" s="168">
        <v>0</v>
      </c>
      <c r="Q6" s="168">
        <v>0</v>
      </c>
      <c r="R6" s="168">
        <v>0</v>
      </c>
      <c r="S6" s="167">
        <f>SUM(N6:R6)</f>
        <v>0</v>
      </c>
      <c r="T6" s="168">
        <f>Cement!E12</f>
        <v>0</v>
      </c>
      <c r="U6" s="168">
        <v>0</v>
      </c>
      <c r="V6" s="168">
        <v>0</v>
      </c>
      <c r="W6" s="168">
        <v>0</v>
      </c>
      <c r="X6" s="168">
        <v>0</v>
      </c>
      <c r="Y6" s="167">
        <f>SUM(T6:X6)</f>
        <v>0</v>
      </c>
      <c r="Z6" s="168">
        <f>Cement!F12</f>
        <v>0</v>
      </c>
      <c r="AA6" s="168">
        <v>0</v>
      </c>
      <c r="AB6" s="168">
        <v>0</v>
      </c>
      <c r="AC6" s="168">
        <v>0</v>
      </c>
      <c r="AD6" s="168">
        <v>0</v>
      </c>
      <c r="AE6" s="167">
        <f>SUM(Z6:AD6)</f>
        <v>0</v>
      </c>
      <c r="AF6" s="168">
        <f>Cement!G12</f>
        <v>0</v>
      </c>
      <c r="AG6" s="168">
        <v>0</v>
      </c>
      <c r="AH6" s="168">
        <v>0</v>
      </c>
      <c r="AI6" s="168">
        <v>0</v>
      </c>
      <c r="AJ6" s="168">
        <v>0</v>
      </c>
      <c r="AK6" s="167">
        <f>SUM(AF6:AJ6)</f>
        <v>0</v>
      </c>
      <c r="AL6" s="168">
        <f>Cement!H12</f>
        <v>0</v>
      </c>
      <c r="AM6" s="168">
        <v>0</v>
      </c>
      <c r="AN6" s="168">
        <v>0</v>
      </c>
      <c r="AO6" s="168">
        <v>0</v>
      </c>
      <c r="AP6" s="168">
        <v>0</v>
      </c>
      <c r="AQ6" s="167">
        <f>SUM(AL6:AP6)</f>
        <v>0</v>
      </c>
      <c r="AR6" s="168">
        <f>Cement!I12</f>
        <v>0</v>
      </c>
      <c r="AS6" s="168">
        <v>0</v>
      </c>
      <c r="AT6" s="168">
        <v>0</v>
      </c>
      <c r="AU6" s="168">
        <v>0</v>
      </c>
      <c r="AV6" s="168">
        <v>0</v>
      </c>
      <c r="AW6" s="167">
        <f>SUM(AR6:AV6)</f>
        <v>0</v>
      </c>
      <c r="AX6" s="168">
        <f>Cement!J12</f>
        <v>0</v>
      </c>
      <c r="AY6" s="168">
        <v>0</v>
      </c>
      <c r="AZ6" s="168">
        <v>0</v>
      </c>
      <c r="BA6" s="168">
        <v>0</v>
      </c>
      <c r="BB6" s="168">
        <v>0</v>
      </c>
      <c r="BC6" s="167">
        <f>SUM(AX6:BB6)</f>
        <v>0</v>
      </c>
      <c r="BD6" s="168">
        <f>Cement!K12</f>
        <v>0</v>
      </c>
      <c r="BE6" s="168">
        <v>0</v>
      </c>
      <c r="BF6" s="168">
        <v>0</v>
      </c>
      <c r="BG6" s="168">
        <v>0</v>
      </c>
      <c r="BH6" s="168">
        <v>0</v>
      </c>
      <c r="BI6" s="167">
        <f>SUM(BD6:BH6)</f>
        <v>0</v>
      </c>
      <c r="BJ6" s="168">
        <f>Cement!L12</f>
        <v>0</v>
      </c>
      <c r="BK6" s="168">
        <v>0</v>
      </c>
      <c r="BL6" s="168">
        <v>0</v>
      </c>
      <c r="BM6" s="168">
        <v>0</v>
      </c>
      <c r="BN6" s="168">
        <v>0</v>
      </c>
      <c r="BO6" s="167">
        <f>SUM(BJ6:BN6)</f>
        <v>0</v>
      </c>
      <c r="BP6" s="168">
        <f>Cement!M12</f>
        <v>0</v>
      </c>
      <c r="BQ6" s="168">
        <v>0</v>
      </c>
      <c r="BR6" s="168">
        <v>0</v>
      </c>
      <c r="BS6" s="168">
        <v>0</v>
      </c>
      <c r="BT6" s="168">
        <v>0</v>
      </c>
      <c r="BU6" s="167">
        <f>SUM(BP6:BT6)</f>
        <v>0</v>
      </c>
      <c r="BV6" s="43"/>
    </row>
    <row r="7" spans="1:74" s="288" customFormat="1">
      <c r="A7" s="166" t="s">
        <v>73</v>
      </c>
      <c r="B7" s="169">
        <v>0</v>
      </c>
      <c r="C7" s="170">
        <v>0</v>
      </c>
      <c r="D7" s="170">
        <v>0</v>
      </c>
      <c r="E7" s="170">
        <f>'Electrical T&amp;D'!B71</f>
        <v>2.7447484941185805E-6</v>
      </c>
      <c r="F7" s="170">
        <f>'Electrical T&amp;D'!B70</f>
        <v>7.5671403517933528E-2</v>
      </c>
      <c r="G7" s="347">
        <f>SUM(B7:F7)</f>
        <v>7.567414826642764E-2</v>
      </c>
      <c r="H7" s="169">
        <v>0</v>
      </c>
      <c r="I7" s="170">
        <v>0</v>
      </c>
      <c r="J7" s="170">
        <v>0</v>
      </c>
      <c r="K7" s="170">
        <f>'Electrical T&amp;D'!C71</f>
        <v>5.5130832124708125E-6</v>
      </c>
      <c r="L7" s="170">
        <f>'Electrical T&amp;D'!C70</f>
        <v>3.4249963140546028E-2</v>
      </c>
      <c r="M7" s="347">
        <f>SUM(H7:L7)</f>
        <v>3.4255476223758498E-2</v>
      </c>
      <c r="N7" s="170">
        <v>0</v>
      </c>
      <c r="O7" s="170">
        <v>0</v>
      </c>
      <c r="P7" s="170">
        <v>0</v>
      </c>
      <c r="Q7" s="170">
        <f>'Electrical T&amp;D'!D71</f>
        <v>4.1486452059049522E-6</v>
      </c>
      <c r="R7" s="170">
        <f>'Electrical T&amp;D'!D70</f>
        <v>2.8675792149543584E-2</v>
      </c>
      <c r="S7" s="347">
        <f>SUM(N7:R7)</f>
        <v>2.8679940794749489E-2</v>
      </c>
      <c r="T7" s="170">
        <v>0</v>
      </c>
      <c r="U7" s="170">
        <v>0</v>
      </c>
      <c r="V7" s="170">
        <v>0</v>
      </c>
      <c r="W7" s="170">
        <f>'Electrical T&amp;D'!E71</f>
        <v>4.1656999834269896E-6</v>
      </c>
      <c r="X7" s="170">
        <f>'Electrical T&amp;D'!E70</f>
        <v>2.0796236147512144E-2</v>
      </c>
      <c r="Y7" s="347">
        <f>SUM(T7:X7)</f>
        <v>2.080040184749557E-2</v>
      </c>
      <c r="Z7" s="170">
        <v>0</v>
      </c>
      <c r="AA7" s="170">
        <v>0</v>
      </c>
      <c r="AB7" s="170">
        <v>0</v>
      </c>
      <c r="AC7" s="170">
        <f>'Electrical T&amp;D'!F71</f>
        <v>0</v>
      </c>
      <c r="AD7" s="170">
        <f>'Electrical T&amp;D'!F70</f>
        <v>1.3237445160031301E-2</v>
      </c>
      <c r="AE7" s="347">
        <f>SUM(Z7:AD7)</f>
        <v>1.3237445160031301E-2</v>
      </c>
      <c r="AF7" s="169">
        <v>0</v>
      </c>
      <c r="AG7" s="170">
        <v>0</v>
      </c>
      <c r="AH7" s="170">
        <v>0</v>
      </c>
      <c r="AI7" s="198">
        <f>'Electrical T&amp;D'!G71</f>
        <v>7.018651673310413E-7</v>
      </c>
      <c r="AJ7" s="198">
        <f>'Electrical T&amp;D'!G70</f>
        <v>1.3324586885857088E-2</v>
      </c>
      <c r="AK7" s="349">
        <f>SUM(AF7:AJ7)</f>
        <v>1.3325288751024419E-2</v>
      </c>
      <c r="AL7" s="169">
        <v>0</v>
      </c>
      <c r="AM7" s="170">
        <v>0</v>
      </c>
      <c r="AN7" s="170">
        <v>0</v>
      </c>
      <c r="AO7" s="198">
        <f>'Electrical T&amp;D'!H71</f>
        <v>1.9195294013713066E-7</v>
      </c>
      <c r="AP7" s="198">
        <f>'Electrical T&amp;D'!H70</f>
        <v>1.3003752402797681E-2</v>
      </c>
      <c r="AQ7" s="347">
        <f>SUM(AL7:AP7)</f>
        <v>1.3003944355737818E-2</v>
      </c>
      <c r="AR7" s="169">
        <v>0</v>
      </c>
      <c r="AS7" s="170">
        <v>0</v>
      </c>
      <c r="AT7" s="170">
        <v>0</v>
      </c>
      <c r="AU7" s="198">
        <f>'Electrical T&amp;D'!I71</f>
        <v>0</v>
      </c>
      <c r="AV7" s="198">
        <f>'Electrical T&amp;D'!I70</f>
        <v>1.184172993632295E-2</v>
      </c>
      <c r="AW7" s="537">
        <f>SUM(AR7:AV7)</f>
        <v>1.184172993632295E-2</v>
      </c>
      <c r="AX7" s="169">
        <v>0</v>
      </c>
      <c r="AY7" s="170">
        <v>0</v>
      </c>
      <c r="AZ7" s="170">
        <v>0</v>
      </c>
      <c r="BA7" s="198">
        <f>'Electrical T&amp;D'!J71</f>
        <v>1.0275738471718442E-6</v>
      </c>
      <c r="BB7" s="198">
        <f>'Electrical T&amp;D'!J70</f>
        <v>1.4725295398172416E-2</v>
      </c>
      <c r="BC7" s="347">
        <f>SUM(AX7:BB7)</f>
        <v>1.4726322972019588E-2</v>
      </c>
      <c r="BD7" s="169">
        <v>0</v>
      </c>
      <c r="BE7" s="170">
        <v>0</v>
      </c>
      <c r="BF7" s="170">
        <v>0</v>
      </c>
      <c r="BG7" s="198">
        <f>'Electrical T&amp;D'!K71</f>
        <v>2.6942906478891255E-7</v>
      </c>
      <c r="BH7" s="198">
        <f>'Electrical T&amp;D'!K70</f>
        <v>1.3545686568366713E-2</v>
      </c>
      <c r="BI7" s="347">
        <f>SUM(BD7:BH7)</f>
        <v>1.3545955997431502E-2</v>
      </c>
      <c r="BJ7" s="169">
        <v>0</v>
      </c>
      <c r="BK7" s="536">
        <v>0</v>
      </c>
      <c r="BL7" s="170">
        <v>0</v>
      </c>
      <c r="BM7" s="198">
        <f>'Electrical T&amp;D'!L71</f>
        <v>2.7005079130116889E-7</v>
      </c>
      <c r="BN7" s="536">
        <f>'Electrical T&amp;D'!L70</f>
        <v>1.3709471696159686E-2</v>
      </c>
      <c r="BO7" s="347">
        <f>SUM(BJ7:BN7)</f>
        <v>1.3709741746950988E-2</v>
      </c>
      <c r="BP7" s="169">
        <v>0</v>
      </c>
      <c r="BQ7" s="536">
        <v>0</v>
      </c>
      <c r="BR7" s="170">
        <v>0</v>
      </c>
      <c r="BS7" s="198">
        <f>'Electrical T&amp;D'!M71</f>
        <v>1.6532250360433873E-8</v>
      </c>
      <c r="BT7" s="536">
        <f>'Electrical T&amp;D'!M70</f>
        <v>1.1446532218309682E-2</v>
      </c>
      <c r="BU7" s="347">
        <f>SUM(BP7:BT7)</f>
        <v>1.1446548750560042E-2</v>
      </c>
      <c r="BV7" s="43"/>
    </row>
    <row r="8" spans="1:74" s="288" customFormat="1">
      <c r="A8" s="166" t="s">
        <v>74</v>
      </c>
      <c r="B8" s="171">
        <f>'ODS Subs'!D207</f>
        <v>7.0700498616782576E-8</v>
      </c>
      <c r="C8" s="172">
        <v>0</v>
      </c>
      <c r="D8" s="172">
        <v>0</v>
      </c>
      <c r="E8" s="172">
        <f>SUM('ODS Subs'!D200:D206,'ODS Subs'!D208)</f>
        <v>1.295077163211639E-3</v>
      </c>
      <c r="F8" s="172">
        <v>0</v>
      </c>
      <c r="G8" s="546">
        <f>SUM(B8:F8)</f>
        <v>1.2951478637102558E-3</v>
      </c>
      <c r="H8" s="171">
        <f>'ODS Subs'!E207</f>
        <v>6.1490435613295533E-6</v>
      </c>
      <c r="I8" s="172">
        <v>0</v>
      </c>
      <c r="J8" s="172">
        <v>0</v>
      </c>
      <c r="K8" s="172">
        <f>SUM('ODS Subs'!E200:E206,'ODS Subs'!E208)</f>
        <v>0.46180988807254153</v>
      </c>
      <c r="L8" s="172">
        <v>0</v>
      </c>
      <c r="M8" s="348">
        <f>SUM(H8:L8)</f>
        <v>0.46181603711610286</v>
      </c>
      <c r="N8" s="172">
        <f>'ODS Subs'!F207</f>
        <v>6.8611634966690673E-6</v>
      </c>
      <c r="O8" s="170">
        <v>0</v>
      </c>
      <c r="P8" s="170">
        <v>0</v>
      </c>
      <c r="Q8" s="170">
        <f>SUM('ODS Subs'!F200:F206,'ODS Subs'!F208)</f>
        <v>0.52284879422083075</v>
      </c>
      <c r="R8" s="170">
        <v>0</v>
      </c>
      <c r="S8" s="348">
        <f>SUM(N8:R8)</f>
        <v>0.52285565538432743</v>
      </c>
      <c r="T8" s="172">
        <f>'ODS Subs'!G207</f>
        <v>8.9617885042643091E-6</v>
      </c>
      <c r="U8" s="172">
        <v>0</v>
      </c>
      <c r="V8" s="172">
        <v>0</v>
      </c>
      <c r="W8" s="172">
        <f>SUM('ODS Subs'!G200:G206,'ODS Subs'!G208)</f>
        <v>0.64546190997584518</v>
      </c>
      <c r="X8" s="172">
        <v>0</v>
      </c>
      <c r="Y8" s="348">
        <f>SUM(T8:X8)</f>
        <v>0.64547087176434947</v>
      </c>
      <c r="Z8" s="172">
        <f>'ODS Subs'!H207</f>
        <v>1.2638775544916968E-5</v>
      </c>
      <c r="AA8" s="172">
        <v>0</v>
      </c>
      <c r="AB8" s="172">
        <v>0</v>
      </c>
      <c r="AC8" s="170">
        <f>SUM('ODS Subs'!H200:H206,'ODS Subs'!H208)</f>
        <v>0.77303322934695073</v>
      </c>
      <c r="AD8" s="172">
        <v>0</v>
      </c>
      <c r="AE8" s="348">
        <f>SUM(Z8:AD8)</f>
        <v>0.77304586812249565</v>
      </c>
      <c r="AF8" s="172">
        <f>'ODS Subs'!I207</f>
        <v>1.3507016175364299E-5</v>
      </c>
      <c r="AG8" s="172">
        <v>0</v>
      </c>
      <c r="AH8" s="172">
        <v>0</v>
      </c>
      <c r="AI8" s="172">
        <f>SUM('ODS Subs'!I200:I206,'ODS Subs'!I208)</f>
        <v>0.77934865210852888</v>
      </c>
      <c r="AJ8" s="172">
        <v>0</v>
      </c>
      <c r="AK8" s="348">
        <f>SUM(AF8:AJ8)</f>
        <v>0.7793621591247043</v>
      </c>
      <c r="AL8" s="172">
        <f>'ODS Subs'!J207</f>
        <v>1.4415347511563672E-5</v>
      </c>
      <c r="AM8" s="172">
        <v>0</v>
      </c>
      <c r="AN8" s="172">
        <v>0</v>
      </c>
      <c r="AO8" s="172">
        <f>SUM('ODS Subs'!J200:J206,'ODS Subs'!J208)</f>
        <v>0.7820685048914735</v>
      </c>
      <c r="AP8" s="172">
        <v>0</v>
      </c>
      <c r="AQ8" s="348">
        <f>SUM(AL8:AP8)</f>
        <v>0.78208292023898507</v>
      </c>
      <c r="AR8" s="172">
        <f>'ODS Subs'!K207</f>
        <v>1.5472406064412486E-5</v>
      </c>
      <c r="AS8" s="172">
        <v>0</v>
      </c>
      <c r="AT8" s="172">
        <v>0</v>
      </c>
      <c r="AU8" s="172">
        <f>SUM('ODS Subs'!K200:K206,'ODS Subs'!K208)</f>
        <v>0.78990672004952978</v>
      </c>
      <c r="AV8" s="172">
        <v>0</v>
      </c>
      <c r="AW8" s="542">
        <f>SUM(AR8:AV8)</f>
        <v>0.78992219245559414</v>
      </c>
      <c r="AX8" s="172">
        <f>'ODS Subs'!L207</f>
        <v>1.6401554035510345E-5</v>
      </c>
      <c r="AY8" s="172">
        <v>0</v>
      </c>
      <c r="AZ8" s="172">
        <v>0</v>
      </c>
      <c r="BA8" s="172">
        <f>SUM('ODS Subs'!L200:L206,'ODS Subs'!L208)</f>
        <v>0.80495882212039449</v>
      </c>
      <c r="BB8" s="172">
        <v>0</v>
      </c>
      <c r="BC8" s="348">
        <f>SUM(AX8:BB8)</f>
        <v>0.80497522367442997</v>
      </c>
      <c r="BD8" s="172">
        <f>'ODS Subs'!M207</f>
        <v>1.5863987862154464E-5</v>
      </c>
      <c r="BE8" s="172">
        <v>0</v>
      </c>
      <c r="BF8" s="172">
        <v>0</v>
      </c>
      <c r="BG8" s="172">
        <f>SUM('ODS Subs'!M200:M206,'ODS Subs'!M208)</f>
        <v>0.74998055198758673</v>
      </c>
      <c r="BH8" s="172">
        <v>0</v>
      </c>
      <c r="BI8" s="348">
        <f>SUM(BD8:BH8)</f>
        <v>0.74999641597544886</v>
      </c>
      <c r="BJ8" s="172">
        <f>'ODS Subs'!N207</f>
        <v>1.7489344024487291E-5</v>
      </c>
      <c r="BK8" s="172">
        <v>0</v>
      </c>
      <c r="BL8" s="172">
        <v>0</v>
      </c>
      <c r="BM8" s="172">
        <f>SUM('ODS Subs'!N200:N206,'ODS Subs'!N208)</f>
        <v>0.80881376210518552</v>
      </c>
      <c r="BN8" s="172">
        <v>0</v>
      </c>
      <c r="BO8" s="348">
        <f>SUM(BJ8:BN8)</f>
        <v>0.80883125144920998</v>
      </c>
      <c r="BP8" s="172">
        <f>'ODS Subs'!O207</f>
        <v>1.8766738473721074E-5</v>
      </c>
      <c r="BQ8" s="172">
        <v>0</v>
      </c>
      <c r="BR8" s="172">
        <v>0</v>
      </c>
      <c r="BS8" s="172">
        <f>SUM('ODS Subs'!O200:O206,'ODS Subs'!O208)</f>
        <v>0.84215907063733353</v>
      </c>
      <c r="BT8" s="172">
        <v>0</v>
      </c>
      <c r="BU8" s="348">
        <f>SUM(BP8:BT8)</f>
        <v>0.8421778373758072</v>
      </c>
      <c r="BV8" s="43"/>
    </row>
    <row r="9" spans="1:74" s="288" customFormat="1">
      <c r="A9" s="173" t="s">
        <v>49</v>
      </c>
      <c r="B9" s="174">
        <f>SUM(B6:B8)</f>
        <v>0.10146180344049863</v>
      </c>
      <c r="C9" s="174">
        <f t="shared" ref="C9" si="0">SUM(C6:C8)</f>
        <v>0</v>
      </c>
      <c r="D9" s="174">
        <f t="shared" ref="D9" si="1">SUM(D6:D8)</f>
        <v>0</v>
      </c>
      <c r="E9" s="174">
        <f t="shared" ref="E9" si="2">SUM(E6:E8)</f>
        <v>1.2978219117057575E-3</v>
      </c>
      <c r="F9" s="174">
        <f>SUM(F6:F8)</f>
        <v>7.5671403517933528E-2</v>
      </c>
      <c r="G9" s="176">
        <f>SUM(G6:G8)</f>
        <v>0.1784310288701379</v>
      </c>
      <c r="H9" s="174">
        <f>SUM(H6:H8)</f>
        <v>6.1490435613295533E-6</v>
      </c>
      <c r="I9" s="174">
        <f t="shared" ref="I9:K9" si="3">SUM(I6:I8)</f>
        <v>0</v>
      </c>
      <c r="J9" s="174">
        <f t="shared" si="3"/>
        <v>0</v>
      </c>
      <c r="K9" s="174">
        <f t="shared" si="3"/>
        <v>0.46181540115575398</v>
      </c>
      <c r="L9" s="174">
        <f>SUM(L6:L8)</f>
        <v>3.4249963140546028E-2</v>
      </c>
      <c r="M9" s="174">
        <f>SUM(M6:M8)</f>
        <v>0.49607151333986138</v>
      </c>
      <c r="N9" s="175">
        <f>SUM(N6:N8)</f>
        <v>6.8611634966690673E-6</v>
      </c>
      <c r="O9" s="174">
        <f t="shared" ref="O9:Q9" si="4">SUM(O6:O8)</f>
        <v>0</v>
      </c>
      <c r="P9" s="174">
        <f t="shared" si="4"/>
        <v>0</v>
      </c>
      <c r="Q9" s="174">
        <f t="shared" si="4"/>
        <v>0.52285294286603667</v>
      </c>
      <c r="R9" s="174">
        <f>SUM(R6:R8)</f>
        <v>2.8675792149543584E-2</v>
      </c>
      <c r="S9" s="176">
        <f>SUM(S6:S8)</f>
        <v>0.55153559617907688</v>
      </c>
      <c r="T9" s="174">
        <f t="shared" ref="T9:AP9" si="5">SUM(T8,T7,T6)</f>
        <v>8.9617885042643091E-6</v>
      </c>
      <c r="U9" s="174">
        <f t="shared" si="5"/>
        <v>0</v>
      </c>
      <c r="V9" s="174">
        <f t="shared" si="5"/>
        <v>0</v>
      </c>
      <c r="W9" s="174">
        <f t="shared" si="5"/>
        <v>0.64546607567582859</v>
      </c>
      <c r="X9" s="174">
        <f t="shared" si="5"/>
        <v>2.0796236147512144E-2</v>
      </c>
      <c r="Y9" s="176">
        <f t="shared" si="5"/>
        <v>0.66627127361184502</v>
      </c>
      <c r="Z9" s="174">
        <f t="shared" si="5"/>
        <v>1.2638775544916968E-5</v>
      </c>
      <c r="AA9" s="174">
        <f t="shared" si="5"/>
        <v>0</v>
      </c>
      <c r="AB9" s="174">
        <f t="shared" si="5"/>
        <v>0</v>
      </c>
      <c r="AC9" s="174">
        <f t="shared" si="5"/>
        <v>0.77303322934695073</v>
      </c>
      <c r="AD9" s="174">
        <f t="shared" si="5"/>
        <v>1.3237445160031301E-2</v>
      </c>
      <c r="AE9" s="176">
        <f t="shared" si="5"/>
        <v>0.78628331328252699</v>
      </c>
      <c r="AF9" s="174">
        <f t="shared" si="5"/>
        <v>1.3507016175364299E-5</v>
      </c>
      <c r="AG9" s="174">
        <f t="shared" si="5"/>
        <v>0</v>
      </c>
      <c r="AH9" s="174">
        <f t="shared" si="5"/>
        <v>0</v>
      </c>
      <c r="AI9" s="174">
        <f t="shared" si="5"/>
        <v>0.7793493539736962</v>
      </c>
      <c r="AJ9" s="174">
        <f t="shared" si="5"/>
        <v>1.3324586885857088E-2</v>
      </c>
      <c r="AK9" s="176">
        <f t="shared" si="5"/>
        <v>0.79268744787572876</v>
      </c>
      <c r="AL9" s="174">
        <f t="shared" si="5"/>
        <v>1.4415347511563672E-5</v>
      </c>
      <c r="AM9" s="174">
        <f t="shared" si="5"/>
        <v>0</v>
      </c>
      <c r="AN9" s="174">
        <f t="shared" si="5"/>
        <v>0</v>
      </c>
      <c r="AO9" s="174">
        <f t="shared" si="5"/>
        <v>0.7820686968444136</v>
      </c>
      <c r="AP9" s="174">
        <f t="shared" si="5"/>
        <v>1.3003752402797681E-2</v>
      </c>
      <c r="AQ9" s="176">
        <f>SUM(AQ6,AQ7,AQ8)</f>
        <v>0.79508686459472289</v>
      </c>
      <c r="AR9" s="174">
        <f t="shared" ref="AR9:AV9" si="6">SUM(AR8,AR7,AR6)</f>
        <v>1.5472406064412486E-5</v>
      </c>
      <c r="AS9" s="174">
        <f t="shared" si="6"/>
        <v>0</v>
      </c>
      <c r="AT9" s="174">
        <f t="shared" si="6"/>
        <v>0</v>
      </c>
      <c r="AU9" s="174">
        <f t="shared" si="6"/>
        <v>0.78990672004952978</v>
      </c>
      <c r="AV9" s="174">
        <f t="shared" si="6"/>
        <v>1.184172993632295E-2</v>
      </c>
      <c r="AW9" s="176">
        <f>SUM(AW6,AW7,AW8)</f>
        <v>0.80176392239191707</v>
      </c>
      <c r="AX9" s="174">
        <f t="shared" ref="AX9:BB9" si="7">SUM(AX8,AX7,AX6)</f>
        <v>1.6401554035510345E-5</v>
      </c>
      <c r="AY9" s="174">
        <f t="shared" si="7"/>
        <v>0</v>
      </c>
      <c r="AZ9" s="174">
        <f t="shared" si="7"/>
        <v>0</v>
      </c>
      <c r="BA9" s="174">
        <f t="shared" si="7"/>
        <v>0.80495984969424161</v>
      </c>
      <c r="BB9" s="174">
        <f t="shared" si="7"/>
        <v>1.4725295398172416E-2</v>
      </c>
      <c r="BC9" s="176">
        <f>SUM(BC6,BC7,BC8)</f>
        <v>0.81970154664644956</v>
      </c>
      <c r="BD9" s="174">
        <f t="shared" ref="BD9:BH9" si="8">SUM(BD8,BD7,BD6)</f>
        <v>1.5863987862154464E-5</v>
      </c>
      <c r="BE9" s="174">
        <f t="shared" si="8"/>
        <v>0</v>
      </c>
      <c r="BF9" s="174">
        <f t="shared" si="8"/>
        <v>0</v>
      </c>
      <c r="BG9" s="174">
        <f t="shared" si="8"/>
        <v>0.74998082141665157</v>
      </c>
      <c r="BH9" s="174">
        <f t="shared" si="8"/>
        <v>1.3545686568366713E-2</v>
      </c>
      <c r="BI9" s="176">
        <f>SUM(BI6,BI7,BI8)</f>
        <v>0.76354237197288033</v>
      </c>
      <c r="BJ9" s="174">
        <f t="shared" ref="BJ9:BN9" si="9">SUM(BJ8,BJ7,BJ6)</f>
        <v>1.7489344024487291E-5</v>
      </c>
      <c r="BK9" s="174">
        <f t="shared" si="9"/>
        <v>0</v>
      </c>
      <c r="BL9" s="174">
        <f t="shared" si="9"/>
        <v>0</v>
      </c>
      <c r="BM9" s="174">
        <f t="shared" si="9"/>
        <v>0.8088140321559768</v>
      </c>
      <c r="BN9" s="174">
        <f t="shared" si="9"/>
        <v>1.3709471696159686E-2</v>
      </c>
      <c r="BO9" s="176">
        <f>SUM(BO6,BO7,BO8)</f>
        <v>0.82254099319616092</v>
      </c>
      <c r="BP9" s="174">
        <f t="shared" ref="BP9:BS9" si="10">SUM(BP8,BP7,BP6)</f>
        <v>1.8766738473721074E-5</v>
      </c>
      <c r="BQ9" s="174">
        <f>SUM(BQ8,BQ7,BQ6)</f>
        <v>0</v>
      </c>
      <c r="BR9" s="174">
        <f t="shared" si="10"/>
        <v>0</v>
      </c>
      <c r="BS9" s="174">
        <f t="shared" si="10"/>
        <v>0.84215908716958388</v>
      </c>
      <c r="BT9" s="174">
        <f>SUM(BT8,BT7,BT6)</f>
        <v>1.1446532218309682E-2</v>
      </c>
      <c r="BU9" s="176">
        <f>SUM(BU6,BU7,BU8)</f>
        <v>0.85362438612636726</v>
      </c>
      <c r="BV9" s="43"/>
    </row>
    <row r="10" spans="1:74">
      <c r="A10" s="42"/>
      <c r="B10" s="42"/>
      <c r="C10" s="42"/>
      <c r="D10" s="42"/>
      <c r="E10" s="42"/>
      <c r="F10" s="42"/>
      <c r="G10" s="42"/>
      <c r="H10" s="42"/>
      <c r="I10" s="42"/>
      <c r="J10" s="42"/>
      <c r="K10" s="42"/>
      <c r="L10" s="42"/>
      <c r="M10" s="42"/>
      <c r="N10" s="42"/>
      <c r="O10" s="42"/>
      <c r="P10" s="42"/>
      <c r="Q10" s="42"/>
      <c r="R10" s="42"/>
      <c r="S10" s="42"/>
      <c r="T10" s="42"/>
      <c r="U10" s="42"/>
      <c r="V10" s="42"/>
      <c r="W10" s="42"/>
      <c r="X10" s="42"/>
      <c r="Y10" s="42"/>
      <c r="Z10" s="42"/>
      <c r="AA10" s="42"/>
      <c r="AB10" s="42"/>
      <c r="AC10" s="42"/>
      <c r="AD10" s="42"/>
      <c r="AE10" s="42"/>
      <c r="AF10" s="170"/>
      <c r="AG10" s="42"/>
      <c r="AH10" s="42"/>
      <c r="AI10" s="42"/>
      <c r="AJ10" s="42"/>
      <c r="AK10" s="170"/>
      <c r="AL10" s="42"/>
      <c r="AM10" s="42"/>
      <c r="AN10" s="42"/>
      <c r="AO10" s="42"/>
      <c r="AP10" s="42"/>
      <c r="AQ10" s="42"/>
      <c r="AR10" s="42"/>
      <c r="AS10" s="42"/>
      <c r="AT10" s="42"/>
      <c r="AU10" s="42"/>
      <c r="AV10" s="42"/>
      <c r="AW10" s="42"/>
      <c r="AX10" s="42"/>
      <c r="AY10" s="42"/>
      <c r="AZ10" s="42"/>
      <c r="BA10" s="42"/>
      <c r="BB10" s="42"/>
      <c r="BC10" s="42"/>
      <c r="BD10" s="42"/>
      <c r="BE10" s="42"/>
      <c r="BF10" s="42"/>
      <c r="BG10" s="42"/>
      <c r="BH10" s="42"/>
      <c r="BI10" s="42"/>
      <c r="BJ10" s="42"/>
      <c r="BK10" s="42"/>
      <c r="BL10" s="42"/>
      <c r="BM10" s="42"/>
      <c r="BN10" s="42"/>
      <c r="BO10" s="42"/>
      <c r="BP10" s="42"/>
      <c r="BQ10" s="42"/>
      <c r="BR10" s="42"/>
      <c r="BS10" s="42"/>
      <c r="BT10" s="42"/>
      <c r="BU10" s="42"/>
      <c r="BV10" s="42"/>
    </row>
    <row r="11" spans="1:74">
      <c r="A11" s="42"/>
      <c r="B11" s="42"/>
      <c r="C11" s="42"/>
      <c r="D11" s="42"/>
      <c r="E11" s="42"/>
      <c r="F11" s="42"/>
      <c r="G11" s="42"/>
      <c r="H11" s="42"/>
      <c r="I11" s="42"/>
      <c r="J11" s="42"/>
      <c r="K11" s="42"/>
      <c r="L11" s="42"/>
      <c r="M11" s="42"/>
      <c r="N11" s="42"/>
      <c r="O11" s="42"/>
      <c r="P11" s="42"/>
      <c r="Q11" s="42"/>
      <c r="R11" s="42"/>
      <c r="S11" s="42"/>
      <c r="T11" s="42"/>
      <c r="U11" s="42"/>
      <c r="V11" s="42"/>
      <c r="W11" s="42"/>
      <c r="X11" s="42"/>
      <c r="Y11" s="42"/>
      <c r="Z11" s="42"/>
      <c r="AA11" s="42"/>
      <c r="AB11" s="42"/>
      <c r="AC11" s="42"/>
      <c r="AD11" s="42"/>
      <c r="AE11" s="42"/>
      <c r="AF11" s="42"/>
      <c r="AG11" s="42"/>
      <c r="AH11" s="42"/>
      <c r="AI11" s="42"/>
      <c r="AJ11" s="42"/>
      <c r="AK11" s="42"/>
      <c r="AL11" s="42"/>
      <c r="AM11" s="42"/>
      <c r="AN11" s="42"/>
      <c r="AO11" s="42"/>
      <c r="AP11" s="42"/>
      <c r="AQ11" s="42"/>
      <c r="AR11" s="42"/>
      <c r="AS11" s="42"/>
      <c r="AT11" s="42"/>
      <c r="AU11" s="42"/>
      <c r="AV11" s="42"/>
      <c r="AW11" s="42"/>
      <c r="AX11" s="42"/>
      <c r="AY11" s="42"/>
      <c r="AZ11" s="42"/>
      <c r="BA11" s="42"/>
      <c r="BB11" s="42"/>
      <c r="BC11" s="42"/>
      <c r="BD11" s="42"/>
      <c r="BE11" s="42"/>
      <c r="BF11" s="42"/>
      <c r="BG11" s="42"/>
      <c r="BH11" s="42"/>
      <c r="BI11" s="42"/>
      <c r="BJ11" s="42"/>
      <c r="BK11" s="42"/>
      <c r="BL11" s="42"/>
      <c r="BM11" s="42"/>
      <c r="BN11" s="42"/>
      <c r="BO11" s="42"/>
      <c r="BP11" s="42"/>
      <c r="BQ11" s="42"/>
      <c r="BR11" s="42"/>
      <c r="BS11" s="42"/>
      <c r="BT11" s="42"/>
      <c r="BU11" s="42"/>
      <c r="BV11" s="42"/>
    </row>
    <row r="13" spans="1:74">
      <c r="A13" s="42"/>
      <c r="B13" s="42"/>
      <c r="C13" s="42"/>
      <c r="D13" s="42"/>
      <c r="E13" s="42"/>
      <c r="F13" s="42"/>
      <c r="G13" s="170"/>
      <c r="H13" s="170"/>
      <c r="I13" s="170"/>
      <c r="J13" s="170"/>
      <c r="K13" s="170"/>
      <c r="L13" s="170"/>
      <c r="M13" s="170"/>
      <c r="N13" s="42"/>
      <c r="O13" s="42"/>
      <c r="P13" s="42"/>
      <c r="Q13" s="42"/>
      <c r="R13" s="42"/>
      <c r="S13" s="42"/>
      <c r="T13" s="42"/>
      <c r="U13" s="42"/>
      <c r="V13" s="42"/>
      <c r="W13" s="42"/>
      <c r="X13" s="42"/>
      <c r="Y13" s="42"/>
      <c r="Z13" s="42"/>
      <c r="AA13" s="42"/>
      <c r="AB13" s="42"/>
      <c r="AC13" s="42"/>
      <c r="AD13" s="42"/>
      <c r="AE13" s="42"/>
      <c r="AF13" s="42"/>
      <c r="AG13" s="42"/>
      <c r="AH13" s="42"/>
      <c r="AI13" s="42"/>
      <c r="AJ13" s="42"/>
      <c r="AK13" s="42"/>
      <c r="AL13" s="42"/>
      <c r="AM13" s="42"/>
      <c r="AN13" s="42"/>
      <c r="AO13" s="42"/>
      <c r="AP13" s="42"/>
      <c r="AQ13" s="42"/>
      <c r="AR13" s="42"/>
      <c r="AS13" s="42"/>
      <c r="AT13" s="42"/>
      <c r="AU13" s="42"/>
      <c r="AV13" s="42"/>
      <c r="AW13" s="42"/>
      <c r="AX13" s="42"/>
      <c r="AY13" s="42"/>
      <c r="AZ13" s="42"/>
      <c r="BA13" s="42"/>
      <c r="BB13" s="42"/>
      <c r="BC13" s="42"/>
      <c r="BD13" s="42"/>
      <c r="BE13" s="42"/>
      <c r="BF13" s="42"/>
      <c r="BG13" s="42"/>
      <c r="BH13" s="42"/>
      <c r="BI13" s="42"/>
      <c r="BJ13" s="42"/>
      <c r="BK13" s="42"/>
      <c r="BL13" s="42"/>
      <c r="BM13" s="42"/>
      <c r="BN13" s="42"/>
      <c r="BO13" s="42"/>
      <c r="BP13" s="42"/>
      <c r="BQ13" s="42"/>
      <c r="BR13" s="42"/>
      <c r="BS13" s="42"/>
      <c r="BT13" s="42"/>
      <c r="BU13" s="42"/>
      <c r="BV13" s="42"/>
    </row>
    <row r="16" spans="1:74">
      <c r="A16" s="42"/>
      <c r="B16" s="42"/>
      <c r="C16" s="42"/>
      <c r="D16" s="42"/>
      <c r="E16" s="42"/>
      <c r="F16" s="42"/>
      <c r="G16" s="42"/>
      <c r="H16" s="42"/>
      <c r="I16" s="42"/>
      <c r="J16" s="42"/>
      <c r="K16" s="42"/>
      <c r="L16" s="42"/>
      <c r="M16" s="42"/>
      <c r="N16" s="42"/>
      <c r="O16" s="42"/>
      <c r="P16" s="42"/>
      <c r="Q16" s="42"/>
      <c r="R16" s="42"/>
      <c r="S16" s="42"/>
      <c r="T16" s="42"/>
      <c r="U16" s="42"/>
      <c r="V16" s="42"/>
      <c r="W16" s="42"/>
      <c r="X16" s="42"/>
      <c r="Y16" s="42"/>
      <c r="Z16" s="42"/>
      <c r="AA16" s="42"/>
      <c r="AB16" s="42"/>
      <c r="AC16" s="42"/>
      <c r="AD16" s="42"/>
      <c r="AE16" s="42"/>
      <c r="AF16" s="42"/>
      <c r="AG16" s="42"/>
      <c r="AH16" s="42"/>
      <c r="AI16" s="42"/>
      <c r="AJ16" s="170"/>
      <c r="AK16" s="42"/>
      <c r="AL16" s="42"/>
      <c r="AM16" s="42"/>
      <c r="AN16" s="42"/>
      <c r="AO16" s="42"/>
      <c r="AP16" s="42"/>
      <c r="AQ16" s="42"/>
      <c r="AR16" s="42"/>
      <c r="AS16" s="42"/>
      <c r="AT16" s="42"/>
      <c r="AU16" s="42"/>
      <c r="AV16" s="42"/>
      <c r="AW16" s="42"/>
      <c r="AX16" s="42"/>
      <c r="AY16" s="42"/>
      <c r="AZ16" s="42"/>
      <c r="BA16" s="42"/>
      <c r="BB16" s="42"/>
      <c r="BC16" s="42"/>
      <c r="BD16" s="42"/>
      <c r="BE16" s="42"/>
      <c r="BF16" s="42"/>
      <c r="BG16" s="42"/>
      <c r="BH16" s="42"/>
      <c r="BI16" s="42"/>
      <c r="BJ16" s="42"/>
      <c r="BK16" s="42"/>
      <c r="BL16" s="42"/>
      <c r="BM16" s="42"/>
      <c r="BN16" s="42"/>
      <c r="BO16" s="42"/>
      <c r="BP16" s="42"/>
      <c r="BQ16" s="42"/>
      <c r="BR16" s="42"/>
      <c r="BS16" s="42"/>
      <c r="BT16" s="42"/>
      <c r="BU16" s="42"/>
      <c r="BV16" s="42"/>
    </row>
  </sheetData>
  <mergeCells count="12">
    <mergeCell ref="BP4:BU4"/>
    <mergeCell ref="B4:G4"/>
    <mergeCell ref="N4:S4"/>
    <mergeCell ref="T4:Y4"/>
    <mergeCell ref="Z4:AE4"/>
    <mergeCell ref="AF4:AK4"/>
    <mergeCell ref="H4:M4"/>
    <mergeCell ref="BD4:BI4"/>
    <mergeCell ref="BJ4:BO4"/>
    <mergeCell ref="AR4:AW4"/>
    <mergeCell ref="AX4:BC4"/>
    <mergeCell ref="AL4:AQ4"/>
  </mergeCells>
  <phoneticPr fontId="129" type="noConversion"/>
  <conditionalFormatting sqref="AF6">
    <cfRule type="expression" dxfId="21" priority="46" stopIfTrue="1">
      <formula>RiskIsOutput</formula>
    </cfRule>
  </conditionalFormatting>
  <conditionalFormatting sqref="AI8">
    <cfRule type="expression" dxfId="20" priority="44" stopIfTrue="1">
      <formula>RiskIsOutput</formula>
    </cfRule>
  </conditionalFormatting>
  <conditionalFormatting sqref="AI7:AJ7">
    <cfRule type="expression" dxfId="19" priority="42" stopIfTrue="1">
      <formula>RiskIsOutput</formula>
    </cfRule>
  </conditionalFormatting>
  <conditionalFormatting sqref="AK6:AK9">
    <cfRule type="expression" dxfId="18" priority="54" stopIfTrue="1">
      <formula>RiskIsOutput</formula>
    </cfRule>
  </conditionalFormatting>
  <pageMargins left="0.75" right="0.75" top="1" bottom="1" header="0.5" footer="0.5"/>
  <pageSetup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52">
    <tabColor indexed="36"/>
  </sheetPr>
  <dimension ref="A1:AK31"/>
  <sheetViews>
    <sheetView workbookViewId="0"/>
  </sheetViews>
  <sheetFormatPr defaultColWidth="9.42578125" defaultRowHeight="12.75"/>
  <cols>
    <col min="1" max="1" width="41" style="42" bestFit="1" customWidth="1"/>
    <col min="2" max="2" width="5.5703125" style="42" bestFit="1" customWidth="1"/>
    <col min="3" max="4" width="4.5703125" style="42" bestFit="1" customWidth="1"/>
    <col min="5" max="5" width="9.5703125" style="42" bestFit="1" customWidth="1"/>
    <col min="6" max="7" width="5.5703125" style="42" bestFit="1" customWidth="1"/>
    <col min="8" max="10" width="4.5703125" style="42" bestFit="1" customWidth="1"/>
    <col min="11" max="11" width="9.5703125" style="42" bestFit="1" customWidth="1"/>
    <col min="12" max="14" width="5.5703125" style="42" bestFit="1" customWidth="1"/>
    <col min="15" max="16" width="4.5703125" style="42" bestFit="1" customWidth="1"/>
    <col min="17" max="17" width="9.5703125" style="42" bestFit="1" customWidth="1"/>
    <col min="18" max="19" width="5.5703125" style="42" bestFit="1" customWidth="1"/>
    <col min="20" max="22" width="4.5703125" style="42" bestFit="1" customWidth="1"/>
    <col min="23" max="23" width="9.5703125" style="42" bestFit="1" customWidth="1"/>
    <col min="24" max="25" width="5.5703125" style="42" bestFit="1" customWidth="1"/>
    <col min="26" max="28" width="4.5703125" style="42" bestFit="1" customWidth="1"/>
    <col min="29" max="29" width="9.5703125" style="42" bestFit="1" customWidth="1"/>
    <col min="30" max="30" width="5.42578125" style="42" bestFit="1" customWidth="1"/>
    <col min="31" max="31" width="7.42578125" style="42" bestFit="1" customWidth="1"/>
    <col min="32" max="34" width="4.5703125" style="42" bestFit="1" customWidth="1"/>
    <col min="35" max="35" width="9.5703125" style="42" bestFit="1" customWidth="1"/>
    <col min="36" max="36" width="5.42578125" style="42" bestFit="1" customWidth="1"/>
    <col min="37" max="37" width="7.42578125" style="42" bestFit="1" customWidth="1"/>
    <col min="38" max="16384" width="9.42578125" style="42"/>
  </cols>
  <sheetData>
    <row r="1" spans="1:37" s="163" customFormat="1" ht="22.5" customHeight="1">
      <c r="A1" s="162" t="s">
        <v>81</v>
      </c>
      <c r="F1" s="164"/>
      <c r="G1" s="164"/>
    </row>
    <row r="3" spans="1:37">
      <c r="A3" s="43" t="s">
        <v>66</v>
      </c>
    </row>
    <row r="4" spans="1:37" s="43" customFormat="1">
      <c r="A4" s="165"/>
      <c r="B4" s="593">
        <v>1990</v>
      </c>
      <c r="C4" s="594"/>
      <c r="D4" s="594"/>
      <c r="E4" s="594"/>
      <c r="F4" s="594"/>
      <c r="G4" s="595"/>
      <c r="H4" s="593">
        <v>2007</v>
      </c>
      <c r="I4" s="594"/>
      <c r="J4" s="594"/>
      <c r="K4" s="594"/>
      <c r="L4" s="594"/>
      <c r="M4" s="595"/>
      <c r="N4" s="593">
        <v>2010</v>
      </c>
      <c r="O4" s="594"/>
      <c r="P4" s="594"/>
      <c r="Q4" s="594"/>
      <c r="R4" s="594"/>
      <c r="S4" s="595"/>
      <c r="T4" s="593">
        <v>2015</v>
      </c>
      <c r="U4" s="594"/>
      <c r="V4" s="594"/>
      <c r="W4" s="594"/>
      <c r="X4" s="594"/>
      <c r="Y4" s="595"/>
      <c r="Z4" s="593">
        <v>2016</v>
      </c>
      <c r="AA4" s="594"/>
      <c r="AB4" s="594"/>
      <c r="AC4" s="594"/>
      <c r="AD4" s="594"/>
      <c r="AE4" s="595"/>
      <c r="AF4" s="593">
        <v>2017</v>
      </c>
      <c r="AG4" s="594"/>
      <c r="AH4" s="594"/>
      <c r="AI4" s="594"/>
      <c r="AJ4" s="594"/>
      <c r="AK4" s="595"/>
    </row>
    <row r="5" spans="1:37" s="178" customFormat="1" ht="14.25">
      <c r="A5" s="177" t="s">
        <v>82</v>
      </c>
      <c r="B5" s="408" t="s">
        <v>83</v>
      </c>
      <c r="C5" s="408" t="s">
        <v>84</v>
      </c>
      <c r="D5" s="408" t="s">
        <v>85</v>
      </c>
      <c r="E5" s="408" t="s">
        <v>71</v>
      </c>
      <c r="F5" s="408" t="s">
        <v>86</v>
      </c>
      <c r="G5" s="409" t="s">
        <v>49</v>
      </c>
      <c r="H5" s="408" t="s">
        <v>83</v>
      </c>
      <c r="I5" s="408" t="s">
        <v>84</v>
      </c>
      <c r="J5" s="408" t="s">
        <v>85</v>
      </c>
      <c r="K5" s="408" t="s">
        <v>71</v>
      </c>
      <c r="L5" s="408" t="s">
        <v>86</v>
      </c>
      <c r="M5" s="409" t="s">
        <v>49</v>
      </c>
      <c r="N5" s="408" t="s">
        <v>83</v>
      </c>
      <c r="O5" s="408" t="s">
        <v>84</v>
      </c>
      <c r="P5" s="408" t="s">
        <v>85</v>
      </c>
      <c r="Q5" s="408" t="s">
        <v>71</v>
      </c>
      <c r="R5" s="408" t="s">
        <v>86</v>
      </c>
      <c r="S5" s="409" t="s">
        <v>49</v>
      </c>
      <c r="T5" s="408" t="s">
        <v>83</v>
      </c>
      <c r="U5" s="408" t="s">
        <v>84</v>
      </c>
      <c r="V5" s="408" t="s">
        <v>85</v>
      </c>
      <c r="W5" s="408" t="s">
        <v>71</v>
      </c>
      <c r="X5" s="408" t="s">
        <v>86</v>
      </c>
      <c r="Y5" s="409" t="s">
        <v>49</v>
      </c>
      <c r="Z5" s="408" t="s">
        <v>83</v>
      </c>
      <c r="AA5" s="408" t="s">
        <v>84</v>
      </c>
      <c r="AB5" s="408" t="s">
        <v>85</v>
      </c>
      <c r="AC5" s="408" t="s">
        <v>71</v>
      </c>
      <c r="AD5" s="408" t="s">
        <v>86</v>
      </c>
      <c r="AE5" s="409" t="s">
        <v>49</v>
      </c>
      <c r="AF5" s="408" t="s">
        <v>83</v>
      </c>
      <c r="AG5" s="408" t="s">
        <v>84</v>
      </c>
      <c r="AH5" s="408" t="s">
        <v>85</v>
      </c>
      <c r="AI5" s="408" t="s">
        <v>71</v>
      </c>
      <c r="AJ5" s="408" t="s">
        <v>86</v>
      </c>
      <c r="AK5" s="409" t="s">
        <v>49</v>
      </c>
    </row>
    <row r="6" spans="1:37" s="43" customFormat="1">
      <c r="A6" s="43" t="s">
        <v>45</v>
      </c>
      <c r="B6" s="179">
        <f>SUM(B7:B13)</f>
        <v>0.10146173274</v>
      </c>
      <c r="C6" s="180">
        <f>SUM(C7:C13)</f>
        <v>0</v>
      </c>
      <c r="D6" s="180">
        <f>SUM(D7:D13)</f>
        <v>0</v>
      </c>
      <c r="E6" s="180">
        <f>SUM(E7:E13)</f>
        <v>0</v>
      </c>
      <c r="F6" s="180">
        <f>SUM(F7:F13)</f>
        <v>0</v>
      </c>
      <c r="G6" s="167">
        <f t="shared" ref="G6:G21" si="0">SUM(B6:F6)</f>
        <v>0.10146173274</v>
      </c>
      <c r="H6" s="179">
        <f>SUM(H7:H13)</f>
        <v>0</v>
      </c>
      <c r="I6" s="181">
        <f>SUM(I7:I13)</f>
        <v>0</v>
      </c>
      <c r="J6" s="181">
        <f>SUM(J7:J13)</f>
        <v>0</v>
      </c>
      <c r="K6" s="181">
        <f>SUM(K7:K13)</f>
        <v>0</v>
      </c>
      <c r="L6" s="181">
        <f>SUM(L7:L13)</f>
        <v>0</v>
      </c>
      <c r="M6" s="167">
        <f>SUM(H6:L6)</f>
        <v>0</v>
      </c>
      <c r="N6" s="179">
        <f>SUM(N7:N13)</f>
        <v>0</v>
      </c>
      <c r="O6" s="181">
        <f>SUM(O7:O13)</f>
        <v>0</v>
      </c>
      <c r="P6" s="181">
        <f>SUM(P7:P13)</f>
        <v>0</v>
      </c>
      <c r="Q6" s="181">
        <f>SUM(Q7:Q13)</f>
        <v>0</v>
      </c>
      <c r="R6" s="181">
        <f>SUM(R7:R13)</f>
        <v>0</v>
      </c>
      <c r="S6" s="167">
        <f>SUM(N6:R6)</f>
        <v>0</v>
      </c>
      <c r="T6" s="179">
        <f>SUM(T7:T13)</f>
        <v>0</v>
      </c>
      <c r="U6" s="181">
        <f>SUM(U7:U13)</f>
        <v>0</v>
      </c>
      <c r="V6" s="181">
        <f>SUM(V7:V13)</f>
        <v>0</v>
      </c>
      <c r="W6" s="181">
        <f>SUM(W7:W13)</f>
        <v>0</v>
      </c>
      <c r="X6" s="181">
        <f>SUM(X7:X13)</f>
        <v>0</v>
      </c>
      <c r="Y6" s="167">
        <f>SUM(T6:X6)</f>
        <v>0</v>
      </c>
      <c r="Z6" s="179">
        <f>SUM(Z7:Z13)</f>
        <v>0</v>
      </c>
      <c r="AA6" s="181">
        <f>SUM(AA7:AA13)</f>
        <v>0</v>
      </c>
      <c r="AB6" s="181">
        <f>SUM(AB7:AB13)</f>
        <v>0</v>
      </c>
      <c r="AC6" s="181">
        <f>SUM(AC7:AC13)</f>
        <v>0</v>
      </c>
      <c r="AD6" s="181">
        <f>SUM(AD7:AD13)</f>
        <v>0</v>
      </c>
      <c r="AE6" s="167">
        <f>SUM(Z6:AD6)</f>
        <v>0</v>
      </c>
      <c r="AF6" s="179">
        <f>SUM(AF7:AF13)</f>
        <v>0</v>
      </c>
      <c r="AG6" s="181">
        <f>SUM(AG7:AG13)</f>
        <v>0</v>
      </c>
      <c r="AH6" s="181">
        <f>SUM(AH7:AH13)</f>
        <v>0</v>
      </c>
      <c r="AI6" s="181">
        <f>SUM(AI7:AI13)</f>
        <v>0</v>
      </c>
      <c r="AJ6" s="181">
        <f>SUM(AJ7:AJ13)</f>
        <v>0</v>
      </c>
      <c r="AK6" s="167">
        <f>SUM(AF6:AJ6)</f>
        <v>0</v>
      </c>
    </row>
    <row r="7" spans="1:37">
      <c r="A7" s="182" t="s">
        <v>87</v>
      </c>
      <c r="B7" s="183">
        <v>0</v>
      </c>
      <c r="C7" s="168">
        <v>0</v>
      </c>
      <c r="D7" s="168">
        <v>0</v>
      </c>
      <c r="E7" s="168">
        <v>0</v>
      </c>
      <c r="F7" s="168">
        <v>0</v>
      </c>
      <c r="G7" s="184">
        <f t="shared" si="0"/>
        <v>0</v>
      </c>
      <c r="H7" s="168">
        <v>0</v>
      </c>
      <c r="I7" s="168">
        <v>0</v>
      </c>
      <c r="J7" s="168">
        <v>0</v>
      </c>
      <c r="K7" s="168">
        <v>0</v>
      </c>
      <c r="L7" s="168">
        <v>0</v>
      </c>
      <c r="M7" s="184">
        <f t="shared" ref="M7:M21" si="1">SUM(H7:L7)</f>
        <v>0</v>
      </c>
      <c r="N7" s="168">
        <v>0</v>
      </c>
      <c r="O7" s="168">
        <v>0</v>
      </c>
      <c r="P7" s="168">
        <v>0</v>
      </c>
      <c r="Q7" s="168">
        <v>0</v>
      </c>
      <c r="R7" s="168">
        <v>0</v>
      </c>
      <c r="S7" s="184">
        <f t="shared" ref="S7:S21" si="2">SUM(N7:R7)</f>
        <v>0</v>
      </c>
      <c r="T7" s="168">
        <v>0</v>
      </c>
      <c r="U7" s="168">
        <v>0</v>
      </c>
      <c r="V7" s="168">
        <v>0</v>
      </c>
      <c r="W7" s="168">
        <v>0</v>
      </c>
      <c r="X7" s="168">
        <v>0</v>
      </c>
      <c r="Y7" s="184">
        <f t="shared" ref="Y7:Y21" si="3">SUM(T7:X7)</f>
        <v>0</v>
      </c>
      <c r="Z7" s="168">
        <v>0</v>
      </c>
      <c r="AA7" s="168">
        <v>0</v>
      </c>
      <c r="AB7" s="168">
        <v>0</v>
      </c>
      <c r="AC7" s="168">
        <v>0</v>
      </c>
      <c r="AD7" s="168">
        <v>0</v>
      </c>
      <c r="AE7" s="184">
        <f t="shared" ref="AE7:AE21" si="4">SUM(Z7:AD7)</f>
        <v>0</v>
      </c>
      <c r="AF7" s="168">
        <v>0</v>
      </c>
      <c r="AG7" s="168">
        <v>0</v>
      </c>
      <c r="AH7" s="168">
        <v>0</v>
      </c>
      <c r="AI7" s="168">
        <v>0</v>
      </c>
      <c r="AJ7" s="168">
        <v>0</v>
      </c>
      <c r="AK7" s="184">
        <f t="shared" ref="AK7:AK13" si="5">SUM(AF7:AJ7)</f>
        <v>0</v>
      </c>
    </row>
    <row r="8" spans="1:37">
      <c r="A8" s="182" t="s">
        <v>88</v>
      </c>
      <c r="B8" s="183">
        <v>0</v>
      </c>
      <c r="C8" s="168">
        <v>0</v>
      </c>
      <c r="D8" s="168">
        <v>0</v>
      </c>
      <c r="E8" s="168">
        <v>0</v>
      </c>
      <c r="F8" s="168">
        <v>0</v>
      </c>
      <c r="G8" s="184">
        <f t="shared" si="0"/>
        <v>0</v>
      </c>
      <c r="H8" s="168">
        <v>0</v>
      </c>
      <c r="I8" s="168">
        <v>0</v>
      </c>
      <c r="J8" s="168">
        <v>0</v>
      </c>
      <c r="K8" s="168">
        <v>0</v>
      </c>
      <c r="L8" s="168">
        <v>0</v>
      </c>
      <c r="M8" s="184">
        <f t="shared" si="1"/>
        <v>0</v>
      </c>
      <c r="N8" s="168">
        <v>0</v>
      </c>
      <c r="O8" s="168">
        <v>0</v>
      </c>
      <c r="P8" s="168">
        <v>0</v>
      </c>
      <c r="Q8" s="168">
        <v>0</v>
      </c>
      <c r="R8" s="168">
        <v>0</v>
      </c>
      <c r="S8" s="184">
        <f t="shared" si="2"/>
        <v>0</v>
      </c>
      <c r="T8" s="168">
        <v>0</v>
      </c>
      <c r="U8" s="168">
        <v>0</v>
      </c>
      <c r="V8" s="168">
        <v>0</v>
      </c>
      <c r="W8" s="168">
        <v>0</v>
      </c>
      <c r="X8" s="168">
        <v>0</v>
      </c>
      <c r="Y8" s="184">
        <f t="shared" si="3"/>
        <v>0</v>
      </c>
      <c r="Z8" s="168">
        <v>0</v>
      </c>
      <c r="AA8" s="168">
        <v>0</v>
      </c>
      <c r="AB8" s="168">
        <v>0</v>
      </c>
      <c r="AC8" s="168">
        <v>0</v>
      </c>
      <c r="AD8" s="168">
        <v>0</v>
      </c>
      <c r="AE8" s="184">
        <f t="shared" si="4"/>
        <v>0</v>
      </c>
      <c r="AF8" s="168">
        <v>0</v>
      </c>
      <c r="AG8" s="168">
        <v>0</v>
      </c>
      <c r="AH8" s="168">
        <v>0</v>
      </c>
      <c r="AI8" s="168">
        <v>0</v>
      </c>
      <c r="AJ8" s="168">
        <v>0</v>
      </c>
      <c r="AK8" s="184">
        <f t="shared" si="5"/>
        <v>0</v>
      </c>
    </row>
    <row r="9" spans="1:37">
      <c r="A9" s="182" t="s">
        <v>89</v>
      </c>
      <c r="B9" s="183">
        <v>0</v>
      </c>
      <c r="C9" s="168">
        <v>0</v>
      </c>
      <c r="D9" s="168">
        <v>0</v>
      </c>
      <c r="E9" s="168">
        <v>0</v>
      </c>
      <c r="F9" s="168">
        <v>0</v>
      </c>
      <c r="G9" s="184">
        <f t="shared" si="0"/>
        <v>0</v>
      </c>
      <c r="H9" s="168">
        <v>0</v>
      </c>
      <c r="I9" s="168">
        <v>0</v>
      </c>
      <c r="J9" s="168">
        <v>0</v>
      </c>
      <c r="K9" s="168">
        <v>0</v>
      </c>
      <c r="L9" s="168">
        <v>0</v>
      </c>
      <c r="M9" s="184">
        <f t="shared" si="1"/>
        <v>0</v>
      </c>
      <c r="N9" s="168">
        <v>0</v>
      </c>
      <c r="O9" s="168">
        <v>0</v>
      </c>
      <c r="P9" s="168">
        <v>0</v>
      </c>
      <c r="Q9" s="168">
        <v>0</v>
      </c>
      <c r="R9" s="168">
        <v>0</v>
      </c>
      <c r="S9" s="184">
        <f t="shared" si="2"/>
        <v>0</v>
      </c>
      <c r="T9" s="168">
        <v>0</v>
      </c>
      <c r="U9" s="168">
        <v>0</v>
      </c>
      <c r="V9" s="168">
        <v>0</v>
      </c>
      <c r="W9" s="168">
        <v>0</v>
      </c>
      <c r="X9" s="168">
        <v>0</v>
      </c>
      <c r="Y9" s="184">
        <f t="shared" si="3"/>
        <v>0</v>
      </c>
      <c r="Z9" s="168">
        <v>0</v>
      </c>
      <c r="AA9" s="168">
        <v>0</v>
      </c>
      <c r="AB9" s="168">
        <v>0</v>
      </c>
      <c r="AC9" s="168">
        <v>0</v>
      </c>
      <c r="AD9" s="168">
        <v>0</v>
      </c>
      <c r="AE9" s="184">
        <f t="shared" si="4"/>
        <v>0</v>
      </c>
      <c r="AF9" s="168">
        <v>0</v>
      </c>
      <c r="AG9" s="168">
        <v>0</v>
      </c>
      <c r="AH9" s="168">
        <v>0</v>
      </c>
      <c r="AI9" s="168">
        <v>0</v>
      </c>
      <c r="AJ9" s="168">
        <v>0</v>
      </c>
      <c r="AK9" s="184">
        <f t="shared" si="5"/>
        <v>0</v>
      </c>
    </row>
    <row r="10" spans="1:37">
      <c r="A10" s="182" t="s">
        <v>90</v>
      </c>
      <c r="B10" s="183">
        <v>0</v>
      </c>
      <c r="C10" s="168">
        <v>0</v>
      </c>
      <c r="D10" s="168">
        <v>0</v>
      </c>
      <c r="E10" s="168">
        <v>0</v>
      </c>
      <c r="F10" s="168">
        <v>0</v>
      </c>
      <c r="G10" s="184">
        <f t="shared" si="0"/>
        <v>0</v>
      </c>
      <c r="H10" s="168">
        <v>0</v>
      </c>
      <c r="I10" s="168">
        <v>0</v>
      </c>
      <c r="J10" s="168">
        <v>0</v>
      </c>
      <c r="K10" s="168">
        <v>0</v>
      </c>
      <c r="L10" s="168">
        <v>0</v>
      </c>
      <c r="M10" s="184">
        <f t="shared" si="1"/>
        <v>0</v>
      </c>
      <c r="N10" s="168">
        <v>0</v>
      </c>
      <c r="O10" s="168">
        <v>0</v>
      </c>
      <c r="P10" s="168">
        <v>0</v>
      </c>
      <c r="Q10" s="168">
        <v>0</v>
      </c>
      <c r="R10" s="168">
        <v>0</v>
      </c>
      <c r="S10" s="184">
        <f t="shared" si="2"/>
        <v>0</v>
      </c>
      <c r="T10" s="168">
        <v>0</v>
      </c>
      <c r="U10" s="168">
        <v>0</v>
      </c>
      <c r="V10" s="168">
        <v>0</v>
      </c>
      <c r="W10" s="168">
        <v>0</v>
      </c>
      <c r="X10" s="168">
        <v>0</v>
      </c>
      <c r="Y10" s="184">
        <f t="shared" si="3"/>
        <v>0</v>
      </c>
      <c r="Z10" s="168">
        <v>0</v>
      </c>
      <c r="AA10" s="168">
        <v>0</v>
      </c>
      <c r="AB10" s="168">
        <v>0</v>
      </c>
      <c r="AC10" s="168">
        <v>0</v>
      </c>
      <c r="AD10" s="168">
        <v>0</v>
      </c>
      <c r="AE10" s="184">
        <f t="shared" si="4"/>
        <v>0</v>
      </c>
      <c r="AF10" s="168">
        <v>0</v>
      </c>
      <c r="AG10" s="168">
        <v>0</v>
      </c>
      <c r="AH10" s="168">
        <v>0</v>
      </c>
      <c r="AI10" s="168">
        <v>0</v>
      </c>
      <c r="AJ10" s="168">
        <v>0</v>
      </c>
      <c r="AK10" s="184">
        <f t="shared" si="5"/>
        <v>0</v>
      </c>
    </row>
    <row r="11" spans="1:37">
      <c r="A11" s="182" t="s">
        <v>91</v>
      </c>
      <c r="B11" s="183">
        <v>0</v>
      </c>
      <c r="C11" s="168">
        <v>0</v>
      </c>
      <c r="D11" s="168">
        <v>0</v>
      </c>
      <c r="E11" s="168">
        <v>0</v>
      </c>
      <c r="F11" s="168">
        <v>0</v>
      </c>
      <c r="G11" s="184">
        <f t="shared" si="0"/>
        <v>0</v>
      </c>
      <c r="H11" s="168">
        <v>0</v>
      </c>
      <c r="I11" s="168">
        <v>0</v>
      </c>
      <c r="J11" s="168">
        <v>0</v>
      </c>
      <c r="K11" s="168">
        <v>0</v>
      </c>
      <c r="L11" s="168">
        <v>0</v>
      </c>
      <c r="M11" s="184">
        <f t="shared" si="1"/>
        <v>0</v>
      </c>
      <c r="N11" s="168">
        <v>0</v>
      </c>
      <c r="O11" s="168">
        <v>0</v>
      </c>
      <c r="P11" s="168">
        <v>0</v>
      </c>
      <c r="Q11" s="168">
        <v>0</v>
      </c>
      <c r="R11" s="168">
        <v>0</v>
      </c>
      <c r="S11" s="184">
        <f t="shared" si="2"/>
        <v>0</v>
      </c>
      <c r="T11" s="168">
        <v>0</v>
      </c>
      <c r="U11" s="168">
        <v>0</v>
      </c>
      <c r="V11" s="168">
        <v>0</v>
      </c>
      <c r="W11" s="168">
        <v>0</v>
      </c>
      <c r="X11" s="168">
        <v>0</v>
      </c>
      <c r="Y11" s="184">
        <f t="shared" si="3"/>
        <v>0</v>
      </c>
      <c r="Z11" s="168">
        <v>0</v>
      </c>
      <c r="AA11" s="168">
        <v>0</v>
      </c>
      <c r="AB11" s="168">
        <v>0</v>
      </c>
      <c r="AC11" s="168">
        <v>0</v>
      </c>
      <c r="AD11" s="168">
        <v>0</v>
      </c>
      <c r="AE11" s="184">
        <f t="shared" si="4"/>
        <v>0</v>
      </c>
      <c r="AF11" s="168">
        <v>0</v>
      </c>
      <c r="AG11" s="168">
        <v>0</v>
      </c>
      <c r="AH11" s="168">
        <v>0</v>
      </c>
      <c r="AI11" s="168">
        <v>0</v>
      </c>
      <c r="AJ11" s="168">
        <v>0</v>
      </c>
      <c r="AK11" s="184">
        <f t="shared" si="5"/>
        <v>0</v>
      </c>
    </row>
    <row r="12" spans="1:37">
      <c r="A12" s="182" t="s">
        <v>92</v>
      </c>
      <c r="B12" s="183">
        <v>0</v>
      </c>
      <c r="C12" s="168">
        <v>0</v>
      </c>
      <c r="D12" s="168">
        <v>0</v>
      </c>
      <c r="E12" s="168">
        <v>0</v>
      </c>
      <c r="F12" s="168">
        <v>0</v>
      </c>
      <c r="G12" s="184">
        <f t="shared" si="0"/>
        <v>0</v>
      </c>
      <c r="H12" s="168">
        <v>0</v>
      </c>
      <c r="I12" s="168">
        <v>0</v>
      </c>
      <c r="J12" s="168">
        <v>0</v>
      </c>
      <c r="K12" s="168">
        <v>0</v>
      </c>
      <c r="L12" s="168">
        <v>0</v>
      </c>
      <c r="M12" s="184">
        <f t="shared" si="1"/>
        <v>0</v>
      </c>
      <c r="N12" s="168">
        <v>0</v>
      </c>
      <c r="O12" s="168">
        <v>0</v>
      </c>
      <c r="P12" s="168">
        <v>0</v>
      </c>
      <c r="Q12" s="168">
        <v>0</v>
      </c>
      <c r="R12" s="168">
        <v>0</v>
      </c>
      <c r="S12" s="184">
        <f t="shared" si="2"/>
        <v>0</v>
      </c>
      <c r="T12" s="168">
        <v>0</v>
      </c>
      <c r="U12" s="168">
        <v>0</v>
      </c>
      <c r="V12" s="168">
        <v>0</v>
      </c>
      <c r="W12" s="168">
        <v>0</v>
      </c>
      <c r="X12" s="168">
        <v>0</v>
      </c>
      <c r="Y12" s="184">
        <f t="shared" si="3"/>
        <v>0</v>
      </c>
      <c r="Z12" s="168">
        <v>0</v>
      </c>
      <c r="AA12" s="168">
        <v>0</v>
      </c>
      <c r="AB12" s="168">
        <v>0</v>
      </c>
      <c r="AC12" s="168">
        <v>0</v>
      </c>
      <c r="AD12" s="168">
        <v>0</v>
      </c>
      <c r="AE12" s="184">
        <f t="shared" si="4"/>
        <v>0</v>
      </c>
      <c r="AF12" s="168">
        <v>0</v>
      </c>
      <c r="AG12" s="168">
        <v>0</v>
      </c>
      <c r="AH12" s="168">
        <v>0</v>
      </c>
      <c r="AI12" s="168">
        <v>0</v>
      </c>
      <c r="AJ12" s="168">
        <v>0</v>
      </c>
      <c r="AK12" s="184">
        <f t="shared" si="5"/>
        <v>0</v>
      </c>
    </row>
    <row r="13" spans="1:37">
      <c r="A13" s="185" t="s">
        <v>93</v>
      </c>
      <c r="B13" s="186">
        <f>Cement!B12</f>
        <v>0.10146173274</v>
      </c>
      <c r="C13" s="187">
        <v>0</v>
      </c>
      <c r="D13" s="187">
        <v>0</v>
      </c>
      <c r="E13" s="187">
        <v>0</v>
      </c>
      <c r="F13" s="187">
        <v>0</v>
      </c>
      <c r="G13" s="188">
        <f t="shared" si="0"/>
        <v>0.10146173274</v>
      </c>
      <c r="H13" s="186">
        <f>Cement!D12</f>
        <v>0</v>
      </c>
      <c r="I13" s="187">
        <v>0</v>
      </c>
      <c r="J13" s="187">
        <v>0</v>
      </c>
      <c r="K13" s="187">
        <v>0</v>
      </c>
      <c r="L13" s="187">
        <v>0</v>
      </c>
      <c r="M13" s="188">
        <f t="shared" si="1"/>
        <v>0</v>
      </c>
      <c r="N13" s="186">
        <f>Cement!E12</f>
        <v>0</v>
      </c>
      <c r="O13" s="187">
        <v>0</v>
      </c>
      <c r="P13" s="187">
        <v>0</v>
      </c>
      <c r="Q13" s="187">
        <v>0</v>
      </c>
      <c r="R13" s="187">
        <v>0</v>
      </c>
      <c r="S13" s="188">
        <f t="shared" si="2"/>
        <v>0</v>
      </c>
      <c r="T13" s="186">
        <f>Cement!F12</f>
        <v>0</v>
      </c>
      <c r="U13" s="187">
        <v>0</v>
      </c>
      <c r="V13" s="187">
        <v>0</v>
      </c>
      <c r="W13" s="187">
        <v>0</v>
      </c>
      <c r="X13" s="187">
        <v>0</v>
      </c>
      <c r="Y13" s="188">
        <f t="shared" si="3"/>
        <v>0</v>
      </c>
      <c r="Z13" s="186">
        <f>Cement!G12</f>
        <v>0</v>
      </c>
      <c r="AA13" s="187">
        <v>0</v>
      </c>
      <c r="AB13" s="187">
        <v>0</v>
      </c>
      <c r="AC13" s="187">
        <v>0</v>
      </c>
      <c r="AD13" s="187">
        <v>0</v>
      </c>
      <c r="AE13" s="188">
        <f t="shared" si="4"/>
        <v>0</v>
      </c>
      <c r="AF13" s="186">
        <f>Cement!H12</f>
        <v>0</v>
      </c>
      <c r="AG13" s="187">
        <v>0</v>
      </c>
      <c r="AH13" s="187">
        <v>0</v>
      </c>
      <c r="AI13" s="187">
        <v>0</v>
      </c>
      <c r="AJ13" s="187">
        <v>0</v>
      </c>
      <c r="AK13" s="188">
        <f t="shared" si="5"/>
        <v>0</v>
      </c>
    </row>
    <row r="14" spans="1:37" s="43" customFormat="1">
      <c r="A14" s="166" t="s">
        <v>73</v>
      </c>
      <c r="B14" s="189">
        <f>SUM(B15:B21)</f>
        <v>0</v>
      </c>
      <c r="C14" s="190">
        <f>SUM(C15:C21)</f>
        <v>0</v>
      </c>
      <c r="D14" s="190">
        <f>SUM(D15:D21)</f>
        <v>0</v>
      </c>
      <c r="E14" s="190">
        <f>SUM(E15:E21)</f>
        <v>0</v>
      </c>
      <c r="F14" s="190">
        <f>SUM(F15:F21)</f>
        <v>7.5674148266427654E-2</v>
      </c>
      <c r="G14" s="167">
        <f t="shared" si="0"/>
        <v>7.5674148266427654E-2</v>
      </c>
      <c r="H14" s="189">
        <f>SUM(H15:H21)</f>
        <v>0</v>
      </c>
      <c r="I14" s="190">
        <f>SUM(I15:I21)</f>
        <v>0</v>
      </c>
      <c r="J14" s="190">
        <f>SUM(J15:J21)</f>
        <v>0</v>
      </c>
      <c r="K14" s="190">
        <f>SUM(K15:K21)</f>
        <v>0</v>
      </c>
      <c r="L14" s="190">
        <f>SUM(L15:L21)</f>
        <v>2.8679940794749489E-2</v>
      </c>
      <c r="M14" s="167">
        <f t="shared" si="1"/>
        <v>2.8679940794749489E-2</v>
      </c>
      <c r="P14" s="190">
        <f>SUM(P15:P21)</f>
        <v>0</v>
      </c>
      <c r="Q14" s="190">
        <f>SUM(Q15:Q21)</f>
        <v>0</v>
      </c>
      <c r="R14" s="190">
        <f>SUM(R15:R21)</f>
        <v>2.0800401847495573E-2</v>
      </c>
      <c r="S14" s="167">
        <f t="shared" si="2"/>
        <v>2.0800401847495573E-2</v>
      </c>
      <c r="T14" s="189">
        <f>SUM(T15:T21)</f>
        <v>0</v>
      </c>
      <c r="U14" s="190">
        <f>SUM(U15:U21)</f>
        <v>0</v>
      </c>
      <c r="V14" s="190">
        <f>SUM(V15:V21)</f>
        <v>0</v>
      </c>
      <c r="W14" s="190">
        <f>SUM(W15:W21)</f>
        <v>0</v>
      </c>
      <c r="X14" s="190">
        <f>SUM(X15:X21)</f>
        <v>1.3237445160031301E-2</v>
      </c>
      <c r="Y14" s="167">
        <f t="shared" si="3"/>
        <v>1.3237445160031301E-2</v>
      </c>
      <c r="Z14" s="191">
        <f>SUM(Z15:Z21)</f>
        <v>0</v>
      </c>
      <c r="AA14" s="192">
        <f>SUM(AA15:AA21)</f>
        <v>0</v>
      </c>
      <c r="AB14" s="192">
        <f>SUM(AB15:AB21)</f>
        <v>0</v>
      </c>
      <c r="AC14" s="192">
        <f>SUM(AC15:AC21)</f>
        <v>0</v>
      </c>
      <c r="AD14" s="193">
        <f>SUM(AD15:AD21)</f>
        <v>1.3325288751024419E-2</v>
      </c>
      <c r="AE14" s="167">
        <f t="shared" si="4"/>
        <v>1.3325288751024419E-2</v>
      </c>
      <c r="AF14" s="194">
        <f>SUM(AF15:AF21)</f>
        <v>0</v>
      </c>
      <c r="AG14" s="193">
        <f>SUM(AG15:AG21)</f>
        <v>0</v>
      </c>
      <c r="AH14" s="193">
        <f>SUM(AH15:AH21)</f>
        <v>0</v>
      </c>
      <c r="AI14" s="193">
        <f>SUM(AI15:AI21)</f>
        <v>0</v>
      </c>
      <c r="AJ14" s="193">
        <f>SUM(AJ15:AJ21)</f>
        <v>1.3003944355737819E-2</v>
      </c>
      <c r="AK14" s="195">
        <f t="shared" ref="AK14:AK21" si="6">SUM(AF14:AJ14)</f>
        <v>1.3003944355737819E-2</v>
      </c>
    </row>
    <row r="15" spans="1:37">
      <c r="A15" s="196" t="s">
        <v>87</v>
      </c>
      <c r="B15" s="183">
        <v>0</v>
      </c>
      <c r="C15" s="168">
        <v>0</v>
      </c>
      <c r="D15" s="168">
        <v>0</v>
      </c>
      <c r="E15" s="168">
        <v>0</v>
      </c>
      <c r="F15" s="170">
        <f>'Electrical T&amp;D'!B27</f>
        <v>6.300205724932435E-3</v>
      </c>
      <c r="G15" s="184">
        <f t="shared" si="0"/>
        <v>6.300205724932435E-3</v>
      </c>
      <c r="H15" s="183">
        <v>0</v>
      </c>
      <c r="I15" s="168">
        <v>0</v>
      </c>
      <c r="J15" s="168">
        <v>0</v>
      </c>
      <c r="K15" s="168">
        <v>0</v>
      </c>
      <c r="L15" s="170">
        <f>'Electrical T&amp;D'!D27</f>
        <v>3.1502681693728932E-3</v>
      </c>
      <c r="M15" s="184">
        <f t="shared" si="1"/>
        <v>3.1502681693728932E-3</v>
      </c>
      <c r="P15" s="168">
        <v>0</v>
      </c>
      <c r="Q15" s="168">
        <v>0</v>
      </c>
      <c r="R15" s="170">
        <f>'Electrical T&amp;D'!E27</f>
        <v>2.3053720462852612E-3</v>
      </c>
      <c r="S15" s="184">
        <f t="shared" si="2"/>
        <v>2.3053720462852612E-3</v>
      </c>
      <c r="T15" s="183">
        <v>0</v>
      </c>
      <c r="U15" s="168">
        <v>0</v>
      </c>
      <c r="V15" s="168">
        <v>0</v>
      </c>
      <c r="W15" s="168">
        <v>0</v>
      </c>
      <c r="X15" s="170">
        <f>'Electrical T&amp;D'!F27</f>
        <v>1.501295994560617E-3</v>
      </c>
      <c r="Y15" s="184">
        <f t="shared" si="3"/>
        <v>1.501295994560617E-3</v>
      </c>
      <c r="Z15" s="197">
        <v>0</v>
      </c>
      <c r="AA15" s="198">
        <v>0</v>
      </c>
      <c r="AB15" s="198">
        <v>0</v>
      </c>
      <c r="AC15" s="198">
        <v>0</v>
      </c>
      <c r="AD15" s="199">
        <f>'Electrical T&amp;D'!G27</f>
        <v>1.5319623591327069E-3</v>
      </c>
      <c r="AE15" s="184">
        <f t="shared" si="4"/>
        <v>1.5319623591327069E-3</v>
      </c>
      <c r="AF15" s="200">
        <v>0</v>
      </c>
      <c r="AG15" s="199">
        <v>0</v>
      </c>
      <c r="AH15" s="199">
        <v>0</v>
      </c>
      <c r="AI15" s="199">
        <v>0</v>
      </c>
      <c r="AJ15" s="199">
        <f>'Electrical T&amp;D'!H27</f>
        <v>1.4902781812897437E-3</v>
      </c>
      <c r="AK15" s="201">
        <f t="shared" si="6"/>
        <v>1.4902781812897437E-3</v>
      </c>
    </row>
    <row r="16" spans="1:37">
      <c r="A16" s="196" t="s">
        <v>88</v>
      </c>
      <c r="B16" s="183">
        <v>0</v>
      </c>
      <c r="C16" s="168">
        <v>0</v>
      </c>
      <c r="D16" s="168">
        <v>0</v>
      </c>
      <c r="E16" s="168">
        <v>0</v>
      </c>
      <c r="F16" s="170">
        <f>'Electrical T&amp;D'!B33</f>
        <v>3.050431327520932E-3</v>
      </c>
      <c r="G16" s="184">
        <f t="shared" si="0"/>
        <v>3.050431327520932E-3</v>
      </c>
      <c r="H16" s="183">
        <v>0</v>
      </c>
      <c r="I16" s="168">
        <v>0</v>
      </c>
      <c r="J16" s="168">
        <v>0</v>
      </c>
      <c r="K16" s="168">
        <v>0</v>
      </c>
      <c r="L16" s="170">
        <f>'Electrical T&amp;D'!D33</f>
        <v>1.2650450227297584E-3</v>
      </c>
      <c r="M16" s="184">
        <f t="shared" si="1"/>
        <v>1.2650450227297584E-3</v>
      </c>
      <c r="P16" s="168">
        <v>0</v>
      </c>
      <c r="Q16" s="168">
        <v>0</v>
      </c>
      <c r="R16" s="170">
        <f>'Electrical T&amp;D'!E33</f>
        <v>9.026652388444584E-4</v>
      </c>
      <c r="S16" s="184">
        <f t="shared" si="2"/>
        <v>9.026652388444584E-4</v>
      </c>
      <c r="T16" s="183">
        <v>0</v>
      </c>
      <c r="U16" s="168">
        <v>0</v>
      </c>
      <c r="V16" s="168">
        <v>0</v>
      </c>
      <c r="W16" s="168">
        <v>0</v>
      </c>
      <c r="X16" s="170">
        <f>'Electrical T&amp;D'!F33</f>
        <v>6.0920934342403594E-4</v>
      </c>
      <c r="Y16" s="184">
        <f t="shared" si="3"/>
        <v>6.0920934342403594E-4</v>
      </c>
      <c r="Z16" s="197">
        <v>0</v>
      </c>
      <c r="AA16" s="198">
        <v>0</v>
      </c>
      <c r="AB16" s="198">
        <v>0</v>
      </c>
      <c r="AC16" s="198">
        <v>0</v>
      </c>
      <c r="AD16" s="199">
        <f>'Electrical T&amp;D'!G33</f>
        <v>6.3019256954468909E-4</v>
      </c>
      <c r="AE16" s="184">
        <f t="shared" si="4"/>
        <v>6.3019256954468909E-4</v>
      </c>
      <c r="AF16" s="200">
        <v>0</v>
      </c>
      <c r="AG16" s="199">
        <v>0</v>
      </c>
      <c r="AH16" s="199">
        <v>0</v>
      </c>
      <c r="AI16" s="199">
        <v>0</v>
      </c>
      <c r="AJ16" s="199">
        <f>'Electrical T&amp;D'!H33</f>
        <v>6.3357355932537596E-4</v>
      </c>
      <c r="AK16" s="201">
        <f t="shared" si="6"/>
        <v>6.3357355932537596E-4</v>
      </c>
    </row>
    <row r="17" spans="1:37">
      <c r="A17" s="196" t="s">
        <v>89</v>
      </c>
      <c r="B17" s="183">
        <v>0</v>
      </c>
      <c r="C17" s="168">
        <v>0</v>
      </c>
      <c r="D17" s="168">
        <v>0</v>
      </c>
      <c r="E17" s="168">
        <v>0</v>
      </c>
      <c r="F17" s="170">
        <f>'Electrical T&amp;D'!B39</f>
        <v>1.1420874748231728E-4</v>
      </c>
      <c r="G17" s="184">
        <f t="shared" si="0"/>
        <v>1.1420874748231728E-4</v>
      </c>
      <c r="H17" s="183">
        <v>0</v>
      </c>
      <c r="I17" s="168">
        <v>0</v>
      </c>
      <c r="J17" s="168">
        <v>0</v>
      </c>
      <c r="K17" s="168">
        <v>0</v>
      </c>
      <c r="L17" s="170">
        <f>'Electrical T&amp;D'!D39</f>
        <v>8.3278554150435769E-5</v>
      </c>
      <c r="M17" s="184">
        <f t="shared" si="1"/>
        <v>8.3278554150435769E-5</v>
      </c>
      <c r="P17" s="168">
        <v>0</v>
      </c>
      <c r="Q17" s="168">
        <v>0</v>
      </c>
      <c r="R17" s="170">
        <f>'Electrical T&amp;D'!E39</f>
        <v>5.1864395002990783E-5</v>
      </c>
      <c r="S17" s="184">
        <f t="shared" si="2"/>
        <v>5.1864395002990783E-5</v>
      </c>
      <c r="T17" s="183">
        <v>0</v>
      </c>
      <c r="U17" s="168">
        <v>0</v>
      </c>
      <c r="V17" s="168">
        <v>0</v>
      </c>
      <c r="W17" s="168">
        <v>0</v>
      </c>
      <c r="X17" s="170">
        <f>'Electrical T&amp;D'!F39</f>
        <v>3.6400736948371207E-5</v>
      </c>
      <c r="Y17" s="184">
        <f t="shared" si="3"/>
        <v>3.6400736948371207E-5</v>
      </c>
      <c r="Z17" s="197">
        <v>0</v>
      </c>
      <c r="AA17" s="198">
        <v>0</v>
      </c>
      <c r="AB17" s="198">
        <v>0</v>
      </c>
      <c r="AC17" s="198">
        <v>0</v>
      </c>
      <c r="AD17" s="199">
        <f>'Electrical T&amp;D'!G39</f>
        <v>4.3052614757479223E-5</v>
      </c>
      <c r="AE17" s="184">
        <f t="shared" si="4"/>
        <v>4.3052614757479223E-5</v>
      </c>
      <c r="AF17" s="200">
        <v>0</v>
      </c>
      <c r="AG17" s="199">
        <v>0</v>
      </c>
      <c r="AH17" s="199">
        <v>0</v>
      </c>
      <c r="AI17" s="199">
        <v>0</v>
      </c>
      <c r="AJ17" s="199">
        <f>'Electrical T&amp;D'!H39</f>
        <v>4.2627977167089124E-5</v>
      </c>
      <c r="AK17" s="201">
        <f t="shared" si="6"/>
        <v>4.2627977167089124E-5</v>
      </c>
    </row>
    <row r="18" spans="1:37">
      <c r="A18" s="196" t="s">
        <v>90</v>
      </c>
      <c r="B18" s="183">
        <v>0</v>
      </c>
      <c r="C18" s="168">
        <v>0</v>
      </c>
      <c r="D18" s="168">
        <v>0</v>
      </c>
      <c r="E18" s="168">
        <v>0</v>
      </c>
      <c r="F18" s="170">
        <f>'Electrical T&amp;D'!B45</f>
        <v>6.5740389531202086E-3</v>
      </c>
      <c r="G18" s="184">
        <f t="shared" si="0"/>
        <v>6.5740389531202086E-3</v>
      </c>
      <c r="H18" s="183">
        <v>0</v>
      </c>
      <c r="I18" s="168">
        <v>0</v>
      </c>
      <c r="J18" s="168">
        <v>0</v>
      </c>
      <c r="K18" s="168">
        <v>0</v>
      </c>
      <c r="L18" s="170">
        <f>'Electrical T&amp;D'!D45</f>
        <v>3.2882538190091267E-3</v>
      </c>
      <c r="M18" s="184">
        <f t="shared" si="1"/>
        <v>3.2882538190091267E-3</v>
      </c>
      <c r="P18" s="168">
        <v>0</v>
      </c>
      <c r="Q18" s="168">
        <v>0</v>
      </c>
      <c r="R18" s="170">
        <f>'Electrical T&amp;D'!E45</f>
        <v>2.3580486725713924E-3</v>
      </c>
      <c r="S18" s="184">
        <f t="shared" si="2"/>
        <v>2.3580486725713924E-3</v>
      </c>
      <c r="T18" s="183">
        <v>0</v>
      </c>
      <c r="U18" s="168">
        <v>0</v>
      </c>
      <c r="V18" s="168">
        <v>0</v>
      </c>
      <c r="W18" s="168">
        <v>0</v>
      </c>
      <c r="X18" s="170">
        <f>'Electrical T&amp;D'!F45</f>
        <v>1.5271601584286461E-3</v>
      </c>
      <c r="Y18" s="184">
        <f t="shared" si="3"/>
        <v>1.5271601584286461E-3</v>
      </c>
      <c r="Z18" s="197">
        <v>0</v>
      </c>
      <c r="AA18" s="198">
        <v>0</v>
      </c>
      <c r="AB18" s="198">
        <v>0</v>
      </c>
      <c r="AC18" s="198">
        <v>0</v>
      </c>
      <c r="AD18" s="199">
        <f>'Electrical T&amp;D'!G45</f>
        <v>1.5207359847408343E-3</v>
      </c>
      <c r="AE18" s="184">
        <f t="shared" si="4"/>
        <v>1.5207359847408343E-3</v>
      </c>
      <c r="AF18" s="200">
        <v>0</v>
      </c>
      <c r="AG18" s="199">
        <v>0</v>
      </c>
      <c r="AH18" s="199">
        <v>0</v>
      </c>
      <c r="AI18" s="199">
        <v>0</v>
      </c>
      <c r="AJ18" s="199">
        <f>'Electrical T&amp;D'!H45</f>
        <v>1.4755995924311928E-3</v>
      </c>
      <c r="AK18" s="201">
        <f t="shared" si="6"/>
        <v>1.4755995924311928E-3</v>
      </c>
    </row>
    <row r="19" spans="1:37">
      <c r="A19" s="196" t="s">
        <v>91</v>
      </c>
      <c r="B19" s="183">
        <v>0</v>
      </c>
      <c r="C19" s="168">
        <v>0</v>
      </c>
      <c r="D19" s="168">
        <v>0</v>
      </c>
      <c r="E19" s="168">
        <v>0</v>
      </c>
      <c r="F19" s="170">
        <f>'Electrical T&amp;D'!B51</f>
        <v>2.499432041883138E-4</v>
      </c>
      <c r="G19" s="184">
        <f t="shared" si="0"/>
        <v>2.499432041883138E-4</v>
      </c>
      <c r="H19" s="183">
        <v>0</v>
      </c>
      <c r="I19" s="168">
        <v>0</v>
      </c>
      <c r="J19" s="168">
        <v>0</v>
      </c>
      <c r="K19" s="168">
        <v>0</v>
      </c>
      <c r="L19" s="170">
        <f>'Electrical T&amp;D'!D51</f>
        <v>9.6880139972767488E-5</v>
      </c>
      <c r="M19" s="184">
        <f t="shared" si="1"/>
        <v>9.6880139972767488E-5</v>
      </c>
      <c r="P19" s="168">
        <v>0</v>
      </c>
      <c r="Q19" s="168">
        <v>0</v>
      </c>
      <c r="R19" s="170">
        <f>'Electrical T&amp;D'!E51</f>
        <v>6.5333724005249436E-5</v>
      </c>
      <c r="S19" s="184">
        <f t="shared" si="2"/>
        <v>6.5333724005249436E-5</v>
      </c>
      <c r="T19" s="183">
        <v>0</v>
      </c>
      <c r="U19" s="168">
        <v>0</v>
      </c>
      <c r="V19" s="168">
        <v>0</v>
      </c>
      <c r="W19" s="168">
        <v>0</v>
      </c>
      <c r="X19" s="170">
        <f>'Electrical T&amp;D'!F51</f>
        <v>4.0444479969168699E-5</v>
      </c>
      <c r="Y19" s="184">
        <f t="shared" si="3"/>
        <v>4.0444479969168699E-5</v>
      </c>
      <c r="Z19" s="197">
        <v>0</v>
      </c>
      <c r="AA19" s="198">
        <v>0</v>
      </c>
      <c r="AB19" s="198">
        <v>0</v>
      </c>
      <c r="AC19" s="198">
        <v>0</v>
      </c>
      <c r="AD19" s="199">
        <f>'Electrical T&amp;D'!G51</f>
        <v>4.0429013071421551E-5</v>
      </c>
      <c r="AE19" s="184">
        <f t="shared" si="4"/>
        <v>4.0429013071421551E-5</v>
      </c>
      <c r="AF19" s="200">
        <v>0</v>
      </c>
      <c r="AG19" s="199">
        <v>0</v>
      </c>
      <c r="AH19" s="199">
        <v>0</v>
      </c>
      <c r="AI19" s="199">
        <v>0</v>
      </c>
      <c r="AJ19" s="199">
        <f>'Electrical T&amp;D'!H51</f>
        <v>4.0139791235674565E-5</v>
      </c>
      <c r="AK19" s="201">
        <f t="shared" si="6"/>
        <v>4.0139791235674565E-5</v>
      </c>
    </row>
    <row r="20" spans="1:37">
      <c r="A20" s="196" t="s">
        <v>92</v>
      </c>
      <c r="B20" s="183">
        <v>0</v>
      </c>
      <c r="C20" s="168">
        <v>0</v>
      </c>
      <c r="D20" s="168">
        <v>0</v>
      </c>
      <c r="E20" s="168">
        <v>0</v>
      </c>
      <c r="F20" s="170">
        <f>'Electrical T&amp;D'!B57</f>
        <v>0</v>
      </c>
      <c r="G20" s="184">
        <f t="shared" si="0"/>
        <v>0</v>
      </c>
      <c r="H20" s="183">
        <v>0</v>
      </c>
      <c r="I20" s="168">
        <v>0</v>
      </c>
      <c r="J20" s="168">
        <v>0</v>
      </c>
      <c r="K20" s="168">
        <v>0</v>
      </c>
      <c r="L20" s="170">
        <f>'Electrical T&amp;D'!D57</f>
        <v>0</v>
      </c>
      <c r="M20" s="184">
        <f t="shared" si="1"/>
        <v>0</v>
      </c>
      <c r="P20" s="168">
        <v>0</v>
      </c>
      <c r="Q20" s="168">
        <v>0</v>
      </c>
      <c r="R20" s="170">
        <f>'Electrical T&amp;D'!E57</f>
        <v>0</v>
      </c>
      <c r="S20" s="184">
        <f t="shared" si="2"/>
        <v>0</v>
      </c>
      <c r="T20" s="183">
        <v>0</v>
      </c>
      <c r="U20" s="168">
        <v>0</v>
      </c>
      <c r="V20" s="168">
        <v>0</v>
      </c>
      <c r="W20" s="168">
        <v>0</v>
      </c>
      <c r="X20" s="170">
        <f>'Electrical T&amp;D'!F57</f>
        <v>0</v>
      </c>
      <c r="Y20" s="184">
        <f t="shared" si="3"/>
        <v>0</v>
      </c>
      <c r="Z20" s="197">
        <v>0</v>
      </c>
      <c r="AA20" s="198">
        <v>0</v>
      </c>
      <c r="AB20" s="198">
        <v>0</v>
      </c>
      <c r="AC20" s="198">
        <v>0</v>
      </c>
      <c r="AD20" s="199">
        <f>'Electrical T&amp;D'!G57</f>
        <v>0</v>
      </c>
      <c r="AE20" s="184">
        <f t="shared" si="4"/>
        <v>0</v>
      </c>
      <c r="AF20" s="200">
        <v>0</v>
      </c>
      <c r="AG20" s="199">
        <v>0</v>
      </c>
      <c r="AH20" s="199">
        <v>0</v>
      </c>
      <c r="AI20" s="199">
        <v>0</v>
      </c>
      <c r="AJ20" s="199">
        <f>'Electrical T&amp;D'!H57</f>
        <v>0</v>
      </c>
      <c r="AK20" s="201">
        <f t="shared" si="6"/>
        <v>0</v>
      </c>
    </row>
    <row r="21" spans="1:37">
      <c r="A21" s="202" t="s">
        <v>93</v>
      </c>
      <c r="B21" s="186">
        <v>0</v>
      </c>
      <c r="C21" s="187">
        <v>0</v>
      </c>
      <c r="D21" s="187">
        <v>0</v>
      </c>
      <c r="E21" s="187">
        <v>0</v>
      </c>
      <c r="F21" s="172">
        <f>'Electrical T&amp;D'!B63</f>
        <v>5.9385320309183448E-2</v>
      </c>
      <c r="G21" s="188">
        <f t="shared" si="0"/>
        <v>5.9385320309183448E-2</v>
      </c>
      <c r="H21" s="186">
        <v>0</v>
      </c>
      <c r="I21" s="187">
        <v>0</v>
      </c>
      <c r="J21" s="187">
        <v>0</v>
      </c>
      <c r="K21" s="187">
        <v>0</v>
      </c>
      <c r="L21" s="172">
        <f>'Electrical T&amp;D'!D63</f>
        <v>2.0796215089514507E-2</v>
      </c>
      <c r="M21" s="188">
        <f t="shared" si="1"/>
        <v>2.0796215089514507E-2</v>
      </c>
      <c r="P21" s="187">
        <v>0</v>
      </c>
      <c r="Q21" s="187">
        <v>0</v>
      </c>
      <c r="R21" s="172">
        <f>'Electrical T&amp;D'!E63</f>
        <v>1.5117117770786221E-2</v>
      </c>
      <c r="S21" s="188">
        <f t="shared" si="2"/>
        <v>1.5117117770786221E-2</v>
      </c>
      <c r="T21" s="186">
        <v>0</v>
      </c>
      <c r="U21" s="187">
        <v>0</v>
      </c>
      <c r="V21" s="187">
        <v>0</v>
      </c>
      <c r="W21" s="187">
        <v>0</v>
      </c>
      <c r="X21" s="172">
        <f>'Electrical T&amp;D'!F63</f>
        <v>9.5229344467004633E-3</v>
      </c>
      <c r="Y21" s="188">
        <f t="shared" si="3"/>
        <v>9.5229344467004633E-3</v>
      </c>
      <c r="Z21" s="203">
        <v>0</v>
      </c>
      <c r="AA21" s="204">
        <v>0</v>
      </c>
      <c r="AB21" s="204">
        <v>0</v>
      </c>
      <c r="AC21" s="204">
        <v>0</v>
      </c>
      <c r="AD21" s="205">
        <f>'Electrical T&amp;D'!G63</f>
        <v>9.5589162097772882E-3</v>
      </c>
      <c r="AE21" s="188">
        <f t="shared" si="4"/>
        <v>9.5589162097772882E-3</v>
      </c>
      <c r="AF21" s="206">
        <v>0</v>
      </c>
      <c r="AG21" s="205">
        <v>0</v>
      </c>
      <c r="AH21" s="205">
        <v>0</v>
      </c>
      <c r="AI21" s="205">
        <v>0</v>
      </c>
      <c r="AJ21" s="205">
        <f>'Electrical T&amp;D'!H63</f>
        <v>9.321725254288744E-3</v>
      </c>
      <c r="AK21" s="207">
        <f t="shared" si="6"/>
        <v>9.321725254288744E-3</v>
      </c>
    </row>
    <row r="22" spans="1:37" s="43" customFormat="1">
      <c r="A22" s="166" t="s">
        <v>74</v>
      </c>
      <c r="B22" s="170">
        <f>SUM(B23:B29)</f>
        <v>0</v>
      </c>
      <c r="C22" s="170">
        <f>SUM(C23:C29)</f>
        <v>0</v>
      </c>
      <c r="D22" s="170">
        <f>SUM(D23:D29)</f>
        <v>0</v>
      </c>
      <c r="E22" s="170">
        <f>SUM(E23:E29)</f>
        <v>1.2951478637102561E-3</v>
      </c>
      <c r="F22" s="170">
        <f>SUM(F23:F29)</f>
        <v>0</v>
      </c>
      <c r="G22" s="208">
        <f>SUM(B22:F22)</f>
        <v>1.2951478637102561E-3</v>
      </c>
      <c r="H22" s="189">
        <f>SUM(H23:H29)</f>
        <v>0</v>
      </c>
      <c r="I22" s="190">
        <f t="shared" ref="I22:M22" si="7">SUM(I23:I29)</f>
        <v>0</v>
      </c>
      <c r="J22" s="190">
        <f t="shared" si="7"/>
        <v>0</v>
      </c>
      <c r="K22" s="190">
        <f t="shared" si="7"/>
        <v>0.52285565538432754</v>
      </c>
      <c r="L22" s="190">
        <f t="shared" si="7"/>
        <v>0</v>
      </c>
      <c r="M22" s="209">
        <f t="shared" si="7"/>
        <v>0.52285565538432754</v>
      </c>
      <c r="N22" s="189">
        <f>SUM(N23:N29)</f>
        <v>0</v>
      </c>
      <c r="O22" s="190">
        <f t="shared" ref="O22" si="8">SUM(O23:O29)</f>
        <v>0</v>
      </c>
      <c r="P22" s="190">
        <f t="shared" ref="P22" si="9">SUM(P23:P29)</f>
        <v>0</v>
      </c>
      <c r="Q22" s="190">
        <f t="shared" ref="Q22:R22" si="10">SUM(Q23:Q29)</f>
        <v>0.64547087176434925</v>
      </c>
      <c r="R22" s="190">
        <f t="shared" si="10"/>
        <v>0</v>
      </c>
      <c r="S22" s="209">
        <f t="shared" ref="S22" si="11">SUM(S23:S29)</f>
        <v>0.64547087176434925</v>
      </c>
      <c r="T22" s="210">
        <f>SUM(T23:T29)</f>
        <v>0</v>
      </c>
      <c r="U22" s="210">
        <f t="shared" ref="U22" si="12">SUM(U23:U29)</f>
        <v>0</v>
      </c>
      <c r="V22" s="210">
        <f t="shared" ref="V22" si="13">SUM(V23:V29)</f>
        <v>0</v>
      </c>
      <c r="W22" s="210">
        <f t="shared" ref="W22:X22" si="14">SUM(W23:W29)</f>
        <v>0.77304586812249543</v>
      </c>
      <c r="X22" s="210">
        <f t="shared" si="14"/>
        <v>0</v>
      </c>
      <c r="Y22" s="210">
        <f t="shared" ref="Y22" si="15">SUM(Y23:Y29)</f>
        <v>0.77304586812249543</v>
      </c>
      <c r="Z22" s="189">
        <f>SUM(Z23:Z29)</f>
        <v>0</v>
      </c>
      <c r="AA22" s="190">
        <f t="shared" ref="AA22" si="16">SUM(AA23:AA29)</f>
        <v>0</v>
      </c>
      <c r="AB22" s="190">
        <f t="shared" ref="AB22" si="17">SUM(AB23:AB29)</f>
        <v>0</v>
      </c>
      <c r="AC22" s="190">
        <f t="shared" ref="AC22:AD22" si="18">SUM(AC23:AC29)</f>
        <v>0.7793621591247043</v>
      </c>
      <c r="AD22" s="190">
        <f t="shared" si="18"/>
        <v>0</v>
      </c>
      <c r="AE22" s="209">
        <f t="shared" ref="AE22" si="19">SUM(AE23:AE29)</f>
        <v>0.7793621591247043</v>
      </c>
      <c r="AF22" s="189">
        <f>SUM(AF23:AF29)</f>
        <v>0</v>
      </c>
      <c r="AG22" s="190">
        <f t="shared" ref="AG22" si="20">SUM(AG23:AG29)</f>
        <v>0</v>
      </c>
      <c r="AH22" s="190">
        <f t="shared" ref="AH22" si="21">SUM(AH23:AH29)</f>
        <v>0</v>
      </c>
      <c r="AI22" s="190">
        <f t="shared" ref="AI22" si="22">SUM(AI23:AI29)</f>
        <v>0.78208292023898518</v>
      </c>
      <c r="AJ22" s="190">
        <f t="shared" ref="AJ22" si="23">SUM(AJ23:AJ29)</f>
        <v>0</v>
      </c>
      <c r="AK22" s="209">
        <f t="shared" ref="AK22" si="24">SUM(AK23:AK29)</f>
        <v>0.78208292023898518</v>
      </c>
    </row>
    <row r="23" spans="1:37">
      <c r="A23" s="196" t="s">
        <v>87</v>
      </c>
      <c r="B23" s="168">
        <v>0</v>
      </c>
      <c r="C23" s="168">
        <v>0</v>
      </c>
      <c r="D23" s="168">
        <v>0</v>
      </c>
      <c r="E23" s="170">
        <f>'ODS Subs'!AQ60</f>
        <v>1.4122800781525387E-4</v>
      </c>
      <c r="F23" s="170">
        <v>0</v>
      </c>
      <c r="G23" s="208">
        <f t="shared" ref="G23:G29" si="25">SUM(B23:F23)</f>
        <v>1.4122800781525387E-4</v>
      </c>
      <c r="H23" s="169">
        <v>0</v>
      </c>
      <c r="I23" s="170">
        <v>0</v>
      </c>
      <c r="J23" s="170">
        <v>0</v>
      </c>
      <c r="K23" s="170">
        <f>'ODS Subs'!AS60</f>
        <v>7.6892383810602205E-2</v>
      </c>
      <c r="L23" s="170">
        <v>0</v>
      </c>
      <c r="M23" s="208">
        <f t="shared" ref="M23:M29" si="26">SUM(H23:L23)</f>
        <v>7.6892383810602205E-2</v>
      </c>
      <c r="N23" s="169">
        <v>0</v>
      </c>
      <c r="O23" s="170">
        <v>0</v>
      </c>
      <c r="P23" s="170">
        <v>0</v>
      </c>
      <c r="Q23" s="170">
        <f>'ODS Subs'!AT60</f>
        <v>9.3147427060443225E-2</v>
      </c>
      <c r="R23" s="170">
        <v>0</v>
      </c>
      <c r="S23" s="208">
        <f t="shared" ref="S23:S29" si="27">SUM(N23:R23)</f>
        <v>9.3147427060443225E-2</v>
      </c>
      <c r="T23" s="170">
        <v>0</v>
      </c>
      <c r="U23" s="170">
        <v>0</v>
      </c>
      <c r="V23" s="170">
        <v>0</v>
      </c>
      <c r="W23" s="170">
        <f>'ODS Subs'!AU60</f>
        <v>0.10951186391998333</v>
      </c>
      <c r="X23" s="170">
        <v>0</v>
      </c>
      <c r="Y23" s="170">
        <f t="shared" ref="Y23:Y29" si="28">SUM(T23:X23)</f>
        <v>0.10951186391998333</v>
      </c>
      <c r="Z23" s="169">
        <v>0</v>
      </c>
      <c r="AA23" s="170">
        <v>0</v>
      </c>
      <c r="AB23" s="170">
        <v>0</v>
      </c>
      <c r="AC23" s="170">
        <f>'ODS Subs'!AV60</f>
        <v>0.11045069997242704</v>
      </c>
      <c r="AD23" s="170">
        <v>0</v>
      </c>
      <c r="AE23" s="208">
        <f t="shared" ref="AE23:AE29" si="29">SUM(Z23:AD23)</f>
        <v>0.11045069997242704</v>
      </c>
      <c r="AF23" s="169">
        <v>0</v>
      </c>
      <c r="AG23" s="170">
        <v>0</v>
      </c>
      <c r="AH23" s="170">
        <v>0</v>
      </c>
      <c r="AI23" s="170">
        <f>'ODS Subs'!AW60</f>
        <v>0.11206184341630175</v>
      </c>
      <c r="AJ23" s="170">
        <v>0</v>
      </c>
      <c r="AK23" s="208">
        <f t="shared" ref="AK23:AK29" si="30">SUM(AF23:AI23)</f>
        <v>0.11206184341630175</v>
      </c>
    </row>
    <row r="24" spans="1:37">
      <c r="A24" s="196" t="s">
        <v>88</v>
      </c>
      <c r="B24" s="168">
        <v>0</v>
      </c>
      <c r="C24" s="168">
        <v>0</v>
      </c>
      <c r="D24" s="168">
        <v>0</v>
      </c>
      <c r="E24" s="170">
        <f>'ODS Subs'!AQ79</f>
        <v>7.0385861721504616E-5</v>
      </c>
      <c r="F24" s="170">
        <v>0</v>
      </c>
      <c r="G24" s="208">
        <f t="shared" si="25"/>
        <v>7.0385861721504616E-5</v>
      </c>
      <c r="H24" s="169">
        <v>0</v>
      </c>
      <c r="I24" s="170">
        <v>0</v>
      </c>
      <c r="J24" s="170">
        <v>0</v>
      </c>
      <c r="K24" s="170">
        <f>'ODS Subs'!AS79</f>
        <v>3.2710339369831129E-2</v>
      </c>
      <c r="L24" s="170">
        <v>0</v>
      </c>
      <c r="M24" s="208">
        <f t="shared" si="26"/>
        <v>3.2710339369831129E-2</v>
      </c>
      <c r="N24" s="169">
        <v>0</v>
      </c>
      <c r="O24" s="170">
        <v>0</v>
      </c>
      <c r="P24" s="170">
        <v>0</v>
      </c>
      <c r="Q24" s="170">
        <f>'ODS Subs'!AT79</f>
        <v>3.8880775248522931E-2</v>
      </c>
      <c r="R24" s="170">
        <v>0</v>
      </c>
      <c r="S24" s="208">
        <f t="shared" si="27"/>
        <v>3.8880775248522931E-2</v>
      </c>
      <c r="T24" s="170">
        <v>0</v>
      </c>
      <c r="U24" s="170">
        <v>0</v>
      </c>
      <c r="V24" s="170">
        <v>0</v>
      </c>
      <c r="W24" s="170">
        <f>'ODS Subs'!AU79</f>
        <v>4.63226562164556E-2</v>
      </c>
      <c r="X24" s="170">
        <v>0</v>
      </c>
      <c r="Y24" s="170">
        <f t="shared" si="28"/>
        <v>4.63226562164556E-2</v>
      </c>
      <c r="Z24" s="169">
        <v>0</v>
      </c>
      <c r="AA24" s="170">
        <v>0</v>
      </c>
      <c r="AB24" s="170">
        <v>0</v>
      </c>
      <c r="AC24" s="170">
        <f>'ODS Subs'!AV79</f>
        <v>4.6608708755787862E-2</v>
      </c>
      <c r="AD24" s="170">
        <v>0</v>
      </c>
      <c r="AE24" s="208">
        <f t="shared" si="29"/>
        <v>4.6608708755787862E-2</v>
      </c>
      <c r="AF24" s="169">
        <v>0</v>
      </c>
      <c r="AG24" s="170">
        <v>0</v>
      </c>
      <c r="AH24" s="170">
        <v>0</v>
      </c>
      <c r="AI24" s="170">
        <f>'ODS Subs'!AW79</f>
        <v>4.7208112465952315E-2</v>
      </c>
      <c r="AJ24" s="170">
        <v>0</v>
      </c>
      <c r="AK24" s="208">
        <f t="shared" si="30"/>
        <v>4.7208112465952315E-2</v>
      </c>
    </row>
    <row r="25" spans="1:37">
      <c r="A25" s="196" t="s">
        <v>89</v>
      </c>
      <c r="B25" s="168">
        <v>0</v>
      </c>
      <c r="C25" s="168">
        <v>0</v>
      </c>
      <c r="D25" s="168">
        <v>0</v>
      </c>
      <c r="E25" s="170">
        <f>'ODS Subs'!AQ155</f>
        <v>2.7296373971392138E-6</v>
      </c>
      <c r="F25" s="170">
        <v>0</v>
      </c>
      <c r="G25" s="208">
        <f t="shared" si="25"/>
        <v>2.7296373971392138E-6</v>
      </c>
      <c r="H25" s="169">
        <v>0</v>
      </c>
      <c r="I25" s="170">
        <v>0</v>
      </c>
      <c r="J25" s="170">
        <v>0</v>
      </c>
      <c r="K25" s="170">
        <f>'ODS Subs'!AS155</f>
        <v>1.7925468104264177E-3</v>
      </c>
      <c r="L25" s="170">
        <v>0</v>
      </c>
      <c r="M25" s="208">
        <f t="shared" si="26"/>
        <v>1.7925468104264177E-3</v>
      </c>
      <c r="N25" s="169">
        <v>0</v>
      </c>
      <c r="O25" s="170">
        <v>0</v>
      </c>
      <c r="P25" s="170">
        <v>0</v>
      </c>
      <c r="Q25" s="170">
        <f>'ODS Subs'!AT155</f>
        <v>2.1737788317025652E-3</v>
      </c>
      <c r="R25" s="170">
        <v>0</v>
      </c>
      <c r="S25" s="208">
        <f t="shared" si="27"/>
        <v>2.1737788317025652E-3</v>
      </c>
      <c r="T25" s="170">
        <v>0</v>
      </c>
      <c r="U25" s="170">
        <v>0</v>
      </c>
      <c r="V25" s="170">
        <v>0</v>
      </c>
      <c r="W25" s="170">
        <f>'ODS Subs'!AU155</f>
        <v>2.6196346386440409E-3</v>
      </c>
      <c r="X25" s="170">
        <v>0</v>
      </c>
      <c r="Y25" s="170">
        <f t="shared" si="28"/>
        <v>2.6196346386440409E-3</v>
      </c>
      <c r="Z25" s="169">
        <v>0</v>
      </c>
      <c r="AA25" s="170">
        <v>0</v>
      </c>
      <c r="AB25" s="170">
        <v>0</v>
      </c>
      <c r="AC25" s="170">
        <f>'ODS Subs'!AV155</f>
        <v>2.654899386796224E-3</v>
      </c>
      <c r="AD25" s="170">
        <v>0</v>
      </c>
      <c r="AE25" s="208">
        <f t="shared" si="29"/>
        <v>2.654899386796224E-3</v>
      </c>
      <c r="AF25" s="169">
        <v>0</v>
      </c>
      <c r="AG25" s="170">
        <v>0</v>
      </c>
      <c r="AH25" s="170">
        <v>0</v>
      </c>
      <c r="AI25" s="170">
        <f>'ODS Subs'!AW155</f>
        <v>2.66679722602626E-3</v>
      </c>
      <c r="AJ25" s="170">
        <v>0</v>
      </c>
      <c r="AK25" s="208">
        <f t="shared" si="30"/>
        <v>2.66679722602626E-3</v>
      </c>
    </row>
    <row r="26" spans="1:37">
      <c r="A26" s="196" t="s">
        <v>90</v>
      </c>
      <c r="B26" s="168">
        <v>0</v>
      </c>
      <c r="C26" s="168">
        <v>0</v>
      </c>
      <c r="D26" s="168">
        <v>0</v>
      </c>
      <c r="E26" s="170">
        <f>'ODS Subs'!AQ117</f>
        <v>1.3185321884271698E-4</v>
      </c>
      <c r="F26" s="170">
        <v>0</v>
      </c>
      <c r="G26" s="208">
        <f t="shared" si="25"/>
        <v>1.3185321884271698E-4</v>
      </c>
      <c r="H26" s="169">
        <v>0</v>
      </c>
      <c r="I26" s="170">
        <v>0</v>
      </c>
      <c r="J26" s="170">
        <v>0</v>
      </c>
      <c r="K26" s="170">
        <f>'ODS Subs'!AS117</f>
        <v>6.6455929561061597E-2</v>
      </c>
      <c r="L26" s="170">
        <v>0</v>
      </c>
      <c r="M26" s="208">
        <f t="shared" si="26"/>
        <v>6.6455929561061597E-2</v>
      </c>
      <c r="N26" s="169">
        <v>0</v>
      </c>
      <c r="O26" s="170">
        <v>0</v>
      </c>
      <c r="P26" s="170">
        <v>0</v>
      </c>
      <c r="Q26" s="170">
        <f>'ODS Subs'!AT117</f>
        <v>8.0406397488856154E-2</v>
      </c>
      <c r="R26" s="170">
        <v>0</v>
      </c>
      <c r="S26" s="208">
        <f t="shared" si="27"/>
        <v>8.0406397488856154E-2</v>
      </c>
      <c r="T26" s="170">
        <v>0</v>
      </c>
      <c r="U26" s="170">
        <v>0</v>
      </c>
      <c r="V26" s="170">
        <v>0</v>
      </c>
      <c r="W26" s="170">
        <f>'ODS Subs'!AU117</f>
        <v>9.6898258902177792E-2</v>
      </c>
      <c r="X26" s="170">
        <v>0</v>
      </c>
      <c r="Y26" s="170">
        <f t="shared" si="28"/>
        <v>9.6898258902177792E-2</v>
      </c>
      <c r="Z26" s="169">
        <v>0</v>
      </c>
      <c r="AA26" s="170">
        <v>0</v>
      </c>
      <c r="AB26" s="170">
        <v>0</v>
      </c>
      <c r="AC26" s="170">
        <f>'ODS Subs'!AV117</f>
        <v>9.8202674657780709E-2</v>
      </c>
      <c r="AD26" s="170">
        <v>0</v>
      </c>
      <c r="AE26" s="208">
        <f t="shared" si="29"/>
        <v>9.8202674657780709E-2</v>
      </c>
      <c r="AF26" s="169">
        <v>0</v>
      </c>
      <c r="AG26" s="170">
        <v>0</v>
      </c>
      <c r="AH26" s="170">
        <v>0</v>
      </c>
      <c r="AI26" s="170">
        <f>'ODS Subs'!AW117</f>
        <v>9.8642766527494707E-2</v>
      </c>
      <c r="AJ26" s="170">
        <v>0</v>
      </c>
      <c r="AK26" s="208">
        <f t="shared" si="30"/>
        <v>9.8642766527494707E-2</v>
      </c>
    </row>
    <row r="27" spans="1:37">
      <c r="A27" s="196" t="s">
        <v>91</v>
      </c>
      <c r="B27" s="168">
        <v>0</v>
      </c>
      <c r="C27" s="168">
        <v>0</v>
      </c>
      <c r="D27" s="168">
        <v>0</v>
      </c>
      <c r="E27" s="170">
        <f>'ODS Subs'!AQ136</f>
        <v>7.9708734491585171E-6</v>
      </c>
      <c r="F27" s="170">
        <v>0</v>
      </c>
      <c r="G27" s="208">
        <f t="shared" si="25"/>
        <v>7.9708734491585171E-6</v>
      </c>
      <c r="H27" s="169">
        <v>0</v>
      </c>
      <c r="I27" s="170">
        <v>0</v>
      </c>
      <c r="J27" s="170">
        <v>0</v>
      </c>
      <c r="K27" s="170">
        <f>'ODS Subs'!AS136</f>
        <v>3.4414003234712709E-3</v>
      </c>
      <c r="L27" s="170">
        <v>0</v>
      </c>
      <c r="M27" s="208">
        <f t="shared" si="26"/>
        <v>3.4414003234712709E-3</v>
      </c>
      <c r="N27" s="169">
        <v>0</v>
      </c>
      <c r="O27" s="170">
        <v>0</v>
      </c>
      <c r="P27" s="170">
        <v>0</v>
      </c>
      <c r="Q27" s="170">
        <f>'ODS Subs'!AT136</f>
        <v>4.3740996971681802E-3</v>
      </c>
      <c r="R27" s="170">
        <v>0</v>
      </c>
      <c r="S27" s="208">
        <f t="shared" si="27"/>
        <v>4.3740996971681802E-3</v>
      </c>
      <c r="T27" s="170">
        <v>0</v>
      </c>
      <c r="U27" s="170">
        <v>0</v>
      </c>
      <c r="V27" s="170">
        <v>0</v>
      </c>
      <c r="W27" s="170">
        <f>'ODS Subs'!AU136</f>
        <v>5.2712552502912719E-3</v>
      </c>
      <c r="X27" s="170">
        <v>0</v>
      </c>
      <c r="Y27" s="170">
        <f t="shared" si="28"/>
        <v>5.2712552502912719E-3</v>
      </c>
      <c r="Z27" s="169">
        <v>0</v>
      </c>
      <c r="AA27" s="170">
        <v>0</v>
      </c>
      <c r="AB27" s="170">
        <v>0</v>
      </c>
      <c r="AC27" s="170">
        <f>'ODS Subs'!AV136</f>
        <v>5.3422153323214941E-3</v>
      </c>
      <c r="AD27" s="170">
        <v>0</v>
      </c>
      <c r="AE27" s="208">
        <f t="shared" si="29"/>
        <v>5.3422153323214941E-3</v>
      </c>
      <c r="AF27" s="169">
        <v>0</v>
      </c>
      <c r="AG27" s="170">
        <v>0</v>
      </c>
      <c r="AH27" s="170">
        <v>0</v>
      </c>
      <c r="AI27" s="170">
        <f>'ODS Subs'!AW136</f>
        <v>5.3661562844616369E-3</v>
      </c>
      <c r="AJ27" s="170">
        <v>0</v>
      </c>
      <c r="AK27" s="208">
        <f t="shared" si="30"/>
        <v>5.3661562844616369E-3</v>
      </c>
    </row>
    <row r="28" spans="1:37">
      <c r="A28" s="196" t="s">
        <v>92</v>
      </c>
      <c r="B28" s="168">
        <v>0</v>
      </c>
      <c r="C28" s="168">
        <v>0</v>
      </c>
      <c r="D28" s="168">
        <v>0</v>
      </c>
      <c r="E28" s="170">
        <f>'ODS Subs'!AQ98</f>
        <v>2.3483775114132668E-7</v>
      </c>
      <c r="F28" s="170">
        <v>0</v>
      </c>
      <c r="G28" s="208">
        <f t="shared" si="25"/>
        <v>2.3483775114132668E-7</v>
      </c>
      <c r="H28" s="169">
        <v>0</v>
      </c>
      <c r="I28" s="170">
        <v>0</v>
      </c>
      <c r="J28" s="170">
        <v>0</v>
      </c>
      <c r="K28" s="170">
        <f>'ODS Subs'!AS98</f>
        <v>7.135006666741711E-5</v>
      </c>
      <c r="L28" s="170">
        <v>0</v>
      </c>
      <c r="M28" s="208">
        <f t="shared" si="26"/>
        <v>7.135006666741711E-5</v>
      </c>
      <c r="N28" s="169">
        <v>0</v>
      </c>
      <c r="O28" s="170">
        <v>0</v>
      </c>
      <c r="P28" s="170">
        <v>0</v>
      </c>
      <c r="Q28" s="170">
        <f>'ODS Subs'!AT98</f>
        <v>8.8535948123498486E-5</v>
      </c>
      <c r="R28" s="170">
        <v>0</v>
      </c>
      <c r="S28" s="208">
        <f t="shared" si="27"/>
        <v>8.8535948123498486E-5</v>
      </c>
      <c r="T28" s="170">
        <v>0</v>
      </c>
      <c r="U28" s="170">
        <v>0</v>
      </c>
      <c r="V28" s="170">
        <v>0</v>
      </c>
      <c r="W28" s="170">
        <f>'ODS Subs'!AU98</f>
        <v>1.0548195763865516E-4</v>
      </c>
      <c r="X28" s="170">
        <v>0</v>
      </c>
      <c r="Y28" s="170">
        <f t="shared" si="28"/>
        <v>1.0548195763865516E-4</v>
      </c>
      <c r="Z28" s="169">
        <v>0</v>
      </c>
      <c r="AA28" s="170">
        <v>0</v>
      </c>
      <c r="AB28" s="170">
        <v>0</v>
      </c>
      <c r="AC28" s="170">
        <f>'ODS Subs'!AV98</f>
        <v>1.0613333181062163E-4</v>
      </c>
      <c r="AD28" s="170">
        <v>0</v>
      </c>
      <c r="AE28" s="208">
        <f t="shared" si="29"/>
        <v>1.0613333181062163E-4</v>
      </c>
      <c r="AF28" s="169">
        <v>0</v>
      </c>
      <c r="AG28" s="170">
        <v>0</v>
      </c>
      <c r="AH28" s="170">
        <v>0</v>
      </c>
      <c r="AI28" s="170">
        <f>'ODS Subs'!AW98</f>
        <v>1.0749824224383548E-4</v>
      </c>
      <c r="AJ28" s="170">
        <v>0</v>
      </c>
      <c r="AK28" s="208">
        <f t="shared" si="30"/>
        <v>1.0749824224383548E-4</v>
      </c>
    </row>
    <row r="29" spans="1:37">
      <c r="A29" s="196" t="s">
        <v>93</v>
      </c>
      <c r="B29" s="168">
        <v>0</v>
      </c>
      <c r="C29" s="168">
        <v>0</v>
      </c>
      <c r="D29" s="168">
        <v>0</v>
      </c>
      <c r="E29" s="170">
        <f>'ODS Subs'!AQ174</f>
        <v>9.4074542673334136E-4</v>
      </c>
      <c r="F29" s="170">
        <v>0</v>
      </c>
      <c r="G29" s="208">
        <f t="shared" si="25"/>
        <v>9.4074542673334136E-4</v>
      </c>
      <c r="H29" s="171">
        <v>0</v>
      </c>
      <c r="I29" s="172">
        <v>0</v>
      </c>
      <c r="J29" s="172">
        <v>0</v>
      </c>
      <c r="K29" s="172">
        <f>'ODS Subs'!AS174</f>
        <v>0.34149170544226748</v>
      </c>
      <c r="L29" s="172">
        <v>0</v>
      </c>
      <c r="M29" s="211">
        <f t="shared" si="26"/>
        <v>0.34149170544226748</v>
      </c>
      <c r="N29" s="171">
        <v>0</v>
      </c>
      <c r="O29" s="172">
        <v>0</v>
      </c>
      <c r="P29" s="172">
        <v>0</v>
      </c>
      <c r="Q29" s="172">
        <f>'ODS Subs'!AT174</f>
        <v>0.42639985748953274</v>
      </c>
      <c r="R29" s="172">
        <v>0</v>
      </c>
      <c r="S29" s="211">
        <f t="shared" si="27"/>
        <v>0.42639985748953274</v>
      </c>
      <c r="T29" s="170">
        <v>0</v>
      </c>
      <c r="U29" s="170">
        <v>0</v>
      </c>
      <c r="V29" s="170">
        <v>0</v>
      </c>
      <c r="W29" s="170">
        <f>'ODS Subs'!AU174</f>
        <v>0.51231671723730476</v>
      </c>
      <c r="X29" s="170">
        <v>0</v>
      </c>
      <c r="Y29" s="170">
        <f t="shared" si="28"/>
        <v>0.51231671723730476</v>
      </c>
      <c r="Z29" s="171">
        <v>0</v>
      </c>
      <c r="AA29" s="172">
        <v>0</v>
      </c>
      <c r="AB29" s="172">
        <v>0</v>
      </c>
      <c r="AC29" s="172">
        <f>'ODS Subs'!AV174</f>
        <v>0.51599682768778032</v>
      </c>
      <c r="AD29" s="172">
        <v>0</v>
      </c>
      <c r="AE29" s="211">
        <f t="shared" si="29"/>
        <v>0.51599682768778032</v>
      </c>
      <c r="AF29" s="171">
        <v>0</v>
      </c>
      <c r="AG29" s="172">
        <v>0</v>
      </c>
      <c r="AH29" s="172">
        <v>0</v>
      </c>
      <c r="AI29" s="172">
        <f>'ODS Subs'!AW174</f>
        <v>0.51602974607650476</v>
      </c>
      <c r="AJ29" s="172">
        <v>0</v>
      </c>
      <c r="AK29" s="211">
        <f t="shared" si="30"/>
        <v>0.51602974607650476</v>
      </c>
    </row>
    <row r="30" spans="1:37" s="43" customFormat="1">
      <c r="A30" s="173" t="s">
        <v>49</v>
      </c>
      <c r="B30" s="175">
        <f>SUM(B22,B14,B6)</f>
        <v>0.10146173274</v>
      </c>
      <c r="C30" s="174">
        <f>SUM(C22,C14,C6)</f>
        <v>0</v>
      </c>
      <c r="D30" s="174">
        <f>SUM(D22,D14,D6)</f>
        <v>0</v>
      </c>
      <c r="E30" s="174">
        <f>SUM(E22,E14,E6)</f>
        <v>1.2951478637102561E-3</v>
      </c>
      <c r="F30" s="174">
        <f>SUM(F22,F14,F6)</f>
        <v>7.5674148266427654E-2</v>
      </c>
      <c r="G30" s="176">
        <f>SUM(B30:F30)</f>
        <v>0.1784310288701379</v>
      </c>
      <c r="H30" s="175">
        <f>SUM(H22,H14,H6)</f>
        <v>0</v>
      </c>
      <c r="I30" s="174">
        <f>SUM(I22,I14,I6)</f>
        <v>0</v>
      </c>
      <c r="J30" s="174">
        <f>SUM(J22,J14,J6)</f>
        <v>0</v>
      </c>
      <c r="K30" s="174">
        <f>SUM(K22,K14,K6)</f>
        <v>0.52285565538432754</v>
      </c>
      <c r="L30" s="174">
        <f t="shared" ref="L30:M30" si="31">SUM(L22,L14,L6)</f>
        <v>2.8679940794749489E-2</v>
      </c>
      <c r="M30" s="176">
        <f t="shared" si="31"/>
        <v>0.55153559617907699</v>
      </c>
      <c r="N30" s="174">
        <f>SUM(N22,X14,N6)</f>
        <v>1.3237445160031301E-2</v>
      </c>
      <c r="O30" s="174">
        <f>SUM(O22,AD14,O6)</f>
        <v>1.3325288751024419E-2</v>
      </c>
      <c r="P30" s="174">
        <f>SUM(P22,P14,P6)</f>
        <v>0</v>
      </c>
      <c r="Q30" s="174">
        <f>SUM(Q22,Q14,Q6)</f>
        <v>0.64547087176434925</v>
      </c>
      <c r="R30" s="174">
        <f t="shared" ref="R30:S30" si="32">SUM(R22,R14,R6)</f>
        <v>2.0800401847495573E-2</v>
      </c>
      <c r="S30" s="174">
        <f t="shared" si="32"/>
        <v>0.66627127361184479</v>
      </c>
      <c r="T30" s="175">
        <f>SUM(T22,T14,T6)</f>
        <v>0</v>
      </c>
      <c r="U30" s="174">
        <f>SUM(U22,U14,U6)</f>
        <v>0</v>
      </c>
      <c r="V30" s="174">
        <f>SUM(V22,V14,V6)</f>
        <v>0</v>
      </c>
      <c r="W30" s="174">
        <f>SUM(W22,W14,W6)</f>
        <v>0.77304586812249543</v>
      </c>
      <c r="X30" s="174">
        <f t="shared" ref="X30" si="33">SUM(X22,X14,X6)</f>
        <v>1.3237445160031301E-2</v>
      </c>
      <c r="Y30" s="176">
        <f>SUM(Y22,Y14,Y6)</f>
        <v>0.78628331328252676</v>
      </c>
      <c r="Z30" s="174">
        <f>SUM(Z22,Z14,Z6)</f>
        <v>0</v>
      </c>
      <c r="AA30" s="174">
        <f>SUM(AA22,AA14,AA6)</f>
        <v>0</v>
      </c>
      <c r="AB30" s="174">
        <f>SUM(AB22,AB14,AB6)</f>
        <v>0</v>
      </c>
      <c r="AC30" s="174">
        <f>SUM(AC22,AC14,AC6)</f>
        <v>0.7793621591247043</v>
      </c>
      <c r="AD30" s="174">
        <f t="shared" ref="AD30" si="34">SUM(AD22,AD14,AD6)</f>
        <v>1.3325288751024419E-2</v>
      </c>
      <c r="AE30" s="174">
        <f>SUM(AE22,AE14,AE6)</f>
        <v>0.79268744787572876</v>
      </c>
      <c r="AF30" s="175">
        <f>SUM(AF22,AF14,AF6)</f>
        <v>0</v>
      </c>
      <c r="AG30" s="174">
        <f>SUM(AG22,AG14,AG6)</f>
        <v>0</v>
      </c>
      <c r="AH30" s="174">
        <f>SUM(AH22,AH14,AH6)</f>
        <v>0</v>
      </c>
      <c r="AI30" s="174">
        <f>SUM(AI22,AI14,AI6)</f>
        <v>0.78208292023898518</v>
      </c>
      <c r="AJ30" s="174">
        <f t="shared" ref="AJ30" si="35">SUM(AJ22,AJ14,AJ6)</f>
        <v>1.3003944355737819E-2</v>
      </c>
      <c r="AK30" s="176">
        <f>SUM(AK22,AK14,AK6)</f>
        <v>0.795086864594723</v>
      </c>
    </row>
    <row r="31" spans="1:37">
      <c r="K31" s="212"/>
    </row>
  </sheetData>
  <mergeCells count="6">
    <mergeCell ref="AF4:AK4"/>
    <mergeCell ref="B4:G4"/>
    <mergeCell ref="H4:M4"/>
    <mergeCell ref="N4:S4"/>
    <mergeCell ref="T4:Y4"/>
    <mergeCell ref="Z4:AE4"/>
  </mergeCells>
  <phoneticPr fontId="8" type="noConversion"/>
  <pageMargins left="0.75" right="0.75" top="1" bottom="1" header="0.5" footer="0.5"/>
  <pageSetup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800080"/>
  </sheetPr>
  <dimension ref="A1:BI16"/>
  <sheetViews>
    <sheetView workbookViewId="0">
      <selection activeCell="C7" sqref="C7"/>
    </sheetView>
  </sheetViews>
  <sheetFormatPr defaultColWidth="9.42578125" defaultRowHeight="12.75"/>
  <cols>
    <col min="1" max="1" width="36.42578125" style="289" customWidth="1"/>
    <col min="2" max="56" width="8.5703125" style="289" customWidth="1"/>
    <col min="57" max="57" width="10.5703125" style="289" bestFit="1" customWidth="1"/>
    <col min="58" max="60" width="9.42578125" style="289"/>
    <col min="61" max="61" width="9.42578125" style="289" customWidth="1"/>
    <col min="62" max="16384" width="9.42578125" style="289"/>
  </cols>
  <sheetData>
    <row r="1" spans="1:61" s="287" customFormat="1" ht="22.5" customHeight="1">
      <c r="A1" s="344" t="s">
        <v>94</v>
      </c>
      <c r="B1" s="163"/>
      <c r="C1" s="163"/>
      <c r="D1" s="163"/>
      <c r="E1" s="163"/>
      <c r="F1" s="164"/>
      <c r="G1" s="163"/>
      <c r="H1" s="163"/>
      <c r="I1" s="163"/>
      <c r="J1" s="163"/>
      <c r="K1" s="163"/>
      <c r="L1" s="163"/>
      <c r="M1" s="163"/>
      <c r="N1" s="163"/>
      <c r="O1" s="163"/>
      <c r="P1" s="163"/>
      <c r="Q1" s="163"/>
      <c r="R1" s="163"/>
      <c r="S1" s="163"/>
      <c r="T1" s="163"/>
      <c r="U1" s="163"/>
      <c r="V1" s="163"/>
      <c r="W1" s="163"/>
      <c r="X1" s="163"/>
      <c r="Y1" s="163"/>
      <c r="Z1" s="163"/>
      <c r="AA1" s="163"/>
      <c r="AB1" s="163"/>
      <c r="AC1" s="163"/>
      <c r="AD1" s="163"/>
      <c r="AE1" s="163"/>
      <c r="AF1" s="163"/>
      <c r="AG1" s="163"/>
      <c r="AH1" s="163"/>
      <c r="AI1" s="163"/>
      <c r="AJ1" s="163"/>
      <c r="AK1" s="163"/>
      <c r="AL1" s="163"/>
      <c r="AM1" s="163"/>
      <c r="AN1" s="163"/>
      <c r="AO1" s="163"/>
      <c r="AP1" s="163"/>
      <c r="AQ1" s="163"/>
      <c r="AR1" s="163"/>
      <c r="AS1" s="163"/>
      <c r="AT1" s="163"/>
      <c r="AU1" s="163"/>
      <c r="AV1" s="163"/>
      <c r="AW1" s="163"/>
      <c r="AX1" s="163"/>
      <c r="AY1" s="163"/>
      <c r="AZ1" s="163"/>
      <c r="BA1" s="163"/>
      <c r="BB1" s="163"/>
      <c r="BC1" s="163"/>
      <c r="BD1" s="163"/>
      <c r="BE1" s="163"/>
      <c r="BF1" s="163"/>
      <c r="BG1" s="163"/>
      <c r="BH1" s="163"/>
      <c r="BI1" s="163"/>
    </row>
    <row r="3" spans="1:61">
      <c r="A3" s="43" t="s">
        <v>66</v>
      </c>
      <c r="B3" s="42" t="str">
        <f>$B$4&amp;B5</f>
        <v>1990Hawaii</v>
      </c>
      <c r="C3" s="42" t="str">
        <f t="shared" ref="C3:F3" si="0">$B$4&amp;C5</f>
        <v>1990Honolulu</v>
      </c>
      <c r="D3" s="42" t="str">
        <f t="shared" si="0"/>
        <v>1990Kauai</v>
      </c>
      <c r="E3" s="42" t="str">
        <f t="shared" si="0"/>
        <v>1990Maui</v>
      </c>
      <c r="F3" s="42" t="str">
        <f t="shared" si="0"/>
        <v>1990Total</v>
      </c>
      <c r="G3" s="42" t="str">
        <f>$G$4&amp;G5</f>
        <v>2005Hawaii</v>
      </c>
      <c r="H3" s="42" t="str">
        <f t="shared" ref="H3:K3" si="1">$G$4&amp;H5</f>
        <v>2005Honolulu</v>
      </c>
      <c r="I3" s="42" t="str">
        <f t="shared" si="1"/>
        <v>2005Kauai</v>
      </c>
      <c r="J3" s="42" t="str">
        <f t="shared" si="1"/>
        <v>2005Maui</v>
      </c>
      <c r="K3" s="42" t="str">
        <f t="shared" si="1"/>
        <v>2005Total</v>
      </c>
      <c r="L3" s="42" t="str">
        <f>$L$4&amp;L5</f>
        <v>2007Hawaii</v>
      </c>
      <c r="M3" s="42" t="str">
        <f t="shared" ref="M3:P3" si="2">$L$4&amp;M5</f>
        <v>2007Honolulu</v>
      </c>
      <c r="N3" s="42" t="str">
        <f t="shared" si="2"/>
        <v>2007Kauai</v>
      </c>
      <c r="O3" s="42" t="str">
        <f t="shared" si="2"/>
        <v>2007Maui</v>
      </c>
      <c r="P3" s="42" t="str">
        <f t="shared" si="2"/>
        <v>2007Total</v>
      </c>
      <c r="Q3" s="42" t="str">
        <f>$Q$4&amp;Q5</f>
        <v>2010Hawaii</v>
      </c>
      <c r="R3" s="42" t="str">
        <f t="shared" ref="R3:U3" si="3">$Q$4&amp;R5</f>
        <v>2010Honolulu</v>
      </c>
      <c r="S3" s="42" t="str">
        <f t="shared" si="3"/>
        <v>2010Kauai</v>
      </c>
      <c r="T3" s="42" t="str">
        <f t="shared" si="3"/>
        <v>2010Maui</v>
      </c>
      <c r="U3" s="42" t="str">
        <f t="shared" si="3"/>
        <v>2010Total</v>
      </c>
      <c r="V3" s="42" t="str">
        <f>$V$4&amp;V5</f>
        <v>2015Hawaii</v>
      </c>
      <c r="W3" s="42" t="str">
        <f t="shared" ref="W3:Z3" si="4">$V$4&amp;W5</f>
        <v>2015Honolulu</v>
      </c>
      <c r="X3" s="42" t="str">
        <f t="shared" si="4"/>
        <v>2015Kauai</v>
      </c>
      <c r="Y3" s="42" t="str">
        <f t="shared" si="4"/>
        <v>2015Maui</v>
      </c>
      <c r="Z3" s="42" t="str">
        <f t="shared" si="4"/>
        <v>2015Total</v>
      </c>
      <c r="AA3" s="42" t="str">
        <f>$AA$4&amp;AA5</f>
        <v>2016Hawaii</v>
      </c>
      <c r="AB3" s="42" t="str">
        <f t="shared" ref="AB3:AE3" si="5">$AA$4&amp;AB5</f>
        <v>2016Honolulu</v>
      </c>
      <c r="AC3" s="42" t="str">
        <f t="shared" si="5"/>
        <v>2016Kauai</v>
      </c>
      <c r="AD3" s="42" t="str">
        <f t="shared" si="5"/>
        <v>2016Maui</v>
      </c>
      <c r="AE3" s="42" t="str">
        <f t="shared" si="5"/>
        <v>2016Total</v>
      </c>
      <c r="AF3" s="42" t="str">
        <f>$AF$4&amp;AF5</f>
        <v>2017Hawaii</v>
      </c>
      <c r="AG3" s="42" t="str">
        <f t="shared" ref="AG3:AJ3" si="6">$AF$4&amp;AG5</f>
        <v>2017Honolulu</v>
      </c>
      <c r="AH3" s="42" t="str">
        <f t="shared" si="6"/>
        <v>2017Kauai</v>
      </c>
      <c r="AI3" s="42" t="str">
        <f t="shared" si="6"/>
        <v>2017Maui</v>
      </c>
      <c r="AJ3" s="42" t="str">
        <f t="shared" si="6"/>
        <v>2017Total</v>
      </c>
      <c r="AK3" s="42" t="str">
        <f>$AK$4&amp;AK5</f>
        <v>2018Hawaii</v>
      </c>
      <c r="AL3" s="42" t="str">
        <f t="shared" ref="AL3:AO3" si="7">$AK$4&amp;AL5</f>
        <v>2018Honolulu</v>
      </c>
      <c r="AM3" s="42" t="str">
        <f t="shared" si="7"/>
        <v>2018Kauai</v>
      </c>
      <c r="AN3" s="42" t="str">
        <f t="shared" si="7"/>
        <v>2018Maui</v>
      </c>
      <c r="AO3" s="42" t="str">
        <f t="shared" si="7"/>
        <v>2018Total</v>
      </c>
      <c r="AP3" s="42" t="str">
        <f>$AP$4&amp;AP5</f>
        <v>2019Hawaii</v>
      </c>
      <c r="AQ3" s="42" t="str">
        <f t="shared" ref="AQ3:AT3" si="8">$AP$4&amp;AQ5</f>
        <v>2019Honolulu</v>
      </c>
      <c r="AR3" s="42" t="str">
        <f t="shared" si="8"/>
        <v>2019Kauai</v>
      </c>
      <c r="AS3" s="42" t="str">
        <f t="shared" si="8"/>
        <v>2019Maui</v>
      </c>
      <c r="AT3" s="42" t="str">
        <f t="shared" si="8"/>
        <v>2019Total</v>
      </c>
      <c r="AU3" s="42" t="str">
        <f>$AU$4&amp;AU5</f>
        <v>2020Hawaii</v>
      </c>
      <c r="AV3" s="42" t="str">
        <f t="shared" ref="AV3:AY3" si="9">$AU$4&amp;AV5</f>
        <v>2020Honolulu</v>
      </c>
      <c r="AW3" s="42" t="str">
        <f t="shared" si="9"/>
        <v>2020Kauai</v>
      </c>
      <c r="AX3" s="42" t="str">
        <f t="shared" si="9"/>
        <v>2020Maui</v>
      </c>
      <c r="AY3" s="42" t="str">
        <f t="shared" si="9"/>
        <v>2020Total</v>
      </c>
      <c r="AZ3" s="42" t="str">
        <f>$AZ$4&amp;AZ5</f>
        <v>2021Hawaii</v>
      </c>
      <c r="BA3" s="42" t="str">
        <f t="shared" ref="BA3:BD3" si="10">$AZ$4&amp;BA5</f>
        <v>2021Honolulu</v>
      </c>
      <c r="BB3" s="42" t="str">
        <f t="shared" si="10"/>
        <v>2021Kauai</v>
      </c>
      <c r="BC3" s="42" t="str">
        <f t="shared" si="10"/>
        <v>2021Maui</v>
      </c>
      <c r="BD3" s="42" t="str">
        <f t="shared" si="10"/>
        <v>2021Total</v>
      </c>
      <c r="BE3" s="42" t="str">
        <f>$BE$4&amp;BE5</f>
        <v>2022Hawaii</v>
      </c>
      <c r="BF3" s="42" t="str">
        <f t="shared" ref="BF3:BI3" si="11">$BE$4&amp;BF5</f>
        <v>2022Honolulu</v>
      </c>
      <c r="BG3" s="42" t="str">
        <f t="shared" si="11"/>
        <v>2022Kauai</v>
      </c>
      <c r="BH3" s="42" t="str">
        <f t="shared" si="11"/>
        <v>2022Maui</v>
      </c>
      <c r="BI3" s="42" t="str">
        <f t="shared" si="11"/>
        <v>2022Total</v>
      </c>
    </row>
    <row r="4" spans="1:61" s="288" customFormat="1">
      <c r="A4" s="165"/>
      <c r="B4" s="596">
        <v>1990</v>
      </c>
      <c r="C4" s="594"/>
      <c r="D4" s="594"/>
      <c r="E4" s="594"/>
      <c r="F4" s="595"/>
      <c r="G4" s="596">
        <v>2005</v>
      </c>
      <c r="H4" s="594"/>
      <c r="I4" s="594"/>
      <c r="J4" s="594"/>
      <c r="K4" s="595"/>
      <c r="L4" s="596">
        <v>2007</v>
      </c>
      <c r="M4" s="594"/>
      <c r="N4" s="594"/>
      <c r="O4" s="594"/>
      <c r="P4" s="595"/>
      <c r="Q4" s="596">
        <v>2010</v>
      </c>
      <c r="R4" s="594"/>
      <c r="S4" s="594"/>
      <c r="T4" s="594"/>
      <c r="U4" s="595"/>
      <c r="V4" s="596">
        <v>2015</v>
      </c>
      <c r="W4" s="594"/>
      <c r="X4" s="594"/>
      <c r="Y4" s="594"/>
      <c r="Z4" s="595"/>
      <c r="AA4" s="596">
        <v>2016</v>
      </c>
      <c r="AB4" s="594"/>
      <c r="AC4" s="594"/>
      <c r="AD4" s="594"/>
      <c r="AE4" s="595"/>
      <c r="AF4" s="596">
        <v>2017</v>
      </c>
      <c r="AG4" s="594"/>
      <c r="AH4" s="594"/>
      <c r="AI4" s="594"/>
      <c r="AJ4" s="595"/>
      <c r="AK4" s="596">
        <v>2018</v>
      </c>
      <c r="AL4" s="594"/>
      <c r="AM4" s="594"/>
      <c r="AN4" s="594"/>
      <c r="AO4" s="595"/>
      <c r="AP4" s="596">
        <v>2019</v>
      </c>
      <c r="AQ4" s="594"/>
      <c r="AR4" s="594"/>
      <c r="AS4" s="594"/>
      <c r="AT4" s="595"/>
      <c r="AU4" s="596">
        <v>2020</v>
      </c>
      <c r="AV4" s="594"/>
      <c r="AW4" s="594"/>
      <c r="AX4" s="594"/>
      <c r="AY4" s="595"/>
      <c r="AZ4" s="596">
        <v>2021</v>
      </c>
      <c r="BA4" s="594"/>
      <c r="BB4" s="594"/>
      <c r="BC4" s="594"/>
      <c r="BD4" s="595"/>
      <c r="BE4" s="596">
        <v>2022</v>
      </c>
      <c r="BF4" s="594"/>
      <c r="BG4" s="594"/>
      <c r="BH4" s="594"/>
      <c r="BI4" s="595"/>
    </row>
    <row r="5" spans="1:61" s="288" customFormat="1" ht="17.25" customHeight="1">
      <c r="A5" s="173" t="s">
        <v>67</v>
      </c>
      <c r="B5" s="408" t="s">
        <v>87</v>
      </c>
      <c r="C5" s="408" t="s">
        <v>95</v>
      </c>
      <c r="D5" s="408" t="s">
        <v>88</v>
      </c>
      <c r="E5" s="408" t="s">
        <v>90</v>
      </c>
      <c r="F5" s="409" t="s">
        <v>49</v>
      </c>
      <c r="G5" s="408" t="s">
        <v>87</v>
      </c>
      <c r="H5" s="408" t="s">
        <v>95</v>
      </c>
      <c r="I5" s="408" t="s">
        <v>88</v>
      </c>
      <c r="J5" s="408" t="s">
        <v>90</v>
      </c>
      <c r="K5" s="409" t="s">
        <v>49</v>
      </c>
      <c r="L5" s="408" t="s">
        <v>87</v>
      </c>
      <c r="M5" s="408" t="s">
        <v>95</v>
      </c>
      <c r="N5" s="408" t="s">
        <v>88</v>
      </c>
      <c r="O5" s="408" t="s">
        <v>90</v>
      </c>
      <c r="P5" s="409" t="s">
        <v>49</v>
      </c>
      <c r="Q5" s="408" t="s">
        <v>87</v>
      </c>
      <c r="R5" s="408" t="s">
        <v>95</v>
      </c>
      <c r="S5" s="408" t="s">
        <v>88</v>
      </c>
      <c r="T5" s="408" t="s">
        <v>90</v>
      </c>
      <c r="U5" s="409" t="s">
        <v>49</v>
      </c>
      <c r="V5" s="408" t="s">
        <v>87</v>
      </c>
      <c r="W5" s="408" t="s">
        <v>95</v>
      </c>
      <c r="X5" s="408" t="s">
        <v>88</v>
      </c>
      <c r="Y5" s="408" t="s">
        <v>90</v>
      </c>
      <c r="Z5" s="409" t="s">
        <v>49</v>
      </c>
      <c r="AA5" s="408" t="s">
        <v>87</v>
      </c>
      <c r="AB5" s="408" t="s">
        <v>95</v>
      </c>
      <c r="AC5" s="408" t="s">
        <v>88</v>
      </c>
      <c r="AD5" s="408" t="s">
        <v>90</v>
      </c>
      <c r="AE5" s="409" t="s">
        <v>49</v>
      </c>
      <c r="AF5" s="408" t="s">
        <v>87</v>
      </c>
      <c r="AG5" s="408" t="s">
        <v>95</v>
      </c>
      <c r="AH5" s="408" t="s">
        <v>88</v>
      </c>
      <c r="AI5" s="408" t="s">
        <v>90</v>
      </c>
      <c r="AJ5" s="409" t="s">
        <v>49</v>
      </c>
      <c r="AK5" s="408" t="s">
        <v>87</v>
      </c>
      <c r="AL5" s="408" t="s">
        <v>95</v>
      </c>
      <c r="AM5" s="408" t="s">
        <v>88</v>
      </c>
      <c r="AN5" s="408" t="s">
        <v>90</v>
      </c>
      <c r="AO5" s="409" t="s">
        <v>49</v>
      </c>
      <c r="AP5" s="408" t="s">
        <v>87</v>
      </c>
      <c r="AQ5" s="408" t="s">
        <v>95</v>
      </c>
      <c r="AR5" s="408" t="s">
        <v>88</v>
      </c>
      <c r="AS5" s="408" t="s">
        <v>90</v>
      </c>
      <c r="AT5" s="409" t="s">
        <v>49</v>
      </c>
      <c r="AU5" s="408" t="s">
        <v>87</v>
      </c>
      <c r="AV5" s="408" t="s">
        <v>95</v>
      </c>
      <c r="AW5" s="408" t="s">
        <v>88</v>
      </c>
      <c r="AX5" s="408" t="s">
        <v>90</v>
      </c>
      <c r="AY5" s="409" t="s">
        <v>49</v>
      </c>
      <c r="AZ5" s="408" t="s">
        <v>87</v>
      </c>
      <c r="BA5" s="408" t="s">
        <v>95</v>
      </c>
      <c r="BB5" s="408" t="s">
        <v>88</v>
      </c>
      <c r="BC5" s="408" t="s">
        <v>90</v>
      </c>
      <c r="BD5" s="409" t="s">
        <v>49</v>
      </c>
      <c r="BE5" s="408" t="s">
        <v>87</v>
      </c>
      <c r="BF5" s="408" t="s">
        <v>95</v>
      </c>
      <c r="BG5" s="408" t="s">
        <v>88</v>
      </c>
      <c r="BH5" s="408" t="s">
        <v>90</v>
      </c>
      <c r="BI5" s="409" t="s">
        <v>49</v>
      </c>
    </row>
    <row r="6" spans="1:61" s="288" customFormat="1">
      <c r="A6" s="166" t="s">
        <v>45</v>
      </c>
      <c r="B6" s="345">
        <v>0</v>
      </c>
      <c r="C6" s="346">
        <f>HLOOKUP(B4,Cement!$B$6:$L$12,ROWS(Cement!$A$6:$A$12),0)</f>
        <v>0.10146173274</v>
      </c>
      <c r="D6" s="346">
        <v>0</v>
      </c>
      <c r="E6" s="346">
        <v>0</v>
      </c>
      <c r="F6" s="167">
        <f>SUM(B6:E6)</f>
        <v>0.10146173274</v>
      </c>
      <c r="G6" s="345">
        <v>0</v>
      </c>
      <c r="H6" s="346">
        <f>HLOOKUP(G4,Cement!$B$6:$L$12,ROWS(Cement!$A$6:$A$12),0)</f>
        <v>0</v>
      </c>
      <c r="I6" s="346">
        <v>0</v>
      </c>
      <c r="J6" s="346">
        <v>0</v>
      </c>
      <c r="K6" s="167">
        <f>SUM(G6:J6)</f>
        <v>0</v>
      </c>
      <c r="L6" s="345">
        <v>0</v>
      </c>
      <c r="M6" s="346">
        <f>HLOOKUP(L4,Cement!$B$6:$L$12,ROWS(Cement!$A$6:$A$12),0)</f>
        <v>0</v>
      </c>
      <c r="N6" s="346">
        <v>0</v>
      </c>
      <c r="O6" s="346">
        <v>0</v>
      </c>
      <c r="P6" s="167">
        <f>SUM(L6:O6)</f>
        <v>0</v>
      </c>
      <c r="Q6" s="345">
        <v>0</v>
      </c>
      <c r="R6" s="346">
        <f>HLOOKUP(Q4,Cement!$B$6:$L$12,ROWS(Cement!$A$6:$A$12),0)</f>
        <v>0</v>
      </c>
      <c r="S6" s="346">
        <v>0</v>
      </c>
      <c r="T6" s="346">
        <v>0</v>
      </c>
      <c r="U6" s="167">
        <f>SUM(Q6:T6)</f>
        <v>0</v>
      </c>
      <c r="V6" s="345">
        <v>0</v>
      </c>
      <c r="W6" s="346">
        <f>HLOOKUP(V4,Cement!$B$6:$L$12,ROWS(Cement!$A$6:$A$12),0)</f>
        <v>0</v>
      </c>
      <c r="X6" s="346">
        <v>0</v>
      </c>
      <c r="Y6" s="346">
        <v>0</v>
      </c>
      <c r="Z6" s="167">
        <f>SUM(V6:Y6)</f>
        <v>0</v>
      </c>
      <c r="AA6" s="345">
        <v>0</v>
      </c>
      <c r="AB6" s="346">
        <f>HLOOKUP(AA4,Cement!$B$6:$L$12,ROWS(Cement!$A$6:$A$12),0)</f>
        <v>0</v>
      </c>
      <c r="AC6" s="346">
        <v>0</v>
      </c>
      <c r="AD6" s="346">
        <v>0</v>
      </c>
      <c r="AE6" s="167">
        <f>SUM(AA6:AD6)</f>
        <v>0</v>
      </c>
      <c r="AF6" s="345">
        <v>0</v>
      </c>
      <c r="AG6" s="346">
        <f>HLOOKUP(AF4,Cement!$B$6:$L$12,ROWS(Cement!$A$6:$A$12),0)</f>
        <v>0</v>
      </c>
      <c r="AH6" s="346">
        <v>0</v>
      </c>
      <c r="AI6" s="346">
        <v>0</v>
      </c>
      <c r="AJ6" s="167">
        <f>SUM(AF6:AI6)</f>
        <v>0</v>
      </c>
      <c r="AK6" s="345">
        <v>0</v>
      </c>
      <c r="AL6" s="346">
        <f>HLOOKUP(AK4,Cement!$B$6:$L$12,ROWS(Cement!$A$6:$A$12),0)</f>
        <v>0</v>
      </c>
      <c r="AM6" s="346">
        <v>0</v>
      </c>
      <c r="AN6" s="346">
        <v>0</v>
      </c>
      <c r="AO6" s="167">
        <f>SUM(AK6:AN6)</f>
        <v>0</v>
      </c>
      <c r="AP6" s="345">
        <v>0</v>
      </c>
      <c r="AQ6" s="346">
        <f>HLOOKUP(AP4,Cement!$B$6:$N$12,ROWS(Cement!$A$6:$A$12),0)</f>
        <v>0</v>
      </c>
      <c r="AR6" s="346">
        <v>0</v>
      </c>
      <c r="AS6" s="346">
        <v>0</v>
      </c>
      <c r="AT6" s="167">
        <f>SUM(AP6:AS6)</f>
        <v>0</v>
      </c>
      <c r="AU6" s="345">
        <v>0</v>
      </c>
      <c r="AV6" s="346">
        <f>HLOOKUP(AU4,Cement!$B$6:$N$12,ROWS(Cement!$A$6:$A$12),0)</f>
        <v>0</v>
      </c>
      <c r="AW6" s="346">
        <v>0</v>
      </c>
      <c r="AX6" s="346">
        <v>0</v>
      </c>
      <c r="AY6" s="167">
        <f>SUM(AU6:AX6)</f>
        <v>0</v>
      </c>
      <c r="AZ6" s="345">
        <v>0</v>
      </c>
      <c r="BA6" s="346">
        <f>HLOOKUP(AZ4,Cement!$B$6:$N$12,ROWS(Cement!$A$6:$A$12),0)</f>
        <v>0</v>
      </c>
      <c r="BB6" s="346">
        <v>0</v>
      </c>
      <c r="BC6" s="346">
        <v>0</v>
      </c>
      <c r="BD6" s="167">
        <f>SUM(AZ6:BC6)</f>
        <v>0</v>
      </c>
      <c r="BE6" s="345">
        <v>0</v>
      </c>
      <c r="BF6" s="346">
        <f>HLOOKUP(BE4,Cement!$B$6:$N$12,ROWS(Cement!$A$6:$A$12),0)</f>
        <v>0</v>
      </c>
      <c r="BG6" s="346">
        <v>0</v>
      </c>
      <c r="BH6" s="346">
        <v>0</v>
      </c>
      <c r="BI6" s="167">
        <f>SUM(BE6:BH6)</f>
        <v>0</v>
      </c>
    </row>
    <row r="7" spans="1:61" s="288" customFormat="1">
      <c r="A7" s="166" t="s">
        <v>73</v>
      </c>
      <c r="B7" s="169">
        <f>INDEX('Electrical T&amp;D'!$A$13:$M$18,MATCH(B5,'Electrical T&amp;D'!$A$13:$A$18,0),MATCH($B$4,'Electrical T&amp;D'!$A$13:$M$13,0))</f>
        <v>6.300205724932435E-3</v>
      </c>
      <c r="C7" s="170">
        <f>INDEX('Electrical T&amp;D'!$A$13:$M$18,MATCH(C5,'Electrical T&amp;D'!$A$13:$A$18,0),MATCH($B$4,'Electrical T&amp;D'!$A$13:$M$13,0))</f>
        <v>5.9385320309183448E-2</v>
      </c>
      <c r="D7" s="170">
        <f>INDEX('Electrical T&amp;D'!$A$13:$M$18,MATCH(D5,'Electrical T&amp;D'!$A$13:$A$18,0),MATCH($B$4,'Electrical T&amp;D'!$A$13:$M$13,0))</f>
        <v>3.050431327520932E-3</v>
      </c>
      <c r="E7" s="170">
        <f>INDEX('Electrical T&amp;D'!$A$13:$M$18,MATCH(E5,'Electrical T&amp;D'!$A$13:$A$18,0),MATCH($B$4,'Electrical T&amp;D'!$A$13:$M$13,0))</f>
        <v>6.9381909047908398E-3</v>
      </c>
      <c r="F7" s="347">
        <f>SUM(B7:E7)</f>
        <v>7.5674148266427654E-2</v>
      </c>
      <c r="G7" s="169">
        <f>INDEX('Electrical T&amp;D'!$A$13:$M$18,MATCH(G5,'Electrical T&amp;D'!$A$13:$A$18,0),MATCH($G$4,'Electrical T&amp;D'!$A$13:$M$13,0))</f>
        <v>3.6291472675052975E-3</v>
      </c>
      <c r="H7" s="170">
        <f>INDEX('Electrical T&amp;D'!$A$13:$M$18,MATCH(H5,'Electrical T&amp;D'!$A$13:$A$18,0),MATCH($G$4,'Electrical T&amp;D'!$A$13:$M$13,0))</f>
        <v>2.5098116037176953E-2</v>
      </c>
      <c r="I7" s="170">
        <f>INDEX('Electrical T&amp;D'!$A$13:$M$18,MATCH(I5,'Electrical T&amp;D'!$A$13:$A$18,0),MATCH($G$4,'Electrical T&amp;D'!$A$13:$M$13,0))</f>
        <v>1.4582125764319863E-3</v>
      </c>
      <c r="J7" s="170">
        <f>INDEX('Electrical T&amp;D'!$A$13:$M$18,MATCH(J5,'Electrical T&amp;D'!$A$13:$A$18,0),MATCH($G$4,'Electrical T&amp;D'!$A$13:$M$13,0))</f>
        <v>4.0700003426442592E-3</v>
      </c>
      <c r="K7" s="347">
        <f>SUM(G7:J7)</f>
        <v>3.4255476223758498E-2</v>
      </c>
      <c r="L7" s="169">
        <f>INDEX('Electrical T&amp;D'!$A$13:$M$18,MATCH(L5,'Electrical T&amp;D'!$A$13:$A$18,0),MATCH($L$4,'Electrical T&amp;D'!$A$13:$M$13,0))</f>
        <v>3.1502681693728932E-3</v>
      </c>
      <c r="M7" s="170">
        <f>INDEX('Electrical T&amp;D'!$A$13:$M$18,MATCH(M5,'Electrical T&amp;D'!$A$13:$A$18,0),MATCH($L$4,'Electrical T&amp;D'!$A$13:$M$13,0))</f>
        <v>2.0796215089514507E-2</v>
      </c>
      <c r="N7" s="170">
        <f>INDEX('Electrical T&amp;D'!$A$13:$M$18,MATCH(N5,'Electrical T&amp;D'!$A$13:$A$18,0),MATCH($L$4,'Electrical T&amp;D'!$A$13:$M$13,0))</f>
        <v>1.2650450227297584E-3</v>
      </c>
      <c r="O7" s="170">
        <f>INDEX('Electrical T&amp;D'!$A$13:$M$18,MATCH(O5,'Electrical T&amp;D'!$A$13:$A$18,0),MATCH($L$4,'Electrical T&amp;D'!$A$13:$M$13,0))</f>
        <v>3.4684125131323297E-3</v>
      </c>
      <c r="P7" s="347">
        <f>SUM(L7:O7)</f>
        <v>2.8679940794749486E-2</v>
      </c>
      <c r="Q7" s="169">
        <f>INDEX('Electrical T&amp;D'!$A$13:$M$18,MATCH(Q5,'Electrical T&amp;D'!$A$13:$A$18,0),MATCH($Q$4,'Electrical T&amp;D'!$A$13:$M$13,0))</f>
        <v>2.3053720462852612E-3</v>
      </c>
      <c r="R7" s="170">
        <f>INDEX('Electrical T&amp;D'!$A$13:$M$18,MATCH(R5,'Electrical T&amp;D'!$A$13:$A$18,0),MATCH($Q$4,'Electrical T&amp;D'!$A$13:$M$13,0))</f>
        <v>1.5117117770786221E-2</v>
      </c>
      <c r="S7" s="170">
        <f>INDEX('Electrical T&amp;D'!$A$13:$M$18,MATCH(S5,'Electrical T&amp;D'!$A$13:$A$18,0),MATCH($Q$4,'Electrical T&amp;D'!$A$13:$M$13,0))</f>
        <v>9.026652388444584E-4</v>
      </c>
      <c r="T7" s="170">
        <f>INDEX('Electrical T&amp;D'!$A$13:$M$18,MATCH(T5,'Electrical T&amp;D'!$A$13:$A$18,0),MATCH($Q$4,'Electrical T&amp;D'!$A$13:$M$13,0))</f>
        <v>2.4752467915796325E-3</v>
      </c>
      <c r="U7" s="347">
        <f>SUM(Q7:T7)</f>
        <v>2.0800401847495573E-2</v>
      </c>
      <c r="V7" s="169">
        <f>INDEX('Electrical T&amp;D'!$A$13:$M$18,MATCH(V5,'Electrical T&amp;D'!$A$13:$A$18,0),MATCH($V$4,'Electrical T&amp;D'!$A$13:$M$13,0))</f>
        <v>1.501295994560617E-3</v>
      </c>
      <c r="W7" s="170">
        <f>INDEX('Electrical T&amp;D'!$A$13:$M$18,MATCH(W5,'Electrical T&amp;D'!$A$13:$A$18,0),MATCH($V$4,'Electrical T&amp;D'!$A$13:$M$13,0))</f>
        <v>9.5229344467004633E-3</v>
      </c>
      <c r="X7" s="170">
        <f>INDEX('Electrical T&amp;D'!$A$13:$M$18,MATCH(X5,'Electrical T&amp;D'!$A$13:$A$18,0),MATCH($V$4,'Electrical T&amp;D'!$A$13:$M$13,0))</f>
        <v>6.0920934342403594E-4</v>
      </c>
      <c r="Y7" s="170">
        <f>INDEX('Electrical T&amp;D'!$A$13:$M$18,MATCH(Y5,'Electrical T&amp;D'!$A$13:$A$18,0),MATCH($V$4,'Electrical T&amp;D'!$A$13:$M$13,0))</f>
        <v>1.6040053753461861E-3</v>
      </c>
      <c r="Z7" s="347">
        <f>SUM(V7:Y7)</f>
        <v>1.3237445160031303E-2</v>
      </c>
      <c r="AA7" s="169">
        <f>INDEX('Electrical T&amp;D'!$A$13:$M$18,MATCH(AA5,'Electrical T&amp;D'!$A$13:$A$18,0),MATCH($AA$4,'Electrical T&amp;D'!$A$13:$M$13,0))</f>
        <v>1.5319623591327069E-3</v>
      </c>
      <c r="AB7" s="170">
        <f>INDEX('Electrical T&amp;D'!$A$13:$M$18,MATCH(AB5,'Electrical T&amp;D'!$A$13:$A$18,0),MATCH($AA$4,'Electrical T&amp;D'!$A$13:$M$13,0))</f>
        <v>9.5589162097772882E-3</v>
      </c>
      <c r="AC7" s="170">
        <f>INDEX('Electrical T&amp;D'!$A$13:$M$18,MATCH(AC5,'Electrical T&amp;D'!$A$13:$A$18,0),MATCH($AA$4,'Electrical T&amp;D'!$A$13:$M$13,0))</f>
        <v>6.3019256954468909E-4</v>
      </c>
      <c r="AD7" s="170">
        <f>INDEX('Electrical T&amp;D'!$A$13:$M$18,MATCH(AD5,'Electrical T&amp;D'!$A$13:$A$18,0),MATCH($AA$4,'Electrical T&amp;D'!$A$13:$M$13,0))</f>
        <v>1.6042176125697352E-3</v>
      </c>
      <c r="AE7" s="347">
        <f>SUM(AA7:AD7)</f>
        <v>1.3325288751024421E-2</v>
      </c>
      <c r="AF7" s="169">
        <f>INDEX('Electrical T&amp;D'!$A$13:$M$18,MATCH(AF5,'Electrical T&amp;D'!$A$13:$A$18,0),MATCH($AF$4,'Electrical T&amp;D'!$A$13:$M$13,0))</f>
        <v>1.4902781812897437E-3</v>
      </c>
      <c r="AG7" s="170">
        <f>INDEX('Electrical T&amp;D'!$A$13:$M$18,MATCH(AG5,'Electrical T&amp;D'!$A$13:$A$18,0),MATCH($AF$4,'Electrical T&amp;D'!$A$13:$M$13,0))</f>
        <v>9.321725254288744E-3</v>
      </c>
      <c r="AH7" s="170">
        <f>INDEX('Electrical T&amp;D'!$A$13:$M$18,MATCH(AH5,'Electrical T&amp;D'!$A$13:$A$18,0),MATCH($AF$4,'Electrical T&amp;D'!$A$13:$M$13,0))</f>
        <v>6.3357355932537596E-4</v>
      </c>
      <c r="AI7" s="170">
        <f>INDEX('Electrical T&amp;D'!$A$13:$M$18,MATCH(AI5,'Electrical T&amp;D'!$A$13:$A$18,0),MATCH($AF$4,'Electrical T&amp;D'!$A$13:$M$13,0))</f>
        <v>1.5583673608339566E-3</v>
      </c>
      <c r="AJ7" s="347">
        <f>SUM(AF7:AI7)</f>
        <v>1.3003944355737819E-2</v>
      </c>
      <c r="AK7" s="169">
        <f>INDEX('Electrical T&amp;D'!$A$13:$M$18,MATCH(AK5,'Electrical T&amp;D'!$A$13:$A$18,0),MATCH($AK$4,'Electrical T&amp;D'!$A$13:$M$13,0))</f>
        <v>1.3786357821037785E-3</v>
      </c>
      <c r="AL7" s="170">
        <f>INDEX('Electrical T&amp;D'!$A$13:$M$18,MATCH(AL5,'Electrical T&amp;D'!$A$13:$A$18,0),MATCH($AK$4,'Electrical T&amp;D'!$A$13:$M$13,0))</f>
        <v>8.4547251367546837E-3</v>
      </c>
      <c r="AM7" s="170">
        <f>INDEX('Electrical T&amp;D'!$A$13:$M$18,MATCH(AM5,'Electrical T&amp;D'!$A$13:$A$18,0),MATCH($AK$4,'Electrical T&amp;D'!$A$13:$M$13,0))</f>
        <v>5.8446799329408595E-4</v>
      </c>
      <c r="AN7" s="170">
        <f>INDEX('Electrical T&amp;D'!$A$13:$M$18,MATCH(AN5,'Electrical T&amp;D'!$A$13:$A$18,0),MATCH($AK$4,'Electrical T&amp;D'!$A$13:$M$13,0))</f>
        <v>1.4239010241704024E-3</v>
      </c>
      <c r="AO7" s="347">
        <f>SUM(AK7:AN7)</f>
        <v>1.184172993632295E-2</v>
      </c>
      <c r="AP7" s="169">
        <f>INDEX('Electrical T&amp;D'!$A$13:$M$18,MATCH(AP5,'Electrical T&amp;D'!$A$13:$A$18,0),MATCH($AP$4,'Electrical T&amp;D'!$A$13:$M$13,0))</f>
        <v>1.6798613889571854E-3</v>
      </c>
      <c r="AQ7" s="170">
        <f>INDEX('Electrical T&amp;D'!$A$13:$M$18,MATCH(AQ5,'Electrical T&amp;D'!$A$13:$A$18,0),MATCH($AP$4,'Electrical T&amp;D'!$A$13:$M$13,0))</f>
        <v>1.0504685195290332E-2</v>
      </c>
      <c r="AR7" s="170">
        <f>INDEX('Electrical T&amp;D'!$A$13:$M$18,MATCH(AR5,'Electrical T&amp;D'!$A$13:$A$18,0),MATCH($AP$4,'Electrical T&amp;D'!$A$13:$M$13,0))</f>
        <v>7.3739676703496243E-4</v>
      </c>
      <c r="AS7" s="170">
        <f>INDEX('Electrical T&amp;D'!$A$13:$M$18,MATCH(AS5,'Electrical T&amp;D'!$A$13:$A$18,0),MATCH($AP$4,'Electrical T&amp;D'!$A$13:$M$13,0))</f>
        <v>1.8043796207371093E-3</v>
      </c>
      <c r="AT7" s="347">
        <f>SUM(AP7:AS7)</f>
        <v>1.472632297201959E-2</v>
      </c>
      <c r="AU7" s="169">
        <f>INDEX('Electrical T&amp;D'!$A$13:$M$18,MATCH(AU5,'Electrical T&amp;D'!$A$13:$A$18,0),MATCH($AU$4,'Electrical T&amp;D'!$A$13:$M$13,0))</f>
        <v>1.5527787050487597E-3</v>
      </c>
      <c r="AV7" s="170">
        <f>INDEX('Electrical T&amp;D'!$A$13:$M$18,MATCH(AV5,'Electrical T&amp;D'!$A$13:$A$18,0),MATCH($AU$4,'Electrical T&amp;D'!$A$13:$M$13,0))</f>
        <v>9.8126532811413179E-3</v>
      </c>
      <c r="AW7" s="170">
        <f>INDEX('Electrical T&amp;D'!$A$13:$M$18,MATCH(AW5,'Electrical T&amp;D'!$A$13:$A$18,0),MATCH($AU$4,'Electrical T&amp;D'!$A$13:$M$13,0))</f>
        <v>6.5907198202057966E-4</v>
      </c>
      <c r="AX7" s="170">
        <f>INDEX('Electrical T&amp;D'!$A$13:$M$18,MATCH(AX5,'Electrical T&amp;D'!$A$13:$A$18,0),MATCH($AU$4,'Electrical T&amp;D'!$A$13:$M$13,0))</f>
        <v>1.5214520292208445E-3</v>
      </c>
      <c r="AY7" s="347">
        <f>SUM(AU7:AX7)</f>
        <v>1.3545955997431502E-2</v>
      </c>
      <c r="AZ7" s="169">
        <f>INDEX('Electrical T&amp;D'!$A$13:$M$18,MATCH(AZ5,'Electrical T&amp;D'!$A$13:$A$18,0),MATCH($AZ$4,'Electrical T&amp;D'!$A$13:$M$13,0))</f>
        <v>1.6455344453546769E-3</v>
      </c>
      <c r="BA7" s="170">
        <f>INDEX('Electrical T&amp;D'!$A$13:$M$18,MATCH(BA5,'Electrical T&amp;D'!$A$13:$A$18,0),MATCH($AZ$4,'Electrical T&amp;D'!$A$13:$M$13,0))</f>
        <v>9.7265234406576709E-3</v>
      </c>
      <c r="BB7" s="170">
        <f>INDEX('Electrical T&amp;D'!$A$13:$M$18,MATCH(BB5,'Electrical T&amp;D'!$A$13:$A$18,0),MATCH($AZ$4,'Electrical T&amp;D'!$A$13:$M$13,0))</f>
        <v>6.8602735940156653E-4</v>
      </c>
      <c r="BC7" s="170">
        <f>INDEX('Electrical T&amp;D'!$A$13:$M$18,MATCH(BC5,'Electrical T&amp;D'!$A$13:$A$18,0),MATCH($AZ$4,'Electrical T&amp;D'!$A$13:$M$13,0))</f>
        <v>1.651656501537073E-3</v>
      </c>
      <c r="BD7" s="347">
        <f>SUM(AZ7:BC7)</f>
        <v>1.3709741746950988E-2</v>
      </c>
      <c r="BE7" s="169">
        <f>INDEX('Electrical T&amp;D'!$A$13:$M$18,MATCH(BE5,'Electrical T&amp;D'!$A$13:$A$18,0),MATCH($BE$4,'Electrical T&amp;D'!$A$13:$M$13,0))</f>
        <v>1.3685556414909043E-3</v>
      </c>
      <c r="BF7" s="170">
        <f>INDEX('Electrical T&amp;D'!$A$13:$M$18,MATCH(BF5,'Electrical T&amp;D'!$A$13:$A$18,0),MATCH($BE$4,'Electrical T&amp;D'!$A$13:$M$13,0))</f>
        <v>8.0684971489948243E-3</v>
      </c>
      <c r="BG7" s="170">
        <f>INDEX('Electrical T&amp;D'!$A$13:$M$18,MATCH(BG5,'Electrical T&amp;D'!$A$13:$A$18,0),MATCH($BE$4,'Electrical T&amp;D'!$A$13:$M$13,0))</f>
        <v>5.9484980245145104E-4</v>
      </c>
      <c r="BH7" s="170">
        <f>INDEX('Electrical T&amp;D'!$A$13:$M$18,MATCH(BH5,'Electrical T&amp;D'!$A$13:$A$18,0),MATCH($BE$4,'Electrical T&amp;D'!$A$13:$M$13,0))</f>
        <v>1.4146461576228615E-3</v>
      </c>
      <c r="BI7" s="347">
        <f>SUM(BE7:BH7)</f>
        <v>1.144654875056004E-2</v>
      </c>
    </row>
    <row r="8" spans="1:61" s="288" customFormat="1">
      <c r="A8" s="166" t="s">
        <v>74</v>
      </c>
      <c r="B8" s="169">
        <f>INDEX('ODS Subs'!$B$33:$O$38,MATCH(B$5,'ODS Subs'!$B$33:$B$38,0),MATCH($B$4,'ODS Subs'!$B$33:$O$33,0))</f>
        <v>1.4122800781525387E-4</v>
      </c>
      <c r="C8" s="170">
        <f>INDEX('ODS Subs'!$B$33:$O$38,MATCH(C$5,'ODS Subs'!$B$33:$B$38,0),MATCH($B$4,'ODS Subs'!$B$33:$O$33,0))</f>
        <v>9.4074542673334136E-4</v>
      </c>
      <c r="D8" s="170">
        <f>INDEX('ODS Subs'!$B$33:$O$38,MATCH(D$5,'ODS Subs'!$B$33:$B$38,0),MATCH($B$4,'ODS Subs'!$B$33:$O$33,0))</f>
        <v>7.062069947264594E-5</v>
      </c>
      <c r="E8" s="170">
        <f>INDEX('ODS Subs'!$B$33:$O$38,MATCH(E$5,'ODS Subs'!$B$33:$B$38,0),MATCH($B$4,'ODS Subs'!$B$33:$O$33,0))</f>
        <v>1.4255372968901471E-4</v>
      </c>
      <c r="F8" s="347">
        <f>SUM(B8:E8)</f>
        <v>1.2951478637102558E-3</v>
      </c>
      <c r="G8" s="169">
        <f>INDEX('ODS Subs'!$B$33:$O$38,MATCH(G$5,'ODS Subs'!$B$33:$B$38,0),MATCH($G$4,'ODS Subs'!$B$33:$O$33,0))</f>
        <v>6.6621614112270827E-2</v>
      </c>
      <c r="H8" s="170">
        <f>INDEX('ODS Subs'!$B$33:$O$38,MATCH(H$5,'ODS Subs'!$B$33:$B$38,0),MATCH($G$4,'ODS Subs'!$B$33:$O$33,0))</f>
        <v>0.30218909458294496</v>
      </c>
      <c r="I8" s="170">
        <f>INDEX('ODS Subs'!$B$33:$O$38,MATCH(I$5,'ODS Subs'!$B$33:$B$38,0),MATCH($G$4,'ODS Subs'!$B$33:$O$33,0))</f>
        <v>2.9126779619577096E-2</v>
      </c>
      <c r="J8" s="170">
        <f>INDEX('ODS Subs'!$B$33:$O$38,MATCH(J$5,'ODS Subs'!$B$33:$B$38,0),MATCH($G$4,'ODS Subs'!$B$33:$O$33,0))</f>
        <v>6.3878548801309928E-2</v>
      </c>
      <c r="K8" s="347">
        <f>SUM(G8:J8)</f>
        <v>0.46181603711610286</v>
      </c>
      <c r="L8" s="169">
        <f>INDEX('ODS Subs'!$B$33:$O$38,MATCH(L$5,'ODS Subs'!$B$33:$B$38,0),MATCH($L$4,'ODS Subs'!$B$33:$O$33,0))</f>
        <v>7.6892383810602205E-2</v>
      </c>
      <c r="M8" s="170">
        <f>INDEX('ODS Subs'!$B$33:$O$38,MATCH(M$5,'ODS Subs'!$B$33:$B$38,0),MATCH($L$4,'ODS Subs'!$B$33:$O$33,0))</f>
        <v>0.34149170544226748</v>
      </c>
      <c r="N8" s="170">
        <f>INDEX('ODS Subs'!$B$33:$O$38,MATCH(N$5,'ODS Subs'!$B$33:$B$38,0),MATCH($L$4,'ODS Subs'!$B$33:$O$33,0))</f>
        <v>3.2781689436498548E-2</v>
      </c>
      <c r="O8" s="170">
        <f>INDEX('ODS Subs'!$B$33:$O$38,MATCH(O$5,'ODS Subs'!$B$33:$B$38,0),MATCH($L$4,'ODS Subs'!$B$33:$O$33,0))</f>
        <v>7.1689876694959284E-2</v>
      </c>
      <c r="P8" s="347">
        <f>SUM(L8:O8)</f>
        <v>0.52285565538432754</v>
      </c>
      <c r="Q8" s="169">
        <f>INDEX('ODS Subs'!$B$33:$O$38,MATCH(Q$5,'ODS Subs'!$B$33:$B$38,0),MATCH($Q$4,'ODS Subs'!$B$33:$O$33,0))</f>
        <v>9.3147427060443225E-2</v>
      </c>
      <c r="R8" s="170">
        <f>INDEX('ODS Subs'!$B$33:$O$38,MATCH(R$5,'ODS Subs'!$B$33:$B$38,0),MATCH($Q$4,'ODS Subs'!$B$33:$O$33,0))</f>
        <v>0.42639985748953274</v>
      </c>
      <c r="S8" s="170">
        <f>INDEX('ODS Subs'!$B$33:$O$38,MATCH(S$5,'ODS Subs'!$B$33:$B$38,0),MATCH($Q$4,'ODS Subs'!$B$33:$O$33,0))</f>
        <v>3.8969311196646428E-2</v>
      </c>
      <c r="T8" s="170">
        <f>INDEX('ODS Subs'!$B$33:$O$38,MATCH(T$5,'ODS Subs'!$B$33:$B$38,0),MATCH($Q$4,'ODS Subs'!$B$33:$O$33,0))</f>
        <v>8.69542760177269E-2</v>
      </c>
      <c r="U8" s="347">
        <f>SUM(Q8:T8)</f>
        <v>0.64547087176434936</v>
      </c>
      <c r="V8" s="169">
        <f>INDEX('ODS Subs'!$B$33:$O$38,MATCH(V$5,'ODS Subs'!$B$33:$B$38,0),MATCH($V$4,'ODS Subs'!$B$33:$O$33,0))</f>
        <v>0.10951186391998333</v>
      </c>
      <c r="W8" s="170">
        <f>INDEX('ODS Subs'!$B$33:$O$38,MATCH(W$5,'ODS Subs'!$B$33:$B$38,0),MATCH($V$4,'ODS Subs'!$B$33:$O$33,0))</f>
        <v>0.51231671723730476</v>
      </c>
      <c r="X8" s="170">
        <f>INDEX('ODS Subs'!$B$33:$O$38,MATCH(X$5,'ODS Subs'!$B$33:$B$38,0),MATCH($V$4,'ODS Subs'!$B$33:$O$33,0))</f>
        <v>4.6428138174094254E-2</v>
      </c>
      <c r="Y8" s="170">
        <f>INDEX('ODS Subs'!$B$33:$O$38,MATCH(Y$5,'ODS Subs'!$B$33:$B$38,0),MATCH($V$4,'ODS Subs'!$B$33:$O$33,0))</f>
        <v>0.1047891487911131</v>
      </c>
      <c r="Z8" s="347">
        <f>SUM(V8:Y8)</f>
        <v>0.77304586812249554</v>
      </c>
      <c r="AA8" s="169">
        <f>INDEX('ODS Subs'!$B$33:$O$38,MATCH(AA$5,'ODS Subs'!$B$33:$B$38,0),MATCH($AA$4,'ODS Subs'!$B$33:$O$33,0))</f>
        <v>0.11045069997242704</v>
      </c>
      <c r="AB8" s="170">
        <f>INDEX('ODS Subs'!$B$33:$O$38,MATCH(AB$5,'ODS Subs'!$B$33:$B$38,0),MATCH($AA$4,'ODS Subs'!$B$33:$O$33,0))</f>
        <v>0.51599682768778032</v>
      </c>
      <c r="AC8" s="170">
        <f>INDEX('ODS Subs'!$B$33:$O$38,MATCH(AC$5,'ODS Subs'!$B$33:$B$38,0),MATCH($AA$4,'ODS Subs'!$B$33:$O$33,0))</f>
        <v>4.6714842087598483E-2</v>
      </c>
      <c r="AD8" s="170">
        <f>INDEX('ODS Subs'!$B$33:$O$38,MATCH(AD$5,'ODS Subs'!$B$33:$B$38,0),MATCH($AA$4,'ODS Subs'!$B$33:$O$33,0))</f>
        <v>0.10619978937689842</v>
      </c>
      <c r="AE8" s="347">
        <f>SUM(AA8:AD8)</f>
        <v>0.7793621591247043</v>
      </c>
      <c r="AF8" s="169">
        <f>INDEX('ODS Subs'!$B$33:$O$38,MATCH(AF$5,'ODS Subs'!$B$33:$B$38,0),MATCH($AF$4,'ODS Subs'!$B$33:$O$33,0))</f>
        <v>0.11206184341630175</v>
      </c>
      <c r="AG8" s="170">
        <f>INDEX('ODS Subs'!$B$33:$O$38,MATCH(AG$5,'ODS Subs'!$B$33:$B$38,0),MATCH($AF$4,'ODS Subs'!$B$33:$O$33,0))</f>
        <v>0.51602974607650476</v>
      </c>
      <c r="AH8" s="170">
        <f>INDEX('ODS Subs'!$B$33:$O$38,MATCH(AH$5,'ODS Subs'!$B$33:$B$38,0),MATCH($AF$4,'ODS Subs'!$B$33:$O$33,0))</f>
        <v>4.7315610708196149E-2</v>
      </c>
      <c r="AI8" s="170">
        <f>INDEX('ODS Subs'!$B$33:$O$38,MATCH(AI$5,'ODS Subs'!$B$33:$B$38,0),MATCH($AF$4,'ODS Subs'!$B$33:$O$33,0))</f>
        <v>0.1066757200379826</v>
      </c>
      <c r="AJ8" s="347">
        <f>SUM(AF8:AI8)</f>
        <v>0.78208292023898529</v>
      </c>
      <c r="AK8" s="169">
        <f>INDEX('ODS Subs'!$B$33:$O$38,MATCH(AK$5,'ODS Subs'!$B$33:$B$38,0),MATCH($AK$4,'ODS Subs'!$B$33:$O$33,0))</f>
        <v>0.11273314490384584</v>
      </c>
      <c r="AL8" s="170">
        <f>INDEX('ODS Subs'!$B$33:$O$38,MATCH(AL$5,'ODS Subs'!$B$33:$B$38,0),MATCH($AK$4,'ODS Subs'!$B$33:$O$33,0))</f>
        <v>0.51976567127765516</v>
      </c>
      <c r="AM8" s="170">
        <f>INDEX('ODS Subs'!$B$33:$O$38,MATCH(AM$5,'ODS Subs'!$B$33:$B$38,0),MATCH($AK$4,'ODS Subs'!$B$33:$O$33,0))</f>
        <v>4.8529522393548088E-2</v>
      </c>
      <c r="AN8" s="170">
        <f>INDEX('ODS Subs'!$B$33:$O$38,MATCH(AN$5,'ODS Subs'!$B$33:$B$38,0),MATCH($AK$4,'ODS Subs'!$B$33:$O$33,0))</f>
        <v>0.10889385388054505</v>
      </c>
      <c r="AO8" s="347">
        <f>SUM(AK8:AN8)</f>
        <v>0.78992219245559425</v>
      </c>
      <c r="AP8" s="169">
        <f>INDEX('ODS Subs'!$B$33:$O$38,MATCH(AP$5,'ODS Subs'!$B$33:$B$38,0),MATCH($AP$4,'ODS Subs'!$B$33:$O$33,0))</f>
        <v>0.11491205121151835</v>
      </c>
      <c r="AQ8" s="170">
        <f>INDEX('ODS Subs'!$B$33:$O$38,MATCH(AQ$5,'ODS Subs'!$B$33:$B$38,0),MATCH($AP$4,'ODS Subs'!$B$33:$O$33,0))</f>
        <v>0.52925859268634989</v>
      </c>
      <c r="AR8" s="170">
        <f>INDEX('ODS Subs'!$B$33:$O$38,MATCH(AR$5,'ODS Subs'!$B$33:$B$38,0),MATCH($AP$4,'ODS Subs'!$B$33:$O$33,0))</f>
        <v>4.9041017440785366E-2</v>
      </c>
      <c r="AS8" s="170">
        <f>INDEX('ODS Subs'!$B$33:$O$38,MATCH(AS$5,'ODS Subs'!$B$33:$B$38,0),MATCH($AP$4,'ODS Subs'!$B$33:$O$33,0))</f>
        <v>0.11176356233577646</v>
      </c>
      <c r="AT8" s="347">
        <f>SUM(AP8:AS8)</f>
        <v>0.80497522367443008</v>
      </c>
      <c r="AU8" s="169">
        <f>INDEX('ODS Subs'!$B$33:$O$38,MATCH(AU$5,'ODS Subs'!$B$33:$B$38,0),MATCH($AU$4,'ODS Subs'!$B$33:$O$33,0))</f>
        <v>0.10797506944118317</v>
      </c>
      <c r="AV8" s="170">
        <f>INDEX('ODS Subs'!$B$33:$O$38,MATCH(AV$5,'ODS Subs'!$B$33:$B$38,0),MATCH($AU$4,'ODS Subs'!$B$33:$O$33,0))</f>
        <v>0.50683612243788767</v>
      </c>
      <c r="AW8" s="170">
        <f>INDEX('ODS Subs'!$B$33:$O$38,MATCH(AW$5,'ODS Subs'!$B$33:$B$38,0),MATCH($AU$4,'ODS Subs'!$B$33:$O$33,0))</f>
        <v>4.1437717604926941E-2</v>
      </c>
      <c r="AX8" s="170">
        <f>INDEX('ODS Subs'!$B$33:$O$38,MATCH(AX$5,'ODS Subs'!$B$33:$B$38,0),MATCH($AU$4,'ODS Subs'!$B$33:$O$33,0))</f>
        <v>9.3747506491451027E-2</v>
      </c>
      <c r="AY8" s="347">
        <f>SUM(AU8:AX8)</f>
        <v>0.74999641597544886</v>
      </c>
      <c r="AZ8" s="169">
        <f>INDEX('ODS Subs'!$B$33:$O$38,MATCH(AZ$5,'ODS Subs'!$B$33:$B$38,0),MATCH($AZ$4,'ODS Subs'!$B$33:$O$33,0))</f>
        <v>0.11870725947460881</v>
      </c>
      <c r="BA8" s="170">
        <f>INDEX('ODS Subs'!$B$33:$O$38,MATCH(BA$5,'ODS Subs'!$B$33:$B$38,0),MATCH($AZ$4,'ODS Subs'!$B$33:$O$33,0))</f>
        <v>0.53209227810197213</v>
      </c>
      <c r="BB8" s="170">
        <f>INDEX('ODS Subs'!$B$33:$O$38,MATCH(BB$5,'ODS Subs'!$B$33:$B$38,0),MATCH($AZ$4,'ODS Subs'!$B$33:$O$33,0))</f>
        <v>4.7210778888706992E-2</v>
      </c>
      <c r="BC8" s="170">
        <f>INDEX('ODS Subs'!$B$33:$O$38,MATCH(BC$5,'ODS Subs'!$B$33:$B$38,0),MATCH($AZ$4,'ODS Subs'!$B$33:$O$33,0))</f>
        <v>0.11082093498392227</v>
      </c>
      <c r="BD8" s="347">
        <f>SUM(AZ8:BC8)</f>
        <v>0.8088312514492102</v>
      </c>
      <c r="BE8" s="169">
        <f>INDEX('ODS Subs'!$B$33:$O$38,MATCH(BE$5,'ODS Subs'!$B$33:$B$38,0),MATCH($BE$4,'ODS Subs'!$B$33:$O$33,0))</f>
        <v>0.12524974508223266</v>
      </c>
      <c r="BF8" s="170">
        <f>INDEX('ODS Subs'!$B$33:$O$38,MATCH(BF$5,'ODS Subs'!$B$33:$B$38,0),MATCH($BE$4,'ODS Subs'!$B$33:$O$33,0))</f>
        <v>0.54780384113003588</v>
      </c>
      <c r="BG8" s="170">
        <f>INDEX('ODS Subs'!$B$33:$O$38,MATCH(BG$5,'ODS Subs'!$B$33:$B$38,0),MATCH($BE$4,'ODS Subs'!$B$33:$O$33,0))</f>
        <v>5.2271877801618051E-2</v>
      </c>
      <c r="BH8" s="170">
        <f>INDEX('ODS Subs'!$B$33:$O$38,MATCH(BH$5,'ODS Subs'!$B$33:$B$38,0),MATCH($BE$4,'ODS Subs'!$B$33:$O$33,0))</f>
        <v>0.11685237336192077</v>
      </c>
      <c r="BI8" s="347">
        <f>SUM(BE8:BH8)</f>
        <v>0.84217783737580731</v>
      </c>
    </row>
    <row r="9" spans="1:61" s="288" customFormat="1">
      <c r="A9" s="173" t="s">
        <v>49</v>
      </c>
      <c r="B9" s="175">
        <f>SUM(B6:B8)</f>
        <v>6.4414337327476888E-3</v>
      </c>
      <c r="C9" s="174">
        <f t="shared" ref="C9:E9" si="12">SUM(C6:C8)</f>
        <v>0.16178779847591679</v>
      </c>
      <c r="D9" s="174">
        <f t="shared" si="12"/>
        <v>3.121052026993578E-3</v>
      </c>
      <c r="E9" s="174">
        <f t="shared" si="12"/>
        <v>7.0807446344798549E-3</v>
      </c>
      <c r="F9" s="176">
        <f>SUM(F6:F8)</f>
        <v>0.17843102887013793</v>
      </c>
      <c r="G9" s="175">
        <f>SUM(G6:G8)</f>
        <v>7.0250761379776122E-2</v>
      </c>
      <c r="H9" s="174">
        <f t="shared" ref="H9:J9" si="13">SUM(H6:H8)</f>
        <v>0.32728721062012189</v>
      </c>
      <c r="I9" s="174">
        <f t="shared" si="13"/>
        <v>3.0584992196009082E-2</v>
      </c>
      <c r="J9" s="174">
        <f t="shared" si="13"/>
        <v>6.7948549143954193E-2</v>
      </c>
      <c r="K9" s="176">
        <f>SUM(K6:K8)</f>
        <v>0.49607151333986138</v>
      </c>
      <c r="L9" s="175">
        <f>SUM(L6:L8)</f>
        <v>8.0042651979975094E-2</v>
      </c>
      <c r="M9" s="174">
        <f t="shared" ref="M9:N9" si="14">SUM(M6:M8)</f>
        <v>0.36228792053178199</v>
      </c>
      <c r="N9" s="174">
        <f t="shared" si="14"/>
        <v>3.4046734459228303E-2</v>
      </c>
      <c r="O9" s="174">
        <f>SUM(O6:O8)</f>
        <v>7.5158289208091617E-2</v>
      </c>
      <c r="P9" s="176">
        <f>SUM(P6:P8)</f>
        <v>0.55153559617907699</v>
      </c>
      <c r="Q9" s="175">
        <f t="shared" ref="Q9:T9" si="15">SUM(Q6:Q8)</f>
        <v>9.5452799106728492E-2</v>
      </c>
      <c r="R9" s="174">
        <f t="shared" si="15"/>
        <v>0.44151697526031897</v>
      </c>
      <c r="S9" s="174">
        <f t="shared" si="15"/>
        <v>3.9871976435490883E-2</v>
      </c>
      <c r="T9" s="174">
        <f t="shared" si="15"/>
        <v>8.9429522809306536E-2</v>
      </c>
      <c r="U9" s="176">
        <f>SUM(U6:U8)</f>
        <v>0.66627127361184491</v>
      </c>
      <c r="V9" s="175">
        <f t="shared" ref="V9:AD9" si="16">SUM(V6:V8)</f>
        <v>0.11101315991454394</v>
      </c>
      <c r="W9" s="174">
        <f t="shared" si="16"/>
        <v>0.52183965168400526</v>
      </c>
      <c r="X9" s="174">
        <f t="shared" si="16"/>
        <v>4.7037347517518292E-2</v>
      </c>
      <c r="Y9" s="174">
        <f t="shared" si="16"/>
        <v>0.10639315416645929</v>
      </c>
      <c r="Z9" s="176">
        <f t="shared" si="16"/>
        <v>0.78628331328252687</v>
      </c>
      <c r="AA9" s="175">
        <f t="shared" si="16"/>
        <v>0.11198266233155975</v>
      </c>
      <c r="AB9" s="174">
        <f t="shared" si="16"/>
        <v>0.52555574389755766</v>
      </c>
      <c r="AC9" s="174">
        <f t="shared" si="16"/>
        <v>4.7345034657143174E-2</v>
      </c>
      <c r="AD9" s="174">
        <f t="shared" si="16"/>
        <v>0.10780400698946815</v>
      </c>
      <c r="AE9" s="176">
        <f>SUM(AE6:AE8)</f>
        <v>0.79268744787572876</v>
      </c>
      <c r="AF9" s="175">
        <f t="shared" ref="AF9:AI9" si="17">SUM(AF6:AF8)</f>
        <v>0.1135521215975915</v>
      </c>
      <c r="AG9" s="174">
        <f t="shared" si="17"/>
        <v>0.52535147133079352</v>
      </c>
      <c r="AH9" s="174">
        <f t="shared" si="17"/>
        <v>4.7949184267521525E-2</v>
      </c>
      <c r="AI9" s="174">
        <f t="shared" si="17"/>
        <v>0.10823408739881656</v>
      </c>
      <c r="AJ9" s="176">
        <f>SUM(AJ6:AJ8)</f>
        <v>0.79508686459472311</v>
      </c>
      <c r="AK9" s="175">
        <f t="shared" ref="AK9:AN9" si="18">SUM(AK6:AK8)</f>
        <v>0.11411178068594961</v>
      </c>
      <c r="AL9" s="174">
        <f t="shared" si="18"/>
        <v>0.52822039641440988</v>
      </c>
      <c r="AM9" s="174">
        <f t="shared" si="18"/>
        <v>4.9113990386842173E-2</v>
      </c>
      <c r="AN9" s="174">
        <f t="shared" si="18"/>
        <v>0.11031775490471546</v>
      </c>
      <c r="AO9" s="176">
        <f>SUM(AO6:AO8)</f>
        <v>0.80176392239191718</v>
      </c>
      <c r="AP9" s="175">
        <f t="shared" ref="AP9:AS9" si="19">SUM(AP6:AP8)</f>
        <v>0.11659191260047554</v>
      </c>
      <c r="AQ9" s="174">
        <f t="shared" si="19"/>
        <v>0.53976327788164025</v>
      </c>
      <c r="AR9" s="174">
        <f t="shared" si="19"/>
        <v>4.977841420782033E-2</v>
      </c>
      <c r="AS9" s="174">
        <f t="shared" si="19"/>
        <v>0.11356794195651357</v>
      </c>
      <c r="AT9" s="176">
        <f>SUM(AT6:AT8)</f>
        <v>0.81970154664644967</v>
      </c>
      <c r="AU9" s="175">
        <f t="shared" ref="AU9:AX9" si="20">SUM(AU6:AU8)</f>
        <v>0.10952784814623193</v>
      </c>
      <c r="AV9" s="174">
        <f t="shared" si="20"/>
        <v>0.51664877571902901</v>
      </c>
      <c r="AW9" s="174">
        <f t="shared" si="20"/>
        <v>4.2096789586947521E-2</v>
      </c>
      <c r="AX9" s="174">
        <f t="shared" si="20"/>
        <v>9.5268958520671868E-2</v>
      </c>
      <c r="AY9" s="176">
        <f>SUM(AY6:AY8)</f>
        <v>0.76354237197288033</v>
      </c>
      <c r="AZ9" s="175">
        <f t="shared" ref="AZ9:BC9" si="21">SUM(AZ6:AZ8)</f>
        <v>0.12035279391996348</v>
      </c>
      <c r="BA9" s="174">
        <f t="shared" si="21"/>
        <v>0.54181880154262985</v>
      </c>
      <c r="BB9" s="174">
        <f t="shared" si="21"/>
        <v>4.7896806248108562E-2</v>
      </c>
      <c r="BC9" s="174">
        <f t="shared" si="21"/>
        <v>0.11247259148545935</v>
      </c>
      <c r="BD9" s="176">
        <f>SUM(BD6:BD8)</f>
        <v>0.82254099319616114</v>
      </c>
      <c r="BE9" s="175">
        <f t="shared" ref="BE9:BH9" si="22">SUM(BE6:BE8)</f>
        <v>0.12661830072372357</v>
      </c>
      <c r="BF9" s="174">
        <f t="shared" si="22"/>
        <v>0.55587233827903071</v>
      </c>
      <c r="BG9" s="174">
        <f t="shared" si="22"/>
        <v>5.2866727604069505E-2</v>
      </c>
      <c r="BH9" s="174">
        <f t="shared" si="22"/>
        <v>0.11826701951954363</v>
      </c>
      <c r="BI9" s="176">
        <f>SUM(BI6:BI8)</f>
        <v>0.85362438612636737</v>
      </c>
    </row>
    <row r="10" spans="1:61" s="541" customFormat="1">
      <c r="A10" s="538"/>
      <c r="B10" s="538"/>
      <c r="C10" s="538"/>
      <c r="D10" s="538"/>
      <c r="E10" s="538"/>
      <c r="F10" s="572">
        <f>F9-'IPPU Summary'!D41</f>
        <v>0</v>
      </c>
      <c r="G10" s="539"/>
      <c r="H10" s="539"/>
      <c r="I10" s="539"/>
      <c r="J10" s="539"/>
      <c r="K10" s="572">
        <f>K9-'IPPU Summary'!E41</f>
        <v>0</v>
      </c>
      <c r="L10" s="540"/>
      <c r="M10" s="540"/>
      <c r="N10" s="540"/>
      <c r="O10" s="540"/>
      <c r="P10" s="572">
        <f>P9-'IPPU Summary'!F41</f>
        <v>0</v>
      </c>
      <c r="Q10" s="540"/>
      <c r="R10" s="540"/>
      <c r="S10" s="540"/>
      <c r="T10" s="540"/>
      <c r="U10" s="572">
        <f>U9-'IPPU Summary'!G41</f>
        <v>0</v>
      </c>
      <c r="V10" s="538"/>
      <c r="W10" s="538"/>
      <c r="X10" s="538"/>
      <c r="Y10" s="538"/>
      <c r="Z10" s="572">
        <f>Z9-'IPPU Summary'!H41</f>
        <v>0</v>
      </c>
      <c r="AA10" s="538"/>
      <c r="AB10" s="538"/>
      <c r="AC10" s="538"/>
      <c r="AD10" s="538"/>
      <c r="AE10" s="572">
        <f>AE9-'IPPU Summary'!I41</f>
        <v>0</v>
      </c>
      <c r="AF10" s="538"/>
      <c r="AG10" s="538"/>
      <c r="AH10" s="538"/>
      <c r="AI10" s="538"/>
      <c r="AJ10" s="572">
        <f>AJ9-'IPPU Summary'!J41</f>
        <v>0</v>
      </c>
      <c r="AK10" s="538"/>
      <c r="AL10" s="538"/>
      <c r="AM10" s="538"/>
      <c r="AN10" s="538"/>
      <c r="AO10" s="572">
        <f>AO9-'IPPU Summary'!K41</f>
        <v>0</v>
      </c>
      <c r="AP10" s="538"/>
      <c r="AQ10" s="538"/>
      <c r="AR10" s="538"/>
      <c r="AS10" s="538"/>
      <c r="AT10" s="572">
        <f>AT9-'IPPU Summary'!L41</f>
        <v>0</v>
      </c>
      <c r="AU10" s="538"/>
      <c r="AV10" s="538"/>
      <c r="AW10" s="538"/>
      <c r="AX10" s="538"/>
      <c r="AY10" s="572">
        <f>AY9-'IPPU Summary'!M41</f>
        <v>0</v>
      </c>
      <c r="AZ10" s="538"/>
      <c r="BA10" s="538"/>
      <c r="BB10" s="538"/>
      <c r="BC10" s="538"/>
      <c r="BD10" s="572">
        <f>BD9-'IPPU Summary'!N41</f>
        <v>0</v>
      </c>
      <c r="BE10" s="538"/>
      <c r="BF10" s="538"/>
      <c r="BG10" s="538"/>
      <c r="BH10" s="538"/>
      <c r="BI10" s="572">
        <f>BI9-'IPPU Summary'!O41</f>
        <v>0</v>
      </c>
    </row>
    <row r="12" spans="1:61">
      <c r="A12" s="42"/>
      <c r="B12" s="42"/>
      <c r="C12" s="42"/>
      <c r="D12" s="42"/>
      <c r="E12" s="42"/>
      <c r="F12" s="42"/>
      <c r="G12" s="42"/>
      <c r="H12" s="42"/>
      <c r="I12" s="42"/>
      <c r="J12" s="42"/>
      <c r="K12" s="42"/>
      <c r="L12" s="42"/>
      <c r="M12" s="42"/>
      <c r="N12" s="42"/>
      <c r="O12" s="42"/>
      <c r="P12" s="42"/>
      <c r="Q12" s="42"/>
      <c r="R12" s="42"/>
      <c r="S12" s="42"/>
      <c r="T12" s="42"/>
      <c r="U12" s="42"/>
      <c r="V12" s="42"/>
      <c r="W12" s="42"/>
      <c r="X12" s="42"/>
      <c r="Y12" s="42"/>
      <c r="Z12" s="42"/>
      <c r="AA12" s="42"/>
      <c r="AB12" s="42"/>
      <c r="AC12" s="42"/>
      <c r="AD12" s="42"/>
      <c r="AE12" s="42"/>
      <c r="AF12" s="42"/>
      <c r="AG12" s="42"/>
      <c r="AH12" s="42"/>
      <c r="AI12" s="42"/>
      <c r="AJ12" s="42"/>
      <c r="AK12" s="42"/>
      <c r="AL12" s="42"/>
      <c r="AM12" s="42"/>
      <c r="AN12" s="42"/>
      <c r="AO12" s="42"/>
      <c r="AP12" s="42"/>
      <c r="AQ12" s="42"/>
      <c r="AR12" s="42"/>
      <c r="AS12" s="42"/>
      <c r="AT12" s="42"/>
      <c r="AU12" s="42"/>
      <c r="AV12" s="42"/>
      <c r="AW12" s="42"/>
      <c r="AX12" s="42"/>
      <c r="AY12" s="42"/>
      <c r="AZ12" s="42"/>
      <c r="BA12" s="42"/>
      <c r="BB12" s="42"/>
      <c r="BC12" s="42"/>
      <c r="BD12" s="42"/>
      <c r="BE12" s="573"/>
      <c r="BF12" s="573"/>
      <c r="BG12" s="573"/>
      <c r="BH12" s="573"/>
      <c r="BI12" s="573"/>
    </row>
    <row r="13" spans="1:61">
      <c r="A13" s="42"/>
      <c r="B13" s="42"/>
      <c r="C13" s="42"/>
      <c r="D13" s="42"/>
      <c r="E13" s="42"/>
      <c r="F13" s="42"/>
      <c r="G13" s="42"/>
      <c r="H13" s="42"/>
      <c r="I13" s="42"/>
      <c r="J13" s="42"/>
      <c r="K13" s="42"/>
      <c r="L13" s="42"/>
      <c r="M13" s="42"/>
      <c r="N13" s="42"/>
      <c r="O13" s="42"/>
      <c r="P13" s="42"/>
      <c r="Q13" s="42"/>
      <c r="R13" s="42"/>
      <c r="S13" s="42"/>
      <c r="T13" s="42"/>
      <c r="U13" s="42"/>
      <c r="V13" s="42"/>
      <c r="W13" s="42"/>
      <c r="X13" s="42"/>
      <c r="Y13" s="42"/>
      <c r="Z13" s="42"/>
      <c r="AA13" s="42"/>
      <c r="AB13" s="42"/>
      <c r="AC13" s="42"/>
      <c r="AD13" s="42"/>
      <c r="AE13" s="42"/>
      <c r="AF13" s="42"/>
      <c r="AG13" s="42"/>
      <c r="AH13" s="42"/>
      <c r="AI13" s="42"/>
      <c r="AJ13" s="42"/>
      <c r="AK13" s="42"/>
      <c r="AL13" s="42"/>
      <c r="AM13" s="42"/>
      <c r="AN13" s="42"/>
      <c r="AO13" s="42"/>
      <c r="AP13" s="42"/>
      <c r="AQ13" s="42"/>
      <c r="AR13" s="42"/>
      <c r="AS13" s="42"/>
      <c r="AT13" s="42"/>
      <c r="AU13" s="42"/>
      <c r="AV13" s="42"/>
      <c r="AW13" s="42"/>
      <c r="AX13" s="42"/>
      <c r="AY13" s="42"/>
      <c r="AZ13" s="42"/>
      <c r="BA13" s="42"/>
      <c r="BB13" s="42"/>
      <c r="BC13" s="42"/>
      <c r="BD13" s="42"/>
      <c r="BE13" s="573"/>
      <c r="BF13" s="573"/>
      <c r="BG13" s="573"/>
      <c r="BH13" s="573"/>
      <c r="BI13" s="573"/>
    </row>
    <row r="14" spans="1:61">
      <c r="A14" s="42"/>
      <c r="B14" s="42"/>
      <c r="C14" s="42"/>
      <c r="D14" s="42"/>
      <c r="E14" s="42"/>
      <c r="F14" s="42"/>
      <c r="G14" s="42"/>
      <c r="H14" s="42"/>
      <c r="I14" s="42"/>
      <c r="J14" s="42"/>
      <c r="K14" s="42"/>
      <c r="L14" s="42"/>
      <c r="M14" s="42"/>
      <c r="N14" s="42"/>
      <c r="O14" s="42"/>
      <c r="P14" s="42"/>
      <c r="Q14" s="42"/>
      <c r="R14" s="42"/>
      <c r="S14" s="42"/>
      <c r="T14" s="42"/>
      <c r="U14" s="42"/>
      <c r="V14" s="42"/>
      <c r="W14" s="42"/>
      <c r="X14" s="42"/>
      <c r="Y14" s="42"/>
      <c r="Z14" s="42"/>
      <c r="AA14" s="42"/>
      <c r="AB14" s="42"/>
      <c r="AC14" s="42"/>
      <c r="AD14" s="42"/>
      <c r="AE14" s="42"/>
      <c r="AF14" s="42"/>
      <c r="AG14" s="42"/>
      <c r="AH14" s="42"/>
      <c r="AI14" s="42"/>
      <c r="AJ14" s="42"/>
      <c r="AK14" s="42"/>
      <c r="AL14" s="42"/>
      <c r="AM14" s="42"/>
      <c r="AN14" s="42"/>
      <c r="AO14" s="42"/>
      <c r="AP14" s="42"/>
      <c r="AQ14" s="42"/>
      <c r="AR14" s="42"/>
      <c r="AS14" s="42"/>
      <c r="AT14" s="42"/>
      <c r="AU14" s="42"/>
      <c r="AV14" s="42"/>
      <c r="AW14" s="42"/>
      <c r="AX14" s="42"/>
      <c r="AY14" s="42"/>
      <c r="AZ14" s="42"/>
      <c r="BA14" s="42"/>
      <c r="BB14" s="42"/>
      <c r="BC14" s="42"/>
      <c r="BD14" s="42"/>
      <c r="BE14" s="573"/>
      <c r="BF14" s="573"/>
      <c r="BG14" s="573"/>
      <c r="BH14" s="573"/>
      <c r="BI14" s="573"/>
    </row>
    <row r="16" spans="1:61">
      <c r="A16" s="42"/>
      <c r="B16" s="42"/>
      <c r="C16" s="42"/>
      <c r="D16" s="42"/>
      <c r="E16" s="42"/>
      <c r="F16" s="42"/>
      <c r="G16" s="42"/>
      <c r="H16" s="42"/>
      <c r="I16" s="42"/>
      <c r="J16" s="42"/>
      <c r="K16" s="42"/>
      <c r="L16" s="42"/>
      <c r="M16" s="42"/>
      <c r="N16" s="42"/>
      <c r="O16" s="42"/>
      <c r="P16" s="42"/>
      <c r="Q16" s="42"/>
      <c r="R16" s="42"/>
      <c r="S16" s="42"/>
      <c r="T16" s="42"/>
      <c r="U16" s="42"/>
      <c r="V16" s="42"/>
      <c r="W16" s="42"/>
      <c r="X16" s="42"/>
      <c r="Y16" s="170"/>
      <c r="Z16" s="42"/>
      <c r="AA16" s="42"/>
      <c r="AB16" s="42"/>
      <c r="AC16" s="42"/>
      <c r="AD16" s="42"/>
      <c r="AE16" s="42"/>
      <c r="AF16" s="42"/>
      <c r="AG16" s="42"/>
      <c r="AH16" s="42"/>
      <c r="AI16" s="42"/>
      <c r="AJ16" s="42"/>
      <c r="AK16" s="42"/>
      <c r="AL16" s="42"/>
      <c r="AM16" s="42"/>
      <c r="AN16" s="42"/>
      <c r="AO16" s="42"/>
      <c r="AP16" s="42"/>
      <c r="AQ16" s="42"/>
      <c r="AR16" s="42"/>
      <c r="AS16" s="42"/>
      <c r="AT16" s="42"/>
      <c r="AU16" s="42"/>
      <c r="AV16" s="42"/>
      <c r="AW16" s="42"/>
      <c r="AX16" s="42"/>
      <c r="AY16" s="42"/>
      <c r="AZ16" s="42"/>
      <c r="BA16" s="42"/>
      <c r="BB16" s="42"/>
      <c r="BC16" s="42"/>
      <c r="BD16" s="42"/>
      <c r="BE16" s="42"/>
      <c r="BF16" s="42"/>
      <c r="BG16" s="42"/>
      <c r="BH16" s="42"/>
      <c r="BI16" s="42"/>
    </row>
  </sheetData>
  <mergeCells count="12">
    <mergeCell ref="BE4:BI4"/>
    <mergeCell ref="AU4:AY4"/>
    <mergeCell ref="AZ4:BD4"/>
    <mergeCell ref="AK4:AO4"/>
    <mergeCell ref="AP4:AT4"/>
    <mergeCell ref="AF4:AJ4"/>
    <mergeCell ref="B4:F4"/>
    <mergeCell ref="L4:P4"/>
    <mergeCell ref="Q4:U4"/>
    <mergeCell ref="V4:Z4"/>
    <mergeCell ref="AA4:AE4"/>
    <mergeCell ref="G4:K4"/>
  </mergeCells>
  <pageMargins left="0.75" right="0.75" top="1" bottom="1" header="0.5" footer="0.5"/>
  <pageSetup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1">
    <tabColor indexed="44"/>
  </sheetPr>
  <dimension ref="A1:M74"/>
  <sheetViews>
    <sheetView workbookViewId="0">
      <selection activeCell="E29" sqref="E29"/>
    </sheetView>
  </sheetViews>
  <sheetFormatPr defaultColWidth="8.5703125" defaultRowHeight="12.75"/>
  <cols>
    <col min="1" max="1" width="40.42578125" style="42" customWidth="1"/>
    <col min="2" max="8" width="10.5703125" style="42" customWidth="1"/>
    <col min="9" max="16384" width="8.5703125" style="42"/>
  </cols>
  <sheetData>
    <row r="1" spans="1:13" s="495" customFormat="1" ht="18.75">
      <c r="A1" s="83" t="s">
        <v>96</v>
      </c>
      <c r="B1" s="494"/>
    </row>
    <row r="2" spans="1:13" s="495" customFormat="1">
      <c r="A2" s="496" t="s">
        <v>97</v>
      </c>
      <c r="B2" s="494"/>
    </row>
    <row r="3" spans="1:13" s="106" customFormat="1">
      <c r="A3" s="496" t="s">
        <v>98</v>
      </c>
      <c r="B3" s="107"/>
      <c r="C3" s="107"/>
      <c r="D3" s="107"/>
      <c r="E3" s="107"/>
      <c r="F3" s="107"/>
      <c r="G3" s="107"/>
      <c r="H3" s="107"/>
    </row>
    <row r="4" spans="1:13" s="52" customFormat="1">
      <c r="A4" s="116"/>
      <c r="B4" s="117"/>
      <c r="C4" s="117"/>
      <c r="D4" s="117"/>
      <c r="E4" s="117"/>
      <c r="F4" s="117"/>
      <c r="G4" s="117"/>
      <c r="H4" s="117"/>
    </row>
    <row r="5" spans="1:13">
      <c r="A5" s="108">
        <v>1</v>
      </c>
      <c r="B5" s="109">
        <v>2</v>
      </c>
      <c r="C5" s="108">
        <v>3</v>
      </c>
      <c r="D5" s="109">
        <v>4</v>
      </c>
      <c r="E5" s="108">
        <v>5</v>
      </c>
      <c r="F5" s="109">
        <v>6</v>
      </c>
      <c r="G5" s="108">
        <v>7</v>
      </c>
      <c r="H5" s="109">
        <v>8</v>
      </c>
      <c r="I5" s="108">
        <v>9</v>
      </c>
      <c r="J5" s="109">
        <v>10</v>
      </c>
      <c r="K5" s="108">
        <v>11</v>
      </c>
      <c r="L5" s="109">
        <v>12</v>
      </c>
      <c r="M5" s="109">
        <v>13</v>
      </c>
    </row>
    <row r="6" spans="1:13">
      <c r="B6" s="68">
        <v>1990</v>
      </c>
      <c r="C6" s="68">
        <v>2005</v>
      </c>
      <c r="D6" s="68">
        <v>2007</v>
      </c>
      <c r="E6" s="68">
        <v>2010</v>
      </c>
      <c r="F6" s="68">
        <v>2015</v>
      </c>
      <c r="G6" s="68">
        <v>2016</v>
      </c>
      <c r="H6" s="68">
        <v>2017</v>
      </c>
      <c r="I6" s="68">
        <v>2018</v>
      </c>
      <c r="J6" s="68">
        <v>2019</v>
      </c>
      <c r="K6" s="68">
        <v>2020</v>
      </c>
      <c r="L6" s="68">
        <v>2021</v>
      </c>
      <c r="M6" s="68">
        <v>2022</v>
      </c>
    </row>
    <row r="7" spans="1:13">
      <c r="A7" s="110" t="s">
        <v>99</v>
      </c>
      <c r="B7" s="80">
        <f>HLOOKUP(B6,'Cement Data'!$C$3:$AI$5,3,0)*thousMT_MT</f>
        <v>195043.7</v>
      </c>
      <c r="C7" s="80">
        <f>HLOOKUP(C6,'Cement Data'!$C$3:$AI$5,3,0)*thousMT_MT</f>
        <v>0</v>
      </c>
      <c r="D7" s="80">
        <f>HLOOKUP(D6,'Cement Data'!$C$3:$AI$5,3,0)*thousMT_MT</f>
        <v>0</v>
      </c>
      <c r="E7" s="80">
        <f>HLOOKUP(E6,'Cement Data'!$C$3:$AI$5,3,0)*thousMT_MT</f>
        <v>0</v>
      </c>
      <c r="F7" s="80">
        <f>HLOOKUP(F6,'Cement Data'!$C$3:$AI$5,3,0)*thousMT_MT</f>
        <v>0</v>
      </c>
      <c r="G7" s="80">
        <f>HLOOKUP(G6,'Cement Data'!$C$3:$AI$5,3,0)*thousMT_MT</f>
        <v>0</v>
      </c>
      <c r="H7" s="80">
        <f>HLOOKUP(H6,'Cement Data'!$C$3:$AI$5,3,0)*thousMT_MT</f>
        <v>0</v>
      </c>
      <c r="I7" s="80">
        <f>HLOOKUP(I6,'Cement Data'!$C$3:$AI$5,3,0)*thousMT_MT</f>
        <v>0</v>
      </c>
      <c r="J7" s="80">
        <f>HLOOKUP(J6,'Cement Data'!$C$3:$AI$5,3,0)*thousMT_MT</f>
        <v>0</v>
      </c>
      <c r="K7" s="80">
        <f>HLOOKUP(K6,'Cement Data'!$C$3:$AI$5,3,0)*thousMT_MT</f>
        <v>0</v>
      </c>
      <c r="L7" s="80">
        <f>HLOOKUP(L6,'Cement Data'!$C$3:$AI$5,3,0)*thousMT_MT</f>
        <v>0</v>
      </c>
      <c r="M7" s="80">
        <f>HLOOKUP(M6,'Cement Data'!$C$3:$AI$5,3,0)*thousMT_MT</f>
        <v>0</v>
      </c>
    </row>
    <row r="8" spans="1:13">
      <c r="A8" s="110" t="s">
        <v>100</v>
      </c>
      <c r="B8" s="103">
        <f>clinkerEF</f>
        <v>0.51</v>
      </c>
      <c r="C8" s="103">
        <f t="shared" ref="C8:M8" si="0">clinkerEF</f>
        <v>0.51</v>
      </c>
      <c r="D8" s="103">
        <f t="shared" si="0"/>
        <v>0.51</v>
      </c>
      <c r="E8" s="103">
        <f t="shared" si="0"/>
        <v>0.51</v>
      </c>
      <c r="F8" s="103">
        <f t="shared" si="0"/>
        <v>0.51</v>
      </c>
      <c r="G8" s="103">
        <f t="shared" si="0"/>
        <v>0.51</v>
      </c>
      <c r="H8" s="103">
        <f t="shared" si="0"/>
        <v>0.51</v>
      </c>
      <c r="I8" s="103">
        <f t="shared" si="0"/>
        <v>0.51</v>
      </c>
      <c r="J8" s="103">
        <f t="shared" si="0"/>
        <v>0.51</v>
      </c>
      <c r="K8" s="103">
        <f t="shared" si="0"/>
        <v>0.51</v>
      </c>
      <c r="L8" s="103">
        <f t="shared" si="0"/>
        <v>0.51</v>
      </c>
      <c r="M8" s="103">
        <f t="shared" si="0"/>
        <v>0.51</v>
      </c>
    </row>
    <row r="9" spans="1:13">
      <c r="A9" s="110" t="s">
        <v>101</v>
      </c>
      <c r="B9" s="114">
        <f t="shared" ref="B9:M9" si="1">CKDCorrection</f>
        <v>1.02</v>
      </c>
      <c r="C9" s="114">
        <f t="shared" si="1"/>
        <v>1.02</v>
      </c>
      <c r="D9" s="114">
        <f t="shared" si="1"/>
        <v>1.02</v>
      </c>
      <c r="E9" s="114">
        <f t="shared" si="1"/>
        <v>1.02</v>
      </c>
      <c r="F9" s="114">
        <f t="shared" si="1"/>
        <v>1.02</v>
      </c>
      <c r="G9" s="114">
        <f t="shared" si="1"/>
        <v>1.02</v>
      </c>
      <c r="H9" s="114">
        <f t="shared" si="1"/>
        <v>1.02</v>
      </c>
      <c r="I9" s="114">
        <f t="shared" si="1"/>
        <v>1.02</v>
      </c>
      <c r="J9" s="114">
        <f t="shared" si="1"/>
        <v>1.02</v>
      </c>
      <c r="K9" s="114">
        <f t="shared" si="1"/>
        <v>1.02</v>
      </c>
      <c r="L9" s="114">
        <f t="shared" si="1"/>
        <v>1.02</v>
      </c>
      <c r="M9" s="114">
        <f t="shared" si="1"/>
        <v>1.02</v>
      </c>
    </row>
    <row r="10" spans="1:13">
      <c r="A10" s="111" t="s">
        <v>102</v>
      </c>
      <c r="B10" s="80">
        <f t="shared" ref="B10:H10" si="2">B7*B8*B9</f>
        <v>101461.73274000001</v>
      </c>
      <c r="C10" s="80">
        <f t="shared" ref="C10" si="3">C7*C8*C9</f>
        <v>0</v>
      </c>
      <c r="D10" s="80">
        <f t="shared" si="2"/>
        <v>0</v>
      </c>
      <c r="E10" s="80">
        <f t="shared" si="2"/>
        <v>0</v>
      </c>
      <c r="F10" s="80">
        <f t="shared" si="2"/>
        <v>0</v>
      </c>
      <c r="G10" s="80">
        <f t="shared" si="2"/>
        <v>0</v>
      </c>
      <c r="H10" s="80">
        <f t="shared" si="2"/>
        <v>0</v>
      </c>
      <c r="I10" s="80">
        <f t="shared" ref="I10:J10" si="4">I7*I8*I9</f>
        <v>0</v>
      </c>
      <c r="J10" s="80">
        <f t="shared" si="4"/>
        <v>0</v>
      </c>
      <c r="K10" s="80">
        <f t="shared" ref="K10:M10" si="5">K7*K8*K9</f>
        <v>0</v>
      </c>
      <c r="L10" s="80">
        <f t="shared" si="5"/>
        <v>0</v>
      </c>
      <c r="M10" s="80">
        <f t="shared" si="5"/>
        <v>0</v>
      </c>
    </row>
    <row r="11" spans="1:13">
      <c r="A11" s="111" t="s">
        <v>103</v>
      </c>
      <c r="B11" s="80">
        <f t="shared" ref="B11:H12" si="6">B10/1000</f>
        <v>101.46173274</v>
      </c>
      <c r="C11" s="80">
        <f t="shared" ref="C11" si="7">C10/1000</f>
        <v>0</v>
      </c>
      <c r="D11" s="80">
        <f t="shared" si="6"/>
        <v>0</v>
      </c>
      <c r="E11" s="80">
        <f t="shared" si="6"/>
        <v>0</v>
      </c>
      <c r="F11" s="80">
        <f t="shared" si="6"/>
        <v>0</v>
      </c>
      <c r="G11" s="80">
        <f t="shared" si="6"/>
        <v>0</v>
      </c>
      <c r="H11" s="80">
        <f t="shared" si="6"/>
        <v>0</v>
      </c>
      <c r="I11" s="80">
        <f t="shared" ref="I11:J11" si="8">I10/1000</f>
        <v>0</v>
      </c>
      <c r="J11" s="80">
        <f t="shared" si="8"/>
        <v>0</v>
      </c>
      <c r="K11" s="80">
        <f t="shared" ref="K11:M11" si="9">K10/1000</f>
        <v>0</v>
      </c>
      <c r="L11" s="80">
        <f t="shared" si="9"/>
        <v>0</v>
      </c>
      <c r="M11" s="80">
        <f t="shared" si="9"/>
        <v>0</v>
      </c>
    </row>
    <row r="12" spans="1:13">
      <c r="A12" s="111" t="s">
        <v>104</v>
      </c>
      <c r="B12" s="118">
        <f t="shared" si="6"/>
        <v>0.10146173274</v>
      </c>
      <c r="C12" s="118">
        <f t="shared" ref="C12" si="10">C11/1000</f>
        <v>0</v>
      </c>
      <c r="D12" s="118">
        <f t="shared" si="6"/>
        <v>0</v>
      </c>
      <c r="E12" s="118">
        <f t="shared" si="6"/>
        <v>0</v>
      </c>
      <c r="F12" s="118">
        <f t="shared" si="6"/>
        <v>0</v>
      </c>
      <c r="G12" s="118">
        <f t="shared" si="6"/>
        <v>0</v>
      </c>
      <c r="H12" s="118">
        <f t="shared" si="6"/>
        <v>0</v>
      </c>
      <c r="I12" s="118">
        <f t="shared" ref="I12:J12" si="11">I11/1000</f>
        <v>0</v>
      </c>
      <c r="J12" s="118">
        <f t="shared" si="11"/>
        <v>0</v>
      </c>
      <c r="K12" s="118">
        <f t="shared" ref="K12:M12" si="12">K11/1000</f>
        <v>0</v>
      </c>
      <c r="L12" s="118">
        <f t="shared" si="12"/>
        <v>0</v>
      </c>
      <c r="M12" s="118">
        <f t="shared" si="12"/>
        <v>0</v>
      </c>
    </row>
    <row r="13" spans="1:13">
      <c r="A13" s="111"/>
      <c r="B13" s="579"/>
      <c r="C13" s="579"/>
      <c r="D13" s="579"/>
      <c r="E13" s="579"/>
      <c r="F13" s="579"/>
      <c r="G13" s="579"/>
      <c r="H13" s="579"/>
      <c r="I13" s="579"/>
      <c r="J13" s="579"/>
      <c r="K13" s="579"/>
      <c r="L13" s="579"/>
      <c r="M13" s="579"/>
    </row>
    <row r="14" spans="1:13">
      <c r="A14" s="105" t="s">
        <v>105</v>
      </c>
      <c r="B14" s="577">
        <f>B12-'IPPU Summary'!D12</f>
        <v>0</v>
      </c>
      <c r="C14" s="577">
        <f>C12-'IPPU Summary'!E12</f>
        <v>0</v>
      </c>
      <c r="D14" s="577">
        <f>D12-'IPPU Summary'!F12</f>
        <v>0</v>
      </c>
      <c r="E14" s="577">
        <f>E12-'IPPU Summary'!G12</f>
        <v>0</v>
      </c>
      <c r="F14" s="577">
        <f>F12-'IPPU Summary'!H12</f>
        <v>0</v>
      </c>
      <c r="G14" s="577">
        <f>G12-'IPPU Summary'!I12</f>
        <v>0</v>
      </c>
      <c r="H14" s="577">
        <f>H12-'IPPU Summary'!J12</f>
        <v>0</v>
      </c>
      <c r="I14" s="577">
        <f>I12-'IPPU Summary'!K12</f>
        <v>0</v>
      </c>
      <c r="J14" s="577">
        <f>J12-'IPPU Summary'!L12</f>
        <v>0</v>
      </c>
      <c r="K14" s="577">
        <f>K12-'IPPU Summary'!M12</f>
        <v>0</v>
      </c>
      <c r="L14" s="577">
        <f>L12-'IPPU Summary'!N12</f>
        <v>0</v>
      </c>
      <c r="M14" s="577">
        <f>M12-'IPPU Summary'!O12</f>
        <v>0</v>
      </c>
    </row>
    <row r="15" spans="1:13">
      <c r="B15" s="115"/>
      <c r="C15" s="115"/>
    </row>
    <row r="65" spans="1:6">
      <c r="A65" s="112"/>
      <c r="F65" s="112"/>
    </row>
    <row r="66" spans="1:6">
      <c r="A66" s="113"/>
    </row>
    <row r="67" spans="1:6">
      <c r="A67" s="112"/>
    </row>
    <row r="68" spans="1:6">
      <c r="A68" s="113"/>
    </row>
    <row r="69" spans="1:6">
      <c r="A69" s="112"/>
    </row>
    <row r="70" spans="1:6">
      <c r="A70" s="113"/>
    </row>
    <row r="72" spans="1:6">
      <c r="A72" s="113"/>
    </row>
    <row r="73" spans="1:6">
      <c r="A73" s="112"/>
    </row>
    <row r="74" spans="1:6">
      <c r="A74" s="113"/>
    </row>
  </sheetData>
  <phoneticPr fontId="8" type="noConversion"/>
  <pageMargins left="0.75" right="0.75" top="1" bottom="1" header="0.5" footer="0.5"/>
  <pageSetup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3">
    <tabColor indexed="44"/>
  </sheetPr>
  <dimension ref="A1:AX136"/>
  <sheetViews>
    <sheetView workbookViewId="0">
      <selection activeCell="A13" sqref="A13:M18"/>
    </sheetView>
  </sheetViews>
  <sheetFormatPr defaultColWidth="9.42578125" defaultRowHeight="12.75"/>
  <cols>
    <col min="1" max="1" width="29.5703125" style="42" customWidth="1"/>
    <col min="2" max="2" width="16.5703125" style="42" bestFit="1" customWidth="1"/>
    <col min="3" max="3" width="17.5703125" style="42" customWidth="1"/>
    <col min="4" max="4" width="17.28515625" style="42" customWidth="1"/>
    <col min="5" max="11" width="15" style="42" bestFit="1" customWidth="1"/>
    <col min="12" max="12" width="18.28515625" style="42" customWidth="1"/>
    <col min="13" max="13" width="16.140625" style="42" customWidth="1"/>
    <col min="14" max="16384" width="9.42578125" style="42"/>
  </cols>
  <sheetData>
    <row r="1" spans="1:41" s="495" customFormat="1" ht="18.75">
      <c r="A1" s="83" t="s">
        <v>106</v>
      </c>
    </row>
    <row r="2" spans="1:41" s="50" customFormat="1">
      <c r="A2" s="495" t="s">
        <v>107</v>
      </c>
      <c r="D2" s="51"/>
      <c r="E2" s="51"/>
      <c r="F2" s="51"/>
      <c r="G2" s="51"/>
      <c r="H2" s="51"/>
      <c r="I2" s="51"/>
      <c r="J2" s="51"/>
    </row>
    <row r="3" spans="1:41" s="52" customFormat="1" ht="13.5" customHeight="1">
      <c r="A3" s="73"/>
      <c r="D3" s="74"/>
      <c r="E3" s="74"/>
      <c r="F3" s="74"/>
      <c r="G3" s="74"/>
      <c r="H3" s="74"/>
      <c r="I3" s="74"/>
      <c r="J3" s="74"/>
    </row>
    <row r="4" spans="1:41" s="52" customFormat="1" ht="13.5" customHeight="1">
      <c r="A4" s="53">
        <v>1</v>
      </c>
      <c r="B4" s="54">
        <v>2</v>
      </c>
      <c r="C4" s="53">
        <v>3</v>
      </c>
      <c r="D4" s="54">
        <v>4</v>
      </c>
      <c r="E4" s="53">
        <v>5</v>
      </c>
      <c r="F4" s="54">
        <v>6</v>
      </c>
      <c r="G4" s="53">
        <v>7</v>
      </c>
      <c r="H4" s="54">
        <v>8</v>
      </c>
      <c r="I4" s="53">
        <v>9</v>
      </c>
      <c r="J4" s="54">
        <v>10</v>
      </c>
      <c r="K4" s="54">
        <v>11</v>
      </c>
      <c r="L4" s="54">
        <v>12</v>
      </c>
      <c r="M4" s="54">
        <v>13</v>
      </c>
    </row>
    <row r="5" spans="1:41" ht="15">
      <c r="A5" s="71" t="s">
        <v>108</v>
      </c>
      <c r="B5" s="68">
        <v>1990</v>
      </c>
      <c r="C5" s="68">
        <v>2005</v>
      </c>
      <c r="D5" s="68">
        <v>2007</v>
      </c>
      <c r="E5" s="68">
        <v>2010</v>
      </c>
      <c r="F5" s="68">
        <v>2015</v>
      </c>
      <c r="G5" s="68">
        <v>2016</v>
      </c>
      <c r="H5" s="68">
        <v>2017</v>
      </c>
      <c r="I5" s="68">
        <v>2018</v>
      </c>
      <c r="J5" s="68">
        <v>2019</v>
      </c>
      <c r="K5" s="68">
        <v>2020</v>
      </c>
      <c r="L5" s="68">
        <v>2021</v>
      </c>
      <c r="M5" s="68">
        <v>2022</v>
      </c>
      <c r="N5" s="52"/>
    </row>
    <row r="6" spans="1:41">
      <c r="A6" s="42" t="s">
        <v>109</v>
      </c>
      <c r="B6" s="46">
        <f>SUMIF('Electrical T&amp;D Data'!$B$3:$M$3,'Electrical T&amp;D'!B$5,'Electrical T&amp;D Data'!$B4:$M4)</f>
        <v>8310537</v>
      </c>
      <c r="C6" s="46">
        <f>SUMIF('Electrical T&amp;D Data'!$B$3:$M$3,'Electrical T&amp;D'!C$5,'Electrical T&amp;D Data'!$B4:$M4)</f>
        <v>10538505.869999999</v>
      </c>
      <c r="D6" s="46">
        <f>SUMIF('Electrical T&amp;D Data'!$B$3:$M$3,'Electrical T&amp;D'!D$5,'Electrical T&amp;D Data'!$B4:$M4)</f>
        <v>10585037.091999998</v>
      </c>
      <c r="E6" s="46">
        <f>SUMIF('Electrical T&amp;D Data'!$B$3:$M$3,'Electrical T&amp;D'!E$5,'Electrical T&amp;D Data'!$B4:$M4)</f>
        <v>10013103.76</v>
      </c>
      <c r="F6" s="46">
        <f>SUMIF('Electrical T&amp;D Data'!$B$3:$M$3,'Electrical T&amp;D'!F$5,'Electrical T&amp;D Data'!$B4:$M4)</f>
        <v>9388576.5319999997</v>
      </c>
      <c r="G6" s="46">
        <f>SUMIF('Electrical T&amp;D Data'!$B$3:$M$3,'Electrical T&amp;D'!G$5,'Electrical T&amp;D Data'!$B4:$M4)</f>
        <v>9284423.6359999999</v>
      </c>
      <c r="H6" s="46">
        <f>SUMIF('Electrical T&amp;D Data'!$B$3:$M$3,'Electrical T&amp;D'!H$5,'Electrical T&amp;D Data'!$B4:$M4)</f>
        <v>9135530.9249999989</v>
      </c>
      <c r="I6" s="46">
        <f>SUMIF('Electrical T&amp;D Data'!$B$3:$M$3,'Electrical T&amp;D'!I$5,'Electrical T&amp;D Data'!$B4:$M4)</f>
        <v>9139885.9269999992</v>
      </c>
      <c r="J6" s="46">
        <f>SUMIF('Electrical T&amp;D Data'!$B$3:$M$3,'Electrical T&amp;D'!J$5,'Electrical T&amp;D Data'!$B4:$M4)</f>
        <v>9200693.8709999993</v>
      </c>
      <c r="K6" s="46">
        <f>SUMIF('Electrical T&amp;D Data'!$B$3:$M$3,'Electrical T&amp;D'!K$5,'Electrical T&amp;D Data'!$B4:$M4)</f>
        <v>8535500.8359999992</v>
      </c>
      <c r="L6" s="46">
        <f>SUMIF('Electrical T&amp;D Data'!$B$3:$M$3,'Electrical T&amp;D'!L$5,'Electrical T&amp;D Data'!$B4:$M4)</f>
        <v>8696258.8550000004</v>
      </c>
      <c r="M6" s="46">
        <f>SUMIF('Electrical T&amp;D Data'!$B$3:$M$3,'Electrical T&amp;D'!M$5,'Electrical T&amp;D Data'!$B4:$M4)</f>
        <v>8814222</v>
      </c>
      <c r="N6" s="52"/>
    </row>
    <row r="7" spans="1:41">
      <c r="A7" s="42" t="s">
        <v>110</v>
      </c>
      <c r="B7" s="46">
        <f>SUMIF('Electrical T&amp;D Data'!$B$3:$M$3,'Electrical T&amp;D'!B$5,'Electrical T&amp;D Data'!$B5:$M5)</f>
        <v>2712554665</v>
      </c>
      <c r="C7" s="46">
        <f>SUMIF('Electrical T&amp;D Data'!$B$3:$M$3,'Electrical T&amp;D'!C$5,'Electrical T&amp;D Data'!$B5:$M5)</f>
        <v>3660968513</v>
      </c>
      <c r="D7" s="46">
        <f>SUMIF('Electrical T&amp;D Data'!$B$3:$M$3,'Electrical T&amp;D'!D$5,'Electrical T&amp;D Data'!$B5:$M5)</f>
        <v>3764560712</v>
      </c>
      <c r="E7" s="46">
        <f>SUMIF('Electrical T&amp;D Data'!$B$3:$M$3,'Electrical T&amp;D'!E$5,'Electrical T&amp;D Data'!$B5:$M5)</f>
        <v>3754841368</v>
      </c>
      <c r="F7" s="46">
        <f>SUMIF('Electrical T&amp;D Data'!$B$3:$M$3,'Electrical T&amp;D'!F$5,'Electrical T&amp;D Data'!$B5:$M5)</f>
        <v>3758992390</v>
      </c>
      <c r="G7" s="46">
        <f>SUMIF('Electrical T&amp;D Data'!$B$3:$M$3,'Electrical T&amp;D'!G$5,'Electrical T&amp;D Data'!$B5:$M5)</f>
        <v>3762461630</v>
      </c>
      <c r="H7" s="46">
        <f>SUMIF('Electrical T&amp;D Data'!$B$3:$M$3,'Electrical T&amp;D'!H$5,'Electrical T&amp;D Data'!$B5:$M5)</f>
        <v>3723355974</v>
      </c>
      <c r="I7" s="46">
        <f>SUMIF('Electrical T&amp;D Data'!$B$3:$M$3,'Electrical T&amp;D'!I$5,'Electrical T&amp;D Data'!$B5:$M5)</f>
        <v>3859185261</v>
      </c>
      <c r="J7" s="46">
        <f>SUMIF('Electrical T&amp;D Data'!$B$3:$M$3,'Electrical T&amp;D'!J$5,'Electrical T&amp;D Data'!$B5:$M5)</f>
        <v>3811150463</v>
      </c>
      <c r="K7" s="46">
        <f>SUMIF('Electrical T&amp;D Data'!$B$3:$M$3,'Electrical T&amp;D'!K$5,'Electrical T&amp;D Data'!$B5:$M5)</f>
        <v>3717674481</v>
      </c>
      <c r="L7" s="46">
        <f>SUMIF('Electrical T&amp;D Data'!$B$3:$M$3,'Electrical T&amp;D'!L$5,'Electrical T&amp;D Data'!$B5:$M5)</f>
        <v>3805874253</v>
      </c>
      <c r="M7" s="46">
        <f>SUMIF('Electrical T&amp;D Data'!$B$3:$M$3,'Electrical T&amp;D'!M$5,'Electrical T&amp;D Data'!$B5:$M5)</f>
        <v>3927169069</v>
      </c>
      <c r="N7" s="52"/>
    </row>
    <row r="8" spans="1:41">
      <c r="A8" s="42" t="s">
        <v>111</v>
      </c>
      <c r="B8" s="48">
        <f>SUMIF('Electrical T&amp;D Data'!$B$3:$M$3,'Electrical T&amp;D'!B$5,'Electrical T&amp;D Data'!$B6:$M6)</f>
        <v>24.7</v>
      </c>
      <c r="C8" s="48">
        <f>SUMIF('Electrical T&amp;D Data'!$B$3:$M$3,'Electrical T&amp;D'!C$5,'Electrical T&amp;D Data'!$B6:$M6)</f>
        <v>11.9</v>
      </c>
      <c r="D8" s="48">
        <f>SUMIF('Electrical T&amp;D Data'!$B$3:$M$3,'Electrical T&amp;D'!D$5,'Electrical T&amp;D Data'!$B6:$M6)</f>
        <v>10.199999999999999</v>
      </c>
      <c r="E8" s="48">
        <f>SUMIF('Electrical T&amp;D Data'!$B$3:$M$3,'Electrical T&amp;D'!E$5,'Electrical T&amp;D Data'!$B6:$M6)</f>
        <v>7.8</v>
      </c>
      <c r="F8" s="48">
        <f>SUMIF('Electrical T&amp;D Data'!$B$3:$M$3,'Electrical T&amp;D'!F$5,'Electrical T&amp;D Data'!$B6:$M6)</f>
        <v>5.3</v>
      </c>
      <c r="G8" s="48">
        <f>SUMIF('Electrical T&amp;D Data'!$B$3:$M$3,'Electrical T&amp;D'!G$5,'Electrical T&amp;D Data'!$B6:$M6)</f>
        <v>5.4</v>
      </c>
      <c r="H8" s="48">
        <f>SUMIF('Electrical T&amp;D Data'!$B$3:$M$3,'Electrical T&amp;D'!H$5,'Electrical T&amp;D Data'!$B6:$M6)</f>
        <v>5.3</v>
      </c>
      <c r="I8" s="48">
        <f>SUMIF('Electrical T&amp;D Data'!$B$3:$M$3,'Electrical T&amp;D'!I$5,'Electrical T&amp;D Data'!$B6:$M6)</f>
        <v>5</v>
      </c>
      <c r="J8" s="48">
        <f>SUMIF('Electrical T&amp;D Data'!$B$3:$M$3,'Electrical T&amp;D'!J$5,'Electrical T&amp;D Data'!$B6:$M6)</f>
        <v>6.1</v>
      </c>
      <c r="K8" s="48">
        <f>SUMIF('Electrical T&amp;D Data'!$B$3:$M$3,'Electrical T&amp;D'!K$5,'Electrical T&amp;D Data'!$B6:$M6)</f>
        <v>5.9</v>
      </c>
      <c r="L8" s="48">
        <f>SUMIF('Electrical T&amp;D Data'!$B$3:$M$3,'Electrical T&amp;D'!L$5,'Electrical T&amp;D Data'!$B6:$M6)</f>
        <v>6</v>
      </c>
      <c r="M8" s="48">
        <f>SUMIF('Electrical T&amp;D Data'!$B$3:$M$3,'Electrical T&amp;D'!M$5,'Electrical T&amp;D Data'!$B6:$M6)</f>
        <v>5.0999999999999996</v>
      </c>
      <c r="N8" s="52"/>
    </row>
    <row r="9" spans="1:41">
      <c r="A9" s="42" t="s">
        <v>112</v>
      </c>
      <c r="B9" s="48">
        <f>IFERROR(B6/B7*B8,"-")</f>
        <v>7.5674148266427654E-2</v>
      </c>
      <c r="C9" s="48">
        <f t="shared" ref="C9:M9" si="0">IFERROR(C6/C7*C8,"-")</f>
        <v>3.4255476223758498E-2</v>
      </c>
      <c r="D9" s="49">
        <f t="shared" si="0"/>
        <v>2.8679940794749486E-2</v>
      </c>
      <c r="E9" s="413">
        <f t="shared" si="0"/>
        <v>2.080040184749557E-2</v>
      </c>
      <c r="F9" s="413">
        <f t="shared" si="0"/>
        <v>1.3237445160031301E-2</v>
      </c>
      <c r="G9" s="413">
        <f t="shared" si="0"/>
        <v>1.3325288751024421E-2</v>
      </c>
      <c r="H9" s="413">
        <f t="shared" si="0"/>
        <v>1.3003944355737819E-2</v>
      </c>
      <c r="I9" s="413">
        <f t="shared" si="0"/>
        <v>1.184172993632295E-2</v>
      </c>
      <c r="J9" s="413">
        <f t="shared" si="0"/>
        <v>1.4726322972019588E-2</v>
      </c>
      <c r="K9" s="413">
        <f t="shared" si="0"/>
        <v>1.3545955997431502E-2</v>
      </c>
      <c r="L9" s="413">
        <f t="shared" si="0"/>
        <v>1.3709741746950988E-2</v>
      </c>
      <c r="M9" s="413">
        <f t="shared" si="0"/>
        <v>1.1446548750560044E-2</v>
      </c>
      <c r="N9" s="52"/>
    </row>
    <row r="10" spans="1:41">
      <c r="A10" s="105"/>
      <c r="B10" s="578"/>
      <c r="C10" s="578"/>
      <c r="D10" s="578"/>
      <c r="E10" s="578"/>
      <c r="F10" s="578"/>
      <c r="G10" s="578"/>
      <c r="H10" s="578"/>
      <c r="I10" s="578"/>
      <c r="J10" s="578"/>
      <c r="K10" s="578"/>
      <c r="L10" s="578"/>
      <c r="M10" s="578"/>
    </row>
    <row r="11" spans="1:41" s="222" customFormat="1">
      <c r="A11" s="526" t="s">
        <v>113</v>
      </c>
      <c r="B11" s="223"/>
      <c r="C11" s="223"/>
      <c r="D11" s="223"/>
      <c r="E11" s="223"/>
      <c r="F11" s="223"/>
      <c r="G11" s="223"/>
      <c r="H11" s="223"/>
      <c r="I11" s="223"/>
      <c r="J11" s="223"/>
      <c r="K11" s="223"/>
      <c r="L11" s="223"/>
      <c r="M11" s="223"/>
      <c r="N11" s="223"/>
      <c r="O11" s="223"/>
      <c r="P11" s="223"/>
      <c r="Q11" s="223"/>
      <c r="R11" s="223"/>
      <c r="S11" s="598"/>
      <c r="T11" s="598"/>
      <c r="U11" s="223"/>
      <c r="V11" s="223"/>
      <c r="W11" s="223"/>
      <c r="X11" s="223"/>
      <c r="Y11" s="223"/>
      <c r="Z11" s="223"/>
      <c r="AA11" s="223"/>
      <c r="AB11" s="223"/>
      <c r="AC11" s="223"/>
      <c r="AD11" s="223"/>
      <c r="AE11" s="223"/>
      <c r="AK11" s="527"/>
      <c r="AL11" s="527"/>
      <c r="AM11" s="527"/>
      <c r="AN11" s="527"/>
      <c r="AO11" s="221"/>
    </row>
    <row r="12" spans="1:41">
      <c r="A12" s="120"/>
      <c r="B12" s="3"/>
      <c r="C12" s="3"/>
      <c r="D12" s="72"/>
      <c r="E12" s="72"/>
      <c r="F12" s="72"/>
      <c r="G12" s="72"/>
      <c r="H12" s="72"/>
      <c r="I12" s="72"/>
      <c r="J12" s="72"/>
      <c r="K12" s="72"/>
      <c r="L12" s="72"/>
    </row>
    <row r="13" spans="1:41">
      <c r="A13" s="120" t="s">
        <v>114</v>
      </c>
      <c r="B13" s="68">
        <v>1990</v>
      </c>
      <c r="C13" s="68">
        <v>2005</v>
      </c>
      <c r="D13" s="68">
        <v>2007</v>
      </c>
      <c r="E13" s="68">
        <v>2010</v>
      </c>
      <c r="F13" s="68">
        <v>2015</v>
      </c>
      <c r="G13" s="68">
        <v>2016</v>
      </c>
      <c r="H13" s="68">
        <v>2017</v>
      </c>
      <c r="I13" s="68">
        <v>2018</v>
      </c>
      <c r="J13" s="68">
        <v>2019</v>
      </c>
      <c r="K13" s="68">
        <v>2020</v>
      </c>
      <c r="L13" s="68">
        <v>2021</v>
      </c>
      <c r="M13" s="68">
        <v>2022</v>
      </c>
    </row>
    <row r="14" spans="1:41">
      <c r="A14" s="134" t="s">
        <v>87</v>
      </c>
      <c r="B14" s="49">
        <f>B27</f>
        <v>6.300205724932435E-3</v>
      </c>
      <c r="C14" s="49">
        <f>C27</f>
        <v>3.6291472675052975E-3</v>
      </c>
      <c r="D14" s="49">
        <f t="shared" ref="D14:G14" si="1">D27</f>
        <v>3.1502681693728932E-3</v>
      </c>
      <c r="E14" s="49">
        <f t="shared" si="1"/>
        <v>2.3053720462852612E-3</v>
      </c>
      <c r="F14" s="49">
        <f t="shared" si="1"/>
        <v>1.501295994560617E-3</v>
      </c>
      <c r="G14" s="49">
        <f t="shared" si="1"/>
        <v>1.5319623591327069E-3</v>
      </c>
      <c r="H14" s="49">
        <f t="shared" ref="H14:J14" si="2">H27</f>
        <v>1.4902781812897437E-3</v>
      </c>
      <c r="I14" s="49">
        <f t="shared" si="2"/>
        <v>1.3786357821037785E-3</v>
      </c>
      <c r="J14" s="49">
        <f t="shared" si="2"/>
        <v>1.6798613889571854E-3</v>
      </c>
      <c r="K14" s="49">
        <f t="shared" ref="K14:L14" si="3">K27</f>
        <v>1.5527787050487597E-3</v>
      </c>
      <c r="L14" s="49">
        <f t="shared" si="3"/>
        <v>1.6455344453546769E-3</v>
      </c>
      <c r="M14" s="49">
        <f>M27</f>
        <v>1.3685556414909043E-3</v>
      </c>
    </row>
    <row r="15" spans="1:41">
      <c r="A15" s="134" t="s">
        <v>95</v>
      </c>
      <c r="B15" s="49">
        <f>B63</f>
        <v>5.9385320309183448E-2</v>
      </c>
      <c r="C15" s="49">
        <f>C63</f>
        <v>2.5098116037176953E-2</v>
      </c>
      <c r="D15" s="49">
        <f t="shared" ref="D15:G15" si="4">D63</f>
        <v>2.0796215089514507E-2</v>
      </c>
      <c r="E15" s="49">
        <f t="shared" si="4"/>
        <v>1.5117117770786221E-2</v>
      </c>
      <c r="F15" s="49">
        <f t="shared" si="4"/>
        <v>9.5229344467004633E-3</v>
      </c>
      <c r="G15" s="49">
        <f t="shared" si="4"/>
        <v>9.5589162097772882E-3</v>
      </c>
      <c r="H15" s="49">
        <f t="shared" ref="H15:J15" si="5">H63</f>
        <v>9.321725254288744E-3</v>
      </c>
      <c r="I15" s="49">
        <f t="shared" si="5"/>
        <v>8.4547251367546837E-3</v>
      </c>
      <c r="J15" s="49">
        <f t="shared" si="5"/>
        <v>1.0504685195290332E-2</v>
      </c>
      <c r="K15" s="49">
        <f t="shared" ref="K15:M15" si="6">K63</f>
        <v>9.8126532811413179E-3</v>
      </c>
      <c r="L15" s="49">
        <f t="shared" si="6"/>
        <v>9.7265234406576709E-3</v>
      </c>
      <c r="M15" s="49">
        <f t="shared" si="6"/>
        <v>8.0684971489948243E-3</v>
      </c>
    </row>
    <row r="16" spans="1:41">
      <c r="A16" s="134" t="s">
        <v>88</v>
      </c>
      <c r="B16" s="49">
        <f>B33+B57</f>
        <v>3.050431327520932E-3</v>
      </c>
      <c r="C16" s="49">
        <f>C33+C57</f>
        <v>1.4582125764319863E-3</v>
      </c>
      <c r="D16" s="49">
        <f t="shared" ref="D16:G16" si="7">D33+D57</f>
        <v>1.2650450227297584E-3</v>
      </c>
      <c r="E16" s="49">
        <f t="shared" si="7"/>
        <v>9.026652388444584E-4</v>
      </c>
      <c r="F16" s="49">
        <f t="shared" si="7"/>
        <v>6.0920934342403594E-4</v>
      </c>
      <c r="G16" s="49">
        <f t="shared" si="7"/>
        <v>6.3019256954468909E-4</v>
      </c>
      <c r="H16" s="49">
        <f t="shared" ref="H16:J16" si="8">H33+H57</f>
        <v>6.3357355932537596E-4</v>
      </c>
      <c r="I16" s="49">
        <f t="shared" si="8"/>
        <v>5.8446799329408595E-4</v>
      </c>
      <c r="J16" s="49">
        <f t="shared" si="8"/>
        <v>7.3739676703496243E-4</v>
      </c>
      <c r="K16" s="49">
        <f t="shared" ref="K16:M16" si="9">K33+K57</f>
        <v>6.5907198202057966E-4</v>
      </c>
      <c r="L16" s="49">
        <f t="shared" si="9"/>
        <v>6.8602735940156653E-4</v>
      </c>
      <c r="M16" s="49">
        <f t="shared" si="9"/>
        <v>5.9484980245145104E-4</v>
      </c>
    </row>
    <row r="17" spans="1:41">
      <c r="A17" s="134" t="s">
        <v>90</v>
      </c>
      <c r="B17" s="49">
        <f>B45+B39+B51</f>
        <v>6.9381909047908398E-3</v>
      </c>
      <c r="C17" s="49">
        <f>C45+C39+C51</f>
        <v>4.0700003426442592E-3</v>
      </c>
      <c r="D17" s="49">
        <f t="shared" ref="D17:G17" si="10">D45+D39+D51</f>
        <v>3.4684125131323297E-3</v>
      </c>
      <c r="E17" s="49">
        <f t="shared" si="10"/>
        <v>2.4752467915796325E-3</v>
      </c>
      <c r="F17" s="49">
        <f t="shared" si="10"/>
        <v>1.6040053753461861E-3</v>
      </c>
      <c r="G17" s="49">
        <f t="shared" si="10"/>
        <v>1.6042176125697352E-3</v>
      </c>
      <c r="H17" s="49">
        <f t="shared" ref="H17:J17" si="11">H45+H39+H51</f>
        <v>1.5583673608339566E-3</v>
      </c>
      <c r="I17" s="49">
        <f t="shared" si="11"/>
        <v>1.4239010241704024E-3</v>
      </c>
      <c r="J17" s="49">
        <f t="shared" si="11"/>
        <v>1.8043796207371093E-3</v>
      </c>
      <c r="K17" s="49">
        <f t="shared" ref="K17" si="12">K45+K39+K51</f>
        <v>1.5214520292208445E-3</v>
      </c>
      <c r="L17" s="49">
        <f>L45+L39+L51</f>
        <v>1.651656501537073E-3</v>
      </c>
      <c r="M17" s="49">
        <f>M45+M39+M51</f>
        <v>1.4146461576228615E-3</v>
      </c>
    </row>
    <row r="18" spans="1:41">
      <c r="A18" s="159" t="s">
        <v>49</v>
      </c>
      <c r="B18" s="45">
        <f>SUM(B14:B17)</f>
        <v>7.5674148266427654E-2</v>
      </c>
      <c r="C18" s="45">
        <f>SUM(C14:C17)</f>
        <v>3.4255476223758498E-2</v>
      </c>
      <c r="D18" s="45">
        <f t="shared" ref="D18:G18" si="13">SUM(D14:D17)</f>
        <v>2.8679940794749486E-2</v>
      </c>
      <c r="E18" s="45">
        <f t="shared" si="13"/>
        <v>2.0800401847495573E-2</v>
      </c>
      <c r="F18" s="45">
        <f t="shared" si="13"/>
        <v>1.3237445160031303E-2</v>
      </c>
      <c r="G18" s="45">
        <f t="shared" si="13"/>
        <v>1.3325288751024421E-2</v>
      </c>
      <c r="H18" s="45">
        <f t="shared" ref="H18:J18" si="14">SUM(H14:H17)</f>
        <v>1.3003944355737819E-2</v>
      </c>
      <c r="I18" s="45">
        <f t="shared" si="14"/>
        <v>1.184172993632295E-2</v>
      </c>
      <c r="J18" s="45">
        <f t="shared" si="14"/>
        <v>1.472632297201959E-2</v>
      </c>
      <c r="K18" s="45">
        <f t="shared" ref="K18:L18" si="15">SUM(K14:K17)</f>
        <v>1.3545955997431502E-2</v>
      </c>
      <c r="L18" s="535">
        <f t="shared" si="15"/>
        <v>1.3709741746950988E-2</v>
      </c>
      <c r="M18" s="535">
        <f>SUM(M14:M17)</f>
        <v>1.144654875056004E-2</v>
      </c>
    </row>
    <row r="19" spans="1:41">
      <c r="A19" s="396" t="s">
        <v>115</v>
      </c>
      <c r="B19" s="397">
        <f>B9-B18</f>
        <v>0</v>
      </c>
      <c r="C19" s="397">
        <f>C9-C18</f>
        <v>0</v>
      </c>
      <c r="D19" s="397">
        <f t="shared" ref="D19:H19" si="16">D9-D18</f>
        <v>0</v>
      </c>
      <c r="E19" s="397">
        <f t="shared" si="16"/>
        <v>0</v>
      </c>
      <c r="F19" s="397">
        <f t="shared" si="16"/>
        <v>0</v>
      </c>
      <c r="G19" s="397">
        <f t="shared" si="16"/>
        <v>0</v>
      </c>
      <c r="H19" s="397">
        <f t="shared" si="16"/>
        <v>0</v>
      </c>
      <c r="I19" s="397">
        <f t="shared" ref="I19:J19" si="17">I9-I18</f>
        <v>0</v>
      </c>
      <c r="J19" s="397">
        <f t="shared" si="17"/>
        <v>0</v>
      </c>
      <c r="K19" s="397">
        <f t="shared" ref="K19:L19" si="18">K9-K18</f>
        <v>0</v>
      </c>
      <c r="L19" s="397">
        <f t="shared" si="18"/>
        <v>0</v>
      </c>
      <c r="M19" s="397">
        <f>M9-M18</f>
        <v>0</v>
      </c>
    </row>
    <row r="20" spans="1:41">
      <c r="A20" s="396" t="s">
        <v>115</v>
      </c>
      <c r="B20" s="397">
        <f>B18-SUM(B27,B33,B39,B45,B51,B57,B63)</f>
        <v>0</v>
      </c>
      <c r="C20" s="397">
        <f>C18-SUM(C27,C33,C39,C45,C51,C57,C63)</f>
        <v>0</v>
      </c>
      <c r="D20" s="397">
        <f t="shared" ref="D20:H20" si="19">D18-SUM(D27,D33,D39,D45,D51,D57,D63)</f>
        <v>0</v>
      </c>
      <c r="E20" s="397">
        <f t="shared" si="19"/>
        <v>0</v>
      </c>
      <c r="F20" s="397">
        <f t="shared" si="19"/>
        <v>0</v>
      </c>
      <c r="G20" s="397">
        <f t="shared" si="19"/>
        <v>0</v>
      </c>
      <c r="H20" s="397">
        <f t="shared" si="19"/>
        <v>0</v>
      </c>
      <c r="I20" s="397">
        <f t="shared" ref="I20:J20" si="20">I18-SUM(I27,I33,I39,I45,I51,I57,I63)</f>
        <v>0</v>
      </c>
      <c r="J20" s="397">
        <f t="shared" si="20"/>
        <v>0</v>
      </c>
      <c r="K20" s="397">
        <f t="shared" ref="K20:L20" si="21">K18-SUM(K27,K33,K39,K45,K51,K57,K63)</f>
        <v>0</v>
      </c>
      <c r="L20" s="397">
        <f t="shared" si="21"/>
        <v>0</v>
      </c>
      <c r="M20" s="397">
        <f>M18-SUM(M27,M33,M39,M45,M51,M57,M63)</f>
        <v>0</v>
      </c>
    </row>
    <row r="21" spans="1:41">
      <c r="A21" s="120"/>
      <c r="B21" s="3"/>
      <c r="C21" s="3"/>
      <c r="D21" s="72"/>
      <c r="E21" s="72"/>
      <c r="F21" s="72"/>
      <c r="G21" s="72"/>
      <c r="H21" s="72"/>
      <c r="I21" s="72"/>
      <c r="J21" s="72"/>
      <c r="K21" s="72"/>
      <c r="L21" s="72"/>
    </row>
    <row r="22" spans="1:41" s="222" customFormat="1">
      <c r="A22" s="526" t="s">
        <v>116</v>
      </c>
      <c r="B22" s="223"/>
      <c r="C22" s="223"/>
      <c r="D22" s="223"/>
      <c r="E22" s="223"/>
      <c r="F22" s="223"/>
      <c r="G22" s="223"/>
      <c r="H22" s="223"/>
      <c r="I22" s="223"/>
      <c r="J22" s="223"/>
      <c r="K22" s="223"/>
      <c r="L22" s="223"/>
      <c r="M22" s="223"/>
      <c r="N22" s="223"/>
      <c r="O22" s="223"/>
      <c r="P22" s="223"/>
      <c r="Q22" s="223"/>
      <c r="R22" s="223"/>
      <c r="S22" s="598"/>
      <c r="T22" s="598"/>
      <c r="U22" s="223"/>
      <c r="V22" s="223"/>
      <c r="W22" s="223"/>
      <c r="X22" s="223"/>
      <c r="Y22" s="223"/>
      <c r="Z22" s="223"/>
      <c r="AA22" s="223"/>
      <c r="AB22" s="223"/>
      <c r="AC22" s="223"/>
      <c r="AD22" s="223"/>
      <c r="AE22" s="223"/>
      <c r="AK22" s="527"/>
      <c r="AL22" s="527"/>
      <c r="AM22" s="527"/>
      <c r="AN22" s="527"/>
      <c r="AO22" s="221"/>
    </row>
    <row r="23" spans="1:41">
      <c r="A23" s="43" t="s">
        <v>87</v>
      </c>
    </row>
    <row r="24" spans="1:41">
      <c r="A24" s="42" t="s">
        <v>109</v>
      </c>
      <c r="B24" s="46">
        <f>INDEX('Electrical T&amp;D Data'!$A$21:$M$29,MATCH($A23,'Electrical T&amp;D Data'!$A$21:$A$29,0),MATCH(B$13,'Electrical T&amp;D Data'!$A$21:$M$21,0))</f>
        <v>691888.76233300334</v>
      </c>
      <c r="C24" s="46">
        <f>INDEX('Electrical T&amp;D Data'!$A$21:$M$29,MATCH($A23,'Electrical T&amp;D Data'!$A$21:$A$29,0),MATCH(C$13,'Electrical T&amp;D Data'!$A$21:$M$21,0))</f>
        <v>1116486.8802837715</v>
      </c>
      <c r="D24" s="46">
        <f>INDEX('Electrical T&amp;D Data'!$A$21:$M$29,MATCH($A23,'Electrical T&amp;D Data'!$A$21:$A$29,0),MATCH(D$13,'Electrical T&amp;D Data'!$A$21:$M$21,0))</f>
        <v>1162683.9002632704</v>
      </c>
      <c r="E24" s="46">
        <f>INDEX('Electrical T&amp;D Data'!$A$21:$M$29,MATCH($A23,'Electrical T&amp;D Data'!$A$21:$A$29,0),MATCH(E$13,'Electrical T&amp;D Data'!$A$21:$M$21,0))</f>
        <v>1109782.8625670141</v>
      </c>
      <c r="F24" s="46">
        <f>INDEX('Electrical T&amp;D Data'!$A$21:$M$29,MATCH($A23,'Electrical T&amp;D Data'!$A$21:$A$29,0),MATCH(F$13,'Electrical T&amp;D Data'!$A$21:$M$21,0))</f>
        <v>1064784.9469228</v>
      </c>
      <c r="G24" s="46">
        <f>INDEX('Electrical T&amp;D Data'!$A$21:$M$29,MATCH($A23,'Electrical T&amp;D Data'!$A$21:$A$29,0),MATCH(G$13,'Electrical T&amp;D Data'!$A$21:$M$21,0))</f>
        <v>1067398.0731187202</v>
      </c>
      <c r="H24" s="46">
        <f>INDEX('Electrical T&amp;D Data'!$A$21:$M$29,MATCH($A23,'Electrical T&amp;D Data'!$A$21:$A$29,0),MATCH(H$13,'Electrical T&amp;D Data'!$A$21:$M$21,0))</f>
        <v>1046950.2206088721</v>
      </c>
      <c r="I24" s="46">
        <f>INDEX('Electrical T&amp;D Data'!$A$21:$M$29,MATCH($A23,'Electrical T&amp;D Data'!$A$21:$A$29,0),MATCH(I$13,'Electrical T&amp;D Data'!$A$21:$M$21,0))</f>
        <v>1064082.1781164219</v>
      </c>
      <c r="J24" s="46">
        <f>INDEX('Electrical T&amp;D Data'!$A$21:$M$29,MATCH($A23,'Electrical T&amp;D Data'!$A$21:$A$29,0),MATCH(J$13,'Electrical T&amp;D Data'!$A$21:$M$21,0))</f>
        <v>1049541.723</v>
      </c>
      <c r="K24" s="46">
        <f>INDEX('Electrical T&amp;D Data'!$A$21:$M$29,MATCH($A23,'Electrical T&amp;D Data'!$A$21:$A$29,0),MATCH(K$13,'Electrical T&amp;D Data'!$A$21:$M$21,0))</f>
        <v>978428.09600000002</v>
      </c>
      <c r="L24" s="46">
        <f>INDEX('Electrical T&amp;D Data'!$A$21:$M$29,MATCH($A23,'Electrical T&amp;D Data'!$A$21:$A$29,0),MATCH(L$13,'Electrical T&amp;D Data'!$A$21:$M$21,0))</f>
        <v>1043782.863</v>
      </c>
      <c r="M24" s="46">
        <f>INDEX('Electrical T&amp;D Data'!$A$21:$M$29,MATCH($A23,'Electrical T&amp;D Data'!$A$21:$A$29,0),MATCH(M$13,'Electrical T&amp;D Data'!$A$21:$M$21,0))</f>
        <v>1053833.2126408888</v>
      </c>
    </row>
    <row r="25" spans="1:41" s="40" customFormat="1">
      <c r="A25" s="42" t="s">
        <v>110</v>
      </c>
      <c r="B25" s="70">
        <f t="shared" ref="B25:M25" si="22">B$7</f>
        <v>2712554665</v>
      </c>
      <c r="C25" s="70">
        <f t="shared" si="22"/>
        <v>3660968513</v>
      </c>
      <c r="D25" s="70">
        <f t="shared" si="22"/>
        <v>3764560712</v>
      </c>
      <c r="E25" s="70">
        <f t="shared" si="22"/>
        <v>3754841368</v>
      </c>
      <c r="F25" s="70">
        <f t="shared" si="22"/>
        <v>3758992390</v>
      </c>
      <c r="G25" s="70">
        <f t="shared" si="22"/>
        <v>3762461630</v>
      </c>
      <c r="H25" s="70">
        <f t="shared" si="22"/>
        <v>3723355974</v>
      </c>
      <c r="I25" s="70">
        <f t="shared" si="22"/>
        <v>3859185261</v>
      </c>
      <c r="J25" s="70">
        <f t="shared" si="22"/>
        <v>3811150463</v>
      </c>
      <c r="K25" s="70">
        <f t="shared" si="22"/>
        <v>3717674481</v>
      </c>
      <c r="L25" s="70">
        <f t="shared" si="22"/>
        <v>3805874253</v>
      </c>
      <c r="M25" s="70">
        <f t="shared" si="22"/>
        <v>3927169069</v>
      </c>
      <c r="N25" s="42"/>
    </row>
    <row r="26" spans="1:41">
      <c r="A26" s="42" t="s">
        <v>111</v>
      </c>
      <c r="B26" s="48">
        <f>B$8</f>
        <v>24.7</v>
      </c>
      <c r="C26" s="48">
        <f t="shared" ref="C26:M26" si="23">C$8</f>
        <v>11.9</v>
      </c>
      <c r="D26" s="48">
        <f t="shared" si="23"/>
        <v>10.199999999999999</v>
      </c>
      <c r="E26" s="48">
        <f t="shared" si="23"/>
        <v>7.8</v>
      </c>
      <c r="F26" s="48">
        <f t="shared" si="23"/>
        <v>5.3</v>
      </c>
      <c r="G26" s="48">
        <f t="shared" si="23"/>
        <v>5.4</v>
      </c>
      <c r="H26" s="48">
        <f t="shared" si="23"/>
        <v>5.3</v>
      </c>
      <c r="I26" s="48">
        <f t="shared" si="23"/>
        <v>5</v>
      </c>
      <c r="J26" s="48">
        <f t="shared" si="23"/>
        <v>6.1</v>
      </c>
      <c r="K26" s="48">
        <f t="shared" si="23"/>
        <v>5.9</v>
      </c>
      <c r="L26" s="48">
        <f t="shared" si="23"/>
        <v>6</v>
      </c>
      <c r="M26" s="48">
        <f t="shared" si="23"/>
        <v>5.0999999999999996</v>
      </c>
    </row>
    <row r="27" spans="1:41">
      <c r="A27" s="42" t="s">
        <v>112</v>
      </c>
      <c r="B27" s="48">
        <f>IFERROR(B24/B25*B26,"-")</f>
        <v>6.300205724932435E-3</v>
      </c>
      <c r="C27" s="48">
        <f t="shared" ref="C27:M27" si="24">IFERROR(C24/C25*C26,"-")</f>
        <v>3.6291472675052975E-3</v>
      </c>
      <c r="D27" s="48">
        <f t="shared" si="24"/>
        <v>3.1502681693728932E-3</v>
      </c>
      <c r="E27" s="48">
        <f t="shared" si="24"/>
        <v>2.3053720462852612E-3</v>
      </c>
      <c r="F27" s="48">
        <f t="shared" si="24"/>
        <v>1.501295994560617E-3</v>
      </c>
      <c r="G27" s="48">
        <f t="shared" si="24"/>
        <v>1.5319623591327069E-3</v>
      </c>
      <c r="H27" s="48">
        <f t="shared" si="24"/>
        <v>1.4902781812897437E-3</v>
      </c>
      <c r="I27" s="48">
        <f t="shared" si="24"/>
        <v>1.3786357821037785E-3</v>
      </c>
      <c r="J27" s="48">
        <f t="shared" si="24"/>
        <v>1.6798613889571854E-3</v>
      </c>
      <c r="K27" s="48">
        <f t="shared" si="24"/>
        <v>1.5527787050487597E-3</v>
      </c>
      <c r="L27" s="48">
        <f t="shared" si="24"/>
        <v>1.6455344453546769E-3</v>
      </c>
      <c r="M27" s="48">
        <f t="shared" si="24"/>
        <v>1.3685556414909043E-3</v>
      </c>
    </row>
    <row r="28" spans="1:41">
      <c r="A28" s="40"/>
      <c r="B28" s="60"/>
      <c r="C28" s="60"/>
      <c r="D28" s="60"/>
      <c r="E28" s="60"/>
      <c r="F28" s="60"/>
      <c r="G28" s="60"/>
      <c r="H28" s="60"/>
      <c r="I28" s="60"/>
      <c r="J28" s="60"/>
      <c r="K28" s="60"/>
      <c r="L28" s="60"/>
    </row>
    <row r="29" spans="1:41">
      <c r="A29" s="43" t="s">
        <v>88</v>
      </c>
      <c r="B29" s="57"/>
      <c r="C29" s="57"/>
      <c r="D29" s="57"/>
      <c r="E29" s="57"/>
      <c r="F29" s="57"/>
      <c r="G29" s="57"/>
      <c r="H29" s="57"/>
      <c r="I29" s="57"/>
      <c r="J29" s="57"/>
      <c r="K29" s="57"/>
      <c r="L29" s="57"/>
    </row>
    <row r="30" spans="1:41">
      <c r="A30" s="42" t="s">
        <v>117</v>
      </c>
      <c r="B30" s="46">
        <f>INDEX('Electrical T&amp;D Data'!$A$21:$M$29,MATCH($A29,'Electrical T&amp;D Data'!$A$21:$A$29,0),MATCH(B$13,'Electrical T&amp;D Data'!$A$21:$M$21,0))</f>
        <v>334998.45051534608</v>
      </c>
      <c r="C30" s="46">
        <f>INDEX('Electrical T&amp;D Data'!$A$21:$M$29,MATCH($A29,'Electrical T&amp;D Data'!$A$21:$A$29,0),MATCH(C$13,'Electrical T&amp;D Data'!$A$21:$M$21,0))</f>
        <v>448610.95189731993</v>
      </c>
      <c r="D30" s="46">
        <f>INDEX('Electrical T&amp;D Data'!$A$21:$M$29,MATCH($A29,'Electrical T&amp;D Data'!$A$21:$A$29,0),MATCH(D$13,'Electrical T&amp;D Data'!$A$21:$M$21,0))</f>
        <v>466895.95994897996</v>
      </c>
      <c r="E30" s="46">
        <f>INDEX('Electrical T&amp;D Data'!$A$21:$M$29,MATCH($A29,'Electrical T&amp;D Data'!$A$21:$A$29,0),MATCH(E$13,'Electrical T&amp;D Data'!$A$21:$M$21,0))</f>
        <v>434533.94618830422</v>
      </c>
      <c r="F30" s="46">
        <f>INDEX('Electrical T&amp;D Data'!$A$21:$M$29,MATCH($A29,'Electrical T&amp;D Data'!$A$21:$A$29,0),MATCH(F$13,'Electrical T&amp;D Data'!$A$21:$M$21,0))</f>
        <v>432077.97846185806</v>
      </c>
      <c r="G30" s="46">
        <f>INDEX('Electrical T&amp;D Data'!$A$21:$M$29,MATCH($A29,'Electrical T&amp;D Data'!$A$21:$A$29,0),MATCH(G$13,'Electrical T&amp;D Data'!$A$21:$M$21,0))</f>
        <v>439088.03007833316</v>
      </c>
      <c r="H30" s="46">
        <f>INDEX('Electrical T&amp;D Data'!$A$21:$M$29,MATCH($A29,'Electrical T&amp;D Data'!$A$21:$A$29,0),MATCH(H$13,'Electrical T&amp;D Data'!$A$21:$M$21,0))</f>
        <v>445098.09378916642</v>
      </c>
      <c r="I30" s="46">
        <f>INDEX('Electrical T&amp;D Data'!$A$21:$M$29,MATCH($A29,'Electrical T&amp;D Data'!$A$21:$A$29,0),MATCH(I$13,'Electrical T&amp;D Data'!$A$21:$M$21,0))</f>
        <v>451114.05304935668</v>
      </c>
      <c r="J30" s="46">
        <f>INDEX('Electrical T&amp;D Data'!$A$21:$M$29,MATCH($A29,'Electrical T&amp;D Data'!$A$21:$A$29,0),MATCH(J$13,'Electrical T&amp;D Data'!$A$21:$M$21,0))</f>
        <v>460709.84100000001</v>
      </c>
      <c r="K30" s="46">
        <f>INDEX('Electrical T&amp;D Data'!$A$21:$M$29,MATCH($A29,'Electrical T&amp;D Data'!$A$21:$A$29,0),MATCH(K$13,'Electrical T&amp;D Data'!$A$21:$M$21,0))</f>
        <v>415290.69299999997</v>
      </c>
      <c r="L30" s="46">
        <f>INDEX('Electrical T&amp;D Data'!$A$21:$M$29,MATCH($A29,'Electrical T&amp;D Data'!$A$21:$A$29,0),MATCH(L$13,'Electrical T&amp;D Data'!$A$21:$M$21,0))</f>
        <v>435155.64399999997</v>
      </c>
      <c r="M30" s="46">
        <f>INDEX('Electrical T&amp;D Data'!$A$21:$M$29,MATCH($A29,'Electrical T&amp;D Data'!$A$21:$A$29,0),MATCH(M$13,'Electrical T&amp;D Data'!$A$21:$M$21,0))</f>
        <v>458054.06762511749</v>
      </c>
    </row>
    <row r="31" spans="1:41">
      <c r="A31" s="42" t="s">
        <v>110</v>
      </c>
      <c r="B31" s="70">
        <f t="shared" ref="B31:M31" si="25">B$7</f>
        <v>2712554665</v>
      </c>
      <c r="C31" s="70">
        <f t="shared" si="25"/>
        <v>3660968513</v>
      </c>
      <c r="D31" s="70">
        <f t="shared" si="25"/>
        <v>3764560712</v>
      </c>
      <c r="E31" s="70">
        <f t="shared" si="25"/>
        <v>3754841368</v>
      </c>
      <c r="F31" s="70">
        <f t="shared" si="25"/>
        <v>3758992390</v>
      </c>
      <c r="G31" s="70">
        <f t="shared" si="25"/>
        <v>3762461630</v>
      </c>
      <c r="H31" s="70">
        <f t="shared" si="25"/>
        <v>3723355974</v>
      </c>
      <c r="I31" s="70">
        <f t="shared" si="25"/>
        <v>3859185261</v>
      </c>
      <c r="J31" s="70">
        <f t="shared" si="25"/>
        <v>3811150463</v>
      </c>
      <c r="K31" s="70">
        <f t="shared" si="25"/>
        <v>3717674481</v>
      </c>
      <c r="L31" s="70">
        <f t="shared" si="25"/>
        <v>3805874253</v>
      </c>
      <c r="M31" s="70">
        <f t="shared" si="25"/>
        <v>3927169069</v>
      </c>
    </row>
    <row r="32" spans="1:41">
      <c r="A32" s="42" t="s">
        <v>111</v>
      </c>
      <c r="B32" s="48">
        <f>B$8</f>
        <v>24.7</v>
      </c>
      <c r="C32" s="48">
        <f t="shared" ref="C32:M32" si="26">C$8</f>
        <v>11.9</v>
      </c>
      <c r="D32" s="48">
        <f t="shared" si="26"/>
        <v>10.199999999999999</v>
      </c>
      <c r="E32" s="48">
        <f t="shared" si="26"/>
        <v>7.8</v>
      </c>
      <c r="F32" s="48">
        <f t="shared" si="26"/>
        <v>5.3</v>
      </c>
      <c r="G32" s="48">
        <f t="shared" si="26"/>
        <v>5.4</v>
      </c>
      <c r="H32" s="48">
        <f t="shared" si="26"/>
        <v>5.3</v>
      </c>
      <c r="I32" s="48">
        <f t="shared" si="26"/>
        <v>5</v>
      </c>
      <c r="J32" s="48">
        <f t="shared" si="26"/>
        <v>6.1</v>
      </c>
      <c r="K32" s="48">
        <f t="shared" si="26"/>
        <v>5.9</v>
      </c>
      <c r="L32" s="48">
        <f t="shared" si="26"/>
        <v>6</v>
      </c>
      <c r="M32" s="48">
        <f t="shared" si="26"/>
        <v>5.0999999999999996</v>
      </c>
    </row>
    <row r="33" spans="1:13">
      <c r="A33" s="42" t="s">
        <v>118</v>
      </c>
      <c r="B33" s="48">
        <f>IFERROR(B30/B31*B32,"-")</f>
        <v>3.050431327520932E-3</v>
      </c>
      <c r="C33" s="48">
        <f t="shared" ref="C33" si="27">IFERROR(C30/C31*C32,"-")</f>
        <v>1.4582125764319863E-3</v>
      </c>
      <c r="D33" s="48">
        <f t="shared" ref="D33" si="28">IFERROR(D30/D31*D32,"-")</f>
        <v>1.2650450227297584E-3</v>
      </c>
      <c r="E33" s="48">
        <f t="shared" ref="E33" si="29">IFERROR(E30/E31*E32,"-")</f>
        <v>9.026652388444584E-4</v>
      </c>
      <c r="F33" s="48">
        <f t="shared" ref="F33" si="30">IFERROR(F30/F31*F32,"-")</f>
        <v>6.0920934342403594E-4</v>
      </c>
      <c r="G33" s="48">
        <f t="shared" ref="G33" si="31">IFERROR(G30/G31*G32,"-")</f>
        <v>6.3019256954468909E-4</v>
      </c>
      <c r="H33" s="48">
        <f t="shared" ref="H33" si="32">IFERROR(H30/H31*H32,"-")</f>
        <v>6.3357355932537596E-4</v>
      </c>
      <c r="I33" s="48">
        <f t="shared" ref="I33" si="33">IFERROR(I30/I31*I32,"-")</f>
        <v>5.8446799329408595E-4</v>
      </c>
      <c r="J33" s="48">
        <f t="shared" ref="J33" si="34">IFERROR(J30/J31*J32,"-")</f>
        <v>7.3739676703496243E-4</v>
      </c>
      <c r="K33" s="48">
        <f t="shared" ref="K33" si="35">IFERROR(K30/K31*K32,"-")</f>
        <v>6.5907198202057966E-4</v>
      </c>
      <c r="L33" s="48">
        <f t="shared" ref="L33" si="36">IFERROR(L30/L31*L32,"-")</f>
        <v>6.8602735940156653E-4</v>
      </c>
      <c r="M33" s="48">
        <f t="shared" ref="M33" si="37">IFERROR(M30/M31*M32,"-")</f>
        <v>5.9484980245145104E-4</v>
      </c>
    </row>
    <row r="35" spans="1:13">
      <c r="A35" s="43" t="s">
        <v>89</v>
      </c>
    </row>
    <row r="36" spans="1:13">
      <c r="A36" s="42" t="s">
        <v>119</v>
      </c>
      <c r="B36" s="46">
        <f>INDEX('Electrical T&amp;D Data'!$A$21:$M$29,MATCH($A35,'Electrical T&amp;D Data'!$A$21:$A$29,0),MATCH(B$13,'Electrical T&amp;D Data'!$A$21:$M$21,0))</f>
        <v>12542.40772335898</v>
      </c>
      <c r="C36" s="46">
        <f>INDEX('Electrical T&amp;D Data'!$A$21:$M$29,MATCH($A35,'Electrical T&amp;D Data'!$A$21:$A$29,0),MATCH(C$13,'Electrical T&amp;D Data'!$A$21:$M$21,0))</f>
        <v>27941.997003896278</v>
      </c>
      <c r="D36" s="46">
        <f>INDEX('Electrical T&amp;D Data'!$A$21:$M$29,MATCH($A35,'Electrical T&amp;D Data'!$A$21:$A$29,0),MATCH(D$13,'Electrical T&amp;D Data'!$A$21:$M$21,0))</f>
        <v>30735.99736342108</v>
      </c>
      <c r="E36" s="46">
        <f>INDEX('Electrical T&amp;D Data'!$A$21:$M$29,MATCH($A35,'Electrical T&amp;D Data'!$A$21:$A$29,0),MATCH(E$13,'Electrical T&amp;D Data'!$A$21:$M$21,0))</f>
        <v>24966.996908143879</v>
      </c>
      <c r="F36" s="46">
        <f>INDEX('Electrical T&amp;D Data'!$A$21:$M$29,MATCH($A35,'Electrical T&amp;D Data'!$A$21:$A$29,0),MATCH(F$13,'Electrical T&amp;D Data'!$A$21:$M$21,0))</f>
        <v>25816.998713079094</v>
      </c>
      <c r="G36" s="46">
        <f>INDEX('Electrical T&amp;D Data'!$A$21:$M$29,MATCH($A35,'Electrical T&amp;D Data'!$A$21:$A$29,0),MATCH(G$13,'Electrical T&amp;D Data'!$A$21:$M$21,0))</f>
        <v>29997.002054849505</v>
      </c>
      <c r="H36" s="46">
        <f>INDEX('Electrical T&amp;D Data'!$A$21:$M$29,MATCH($A35,'Electrical T&amp;D Data'!$A$21:$A$29,0),MATCH(H$13,'Electrical T&amp;D Data'!$A$21:$M$21,0))</f>
        <v>29947.006310305071</v>
      </c>
      <c r="I36" s="46">
        <f>INDEX('Electrical T&amp;D Data'!$A$21:$M$29,MATCH($A35,'Electrical T&amp;D Data'!$A$21:$A$29,0),MATCH(I$13,'Electrical T&amp;D Data'!$A$21:$M$21,0))</f>
        <v>29263.146003201698</v>
      </c>
      <c r="J36" s="46">
        <f>INDEX('Electrical T&amp;D Data'!$A$21:$M$29,MATCH($A35,'Electrical T&amp;D Data'!$A$21:$A$29,0),MATCH(J$13,'Electrical T&amp;D Data'!$A$21:$M$21,0))</f>
        <v>32975.322</v>
      </c>
      <c r="K36" s="46">
        <f>INDEX('Electrical T&amp;D Data'!$A$21:$M$29,MATCH($A35,'Electrical T&amp;D Data'!$A$21:$A$29,0),MATCH(K$13,'Electrical T&amp;D Data'!$A$21:$M$21,0))</f>
        <v>31367.362000000001</v>
      </c>
      <c r="L36" s="46">
        <f>INDEX('Electrical T&amp;D Data'!$A$21:$M$29,MATCH($A35,'Electrical T&amp;D Data'!$A$21:$A$29,0),MATCH(L$13,'Electrical T&amp;D Data'!$A$21:$M$21,0))</f>
        <v>34698.858</v>
      </c>
      <c r="M36" s="46">
        <f>INDEX('Electrical T&amp;D Data'!$A$21:$M$29,MATCH($A35,'Electrical T&amp;D Data'!$A$21:$A$29,0),MATCH(M$13,'Electrical T&amp;D Data'!$A$21:$M$21,0))</f>
        <v>34744.653350827808</v>
      </c>
    </row>
    <row r="37" spans="1:13">
      <c r="A37" s="42" t="s">
        <v>110</v>
      </c>
      <c r="B37" s="70">
        <f t="shared" ref="B37:M37" si="38">B$7</f>
        <v>2712554665</v>
      </c>
      <c r="C37" s="70">
        <f t="shared" si="38"/>
        <v>3660968513</v>
      </c>
      <c r="D37" s="70">
        <f t="shared" si="38"/>
        <v>3764560712</v>
      </c>
      <c r="E37" s="70">
        <f t="shared" si="38"/>
        <v>3754841368</v>
      </c>
      <c r="F37" s="70">
        <f t="shared" si="38"/>
        <v>3758992390</v>
      </c>
      <c r="G37" s="70">
        <f t="shared" si="38"/>
        <v>3762461630</v>
      </c>
      <c r="H37" s="70">
        <f t="shared" si="38"/>
        <v>3723355974</v>
      </c>
      <c r="I37" s="70">
        <f t="shared" si="38"/>
        <v>3859185261</v>
      </c>
      <c r="J37" s="70">
        <f t="shared" si="38"/>
        <v>3811150463</v>
      </c>
      <c r="K37" s="70">
        <f t="shared" si="38"/>
        <v>3717674481</v>
      </c>
      <c r="L37" s="70">
        <f t="shared" si="38"/>
        <v>3805874253</v>
      </c>
      <c r="M37" s="70">
        <f t="shared" si="38"/>
        <v>3927169069</v>
      </c>
    </row>
    <row r="38" spans="1:13">
      <c r="A38" s="42" t="s">
        <v>111</v>
      </c>
      <c r="B38" s="48">
        <f>B$8</f>
        <v>24.7</v>
      </c>
      <c r="C38" s="48">
        <f t="shared" ref="C38:M38" si="39">C$8</f>
        <v>11.9</v>
      </c>
      <c r="D38" s="48">
        <f t="shared" si="39"/>
        <v>10.199999999999999</v>
      </c>
      <c r="E38" s="48">
        <f t="shared" si="39"/>
        <v>7.8</v>
      </c>
      <c r="F38" s="48">
        <f t="shared" si="39"/>
        <v>5.3</v>
      </c>
      <c r="G38" s="48">
        <f t="shared" si="39"/>
        <v>5.4</v>
      </c>
      <c r="H38" s="48">
        <f t="shared" si="39"/>
        <v>5.3</v>
      </c>
      <c r="I38" s="48">
        <f t="shared" si="39"/>
        <v>5</v>
      </c>
      <c r="J38" s="48">
        <f t="shared" si="39"/>
        <v>6.1</v>
      </c>
      <c r="K38" s="48">
        <f t="shared" si="39"/>
        <v>5.9</v>
      </c>
      <c r="L38" s="48">
        <f t="shared" si="39"/>
        <v>6</v>
      </c>
      <c r="M38" s="48">
        <f t="shared" si="39"/>
        <v>5.0999999999999996</v>
      </c>
    </row>
    <row r="39" spans="1:13">
      <c r="A39" s="42" t="s">
        <v>120</v>
      </c>
      <c r="B39" s="48">
        <f>IFERROR(B36/B37*B38,"-")</f>
        <v>1.1420874748231728E-4</v>
      </c>
      <c r="C39" s="48">
        <f t="shared" ref="C39" si="40">IFERROR(C36/C37*C38,"-")</f>
        <v>9.0825628017731527E-5</v>
      </c>
      <c r="D39" s="48">
        <f t="shared" ref="D39" si="41">IFERROR(D36/D37*D38,"-")</f>
        <v>8.3278554150435769E-5</v>
      </c>
      <c r="E39" s="48">
        <f t="shared" ref="E39" si="42">IFERROR(E36/E37*E38,"-")</f>
        <v>5.1864395002990783E-5</v>
      </c>
      <c r="F39" s="48">
        <f t="shared" ref="F39" si="43">IFERROR(F36/F37*F38,"-")</f>
        <v>3.6400736948371207E-5</v>
      </c>
      <c r="G39" s="48">
        <f t="shared" ref="G39" si="44">IFERROR(G36/G37*G38,"-")</f>
        <v>4.3052614757479223E-5</v>
      </c>
      <c r="H39" s="48">
        <f t="shared" ref="H39" si="45">IFERROR(H36/H37*H38,"-")</f>
        <v>4.2627977167089124E-5</v>
      </c>
      <c r="I39" s="48">
        <f t="shared" ref="I39" si="46">IFERROR(I36/I37*I38,"-")</f>
        <v>3.7913632054579018E-5</v>
      </c>
      <c r="J39" s="48">
        <f t="shared" ref="J39" si="47">IFERROR(J36/J37*J38,"-")</f>
        <v>5.277919781777978E-5</v>
      </c>
      <c r="K39" s="48">
        <f t="shared" ref="K39" si="48">IFERROR(K36/K37*K38,"-")</f>
        <v>4.9780430413105887E-5</v>
      </c>
      <c r="L39" s="48">
        <f t="shared" ref="L39" si="49">IFERROR(L36/L37*L38,"-")</f>
        <v>5.4703107396648928E-5</v>
      </c>
      <c r="M39" s="48">
        <f t="shared" ref="M39" si="50">IFERROR(M36/M37*M38,"-")</f>
        <v>4.512098383743453E-5</v>
      </c>
    </row>
    <row r="40" spans="1:13">
      <c r="B40" s="72"/>
      <c r="C40" s="72"/>
      <c r="D40" s="72"/>
      <c r="E40" s="72"/>
      <c r="F40" s="72"/>
      <c r="G40" s="72"/>
      <c r="H40" s="72"/>
      <c r="I40" s="72"/>
      <c r="J40" s="72"/>
      <c r="K40" s="72"/>
      <c r="L40" s="72"/>
    </row>
    <row r="41" spans="1:13">
      <c r="A41" s="43" t="s">
        <v>90</v>
      </c>
    </row>
    <row r="42" spans="1:13">
      <c r="A42" s="42" t="s">
        <v>121</v>
      </c>
      <c r="B42" s="46">
        <f>INDEX('Electrical T&amp;D Data'!$A$21:$M$29,MATCH($A41,'Electrical T&amp;D Data'!$A$21:$A$29,0),MATCH(B$13,'Electrical T&amp;D Data'!$A$21:$M$21,0))</f>
        <v>721961.13482501777</v>
      </c>
      <c r="C42" s="46">
        <f>INDEX('Electrical T&amp;D Data'!$A$21:$M$29,MATCH($A41,'Electrical T&amp;D Data'!$A$21:$A$29,0),MATCH(C$13,'Electrical T&amp;D Data'!$A$21:$M$21,0))</f>
        <v>1188252.8725886038</v>
      </c>
      <c r="D42" s="46">
        <f>INDEX('Electrical T&amp;D Data'!$A$21:$M$29,MATCH($A41,'Electrical T&amp;D Data'!$A$21:$A$29,0),MATCH(D$13,'Electrical T&amp;D Data'!$A$21:$M$21,0))</f>
        <v>1213610.8958946781</v>
      </c>
      <c r="E42" s="46">
        <f>INDEX('Electrical T&amp;D Data'!$A$21:$M$29,MATCH($A41,'Electrical T&amp;D Data'!$A$21:$A$29,0),MATCH(E$13,'Electrical T&amp;D Data'!$A$21:$M$21,0))</f>
        <v>1135140.8594267373</v>
      </c>
      <c r="F42" s="46">
        <f>INDEX('Electrical T&amp;D Data'!$A$21:$M$29,MATCH($A41,'Electrical T&amp;D Data'!$A$21:$A$29,0),MATCH(F$13,'Electrical T&amp;D Data'!$A$21:$M$21,0))</f>
        <v>1083128.9460083917</v>
      </c>
      <c r="G42" s="46">
        <f>INDEX('Electrical T&amp;D Data'!$A$21:$M$29,MATCH($A41,'Electrical T&amp;D Data'!$A$21:$A$29,0),MATCH(G$13,'Electrical T&amp;D Data'!$A$21:$M$21,0))</f>
        <v>1059576.0725828989</v>
      </c>
      <c r="H42" s="46">
        <f>INDEX('Electrical T&amp;D Data'!$A$21:$M$29,MATCH($A41,'Electrical T&amp;D Data'!$A$21:$A$29,0),MATCH(H$13,'Electrical T&amp;D Data'!$A$21:$M$21,0))</f>
        <v>1036638.2184359711</v>
      </c>
      <c r="I42" s="46">
        <f>INDEX('Electrical T&amp;D Data'!$A$21:$M$29,MATCH($A41,'Electrical T&amp;D Data'!$A$21:$A$29,0),MATCH(I$13,'Electrical T&amp;D Data'!$A$21:$M$21,0))</f>
        <v>1040742.7991138683</v>
      </c>
      <c r="J42" s="46">
        <f>INDEX('Electrical T&amp;D Data'!$A$21:$M$29,MATCH($A41,'Electrical T&amp;D Data'!$A$21:$A$29,0),MATCH(J$13,'Electrical T&amp;D Data'!$A$21:$M$21,0))</f>
        <v>1064751.0759999999</v>
      </c>
      <c r="K42" s="46">
        <f>INDEX('Electrical T&amp;D Data'!$A$21:$M$29,MATCH($A41,'Electrical T&amp;D Data'!$A$21:$A$29,0),MATCH(K$13,'Electrical T&amp;D Data'!$A$21:$M$21,0))</f>
        <v>898268.272</v>
      </c>
      <c r="L42" s="46">
        <f>INDEX('Electrical T&amp;D Data'!$A$21:$M$29,MATCH($A41,'Electrical T&amp;D Data'!$A$21:$A$29,0),MATCH(L$13,'Electrical T&amp;D Data'!$A$21:$M$21,0))</f>
        <v>983972.03899999999</v>
      </c>
      <c r="M42" s="46">
        <f>INDEX('Electrical T&amp;D Data'!$A$21:$M$29,MATCH($A41,'Electrical T&amp;D Data'!$A$21:$A$29,0),MATCH(M$13,'Electrical T&amp;D Data'!$A$21:$M$21,0))</f>
        <v>1025929.8143591393</v>
      </c>
    </row>
    <row r="43" spans="1:13">
      <c r="A43" s="42" t="s">
        <v>110</v>
      </c>
      <c r="B43" s="70">
        <f t="shared" ref="B43:M43" si="51">B$7</f>
        <v>2712554665</v>
      </c>
      <c r="C43" s="70">
        <f>C$7</f>
        <v>3660968513</v>
      </c>
      <c r="D43" s="70">
        <f t="shared" si="51"/>
        <v>3764560712</v>
      </c>
      <c r="E43" s="70">
        <f t="shared" si="51"/>
        <v>3754841368</v>
      </c>
      <c r="F43" s="70">
        <f t="shared" si="51"/>
        <v>3758992390</v>
      </c>
      <c r="G43" s="70">
        <f t="shared" si="51"/>
        <v>3762461630</v>
      </c>
      <c r="H43" s="70">
        <f t="shared" si="51"/>
        <v>3723355974</v>
      </c>
      <c r="I43" s="70">
        <f t="shared" si="51"/>
        <v>3859185261</v>
      </c>
      <c r="J43" s="70">
        <f t="shared" si="51"/>
        <v>3811150463</v>
      </c>
      <c r="K43" s="70">
        <f t="shared" si="51"/>
        <v>3717674481</v>
      </c>
      <c r="L43" s="70">
        <f t="shared" si="51"/>
        <v>3805874253</v>
      </c>
      <c r="M43" s="70">
        <f t="shared" si="51"/>
        <v>3927169069</v>
      </c>
    </row>
    <row r="44" spans="1:13">
      <c r="A44" s="42" t="s">
        <v>111</v>
      </c>
      <c r="B44" s="48">
        <f>B$8</f>
        <v>24.7</v>
      </c>
      <c r="C44" s="48">
        <f t="shared" ref="C44:M44" si="52">C$8</f>
        <v>11.9</v>
      </c>
      <c r="D44" s="48">
        <f t="shared" si="52"/>
        <v>10.199999999999999</v>
      </c>
      <c r="E44" s="48">
        <f t="shared" si="52"/>
        <v>7.8</v>
      </c>
      <c r="F44" s="48">
        <f t="shared" si="52"/>
        <v>5.3</v>
      </c>
      <c r="G44" s="48">
        <f t="shared" si="52"/>
        <v>5.4</v>
      </c>
      <c r="H44" s="48">
        <f t="shared" si="52"/>
        <v>5.3</v>
      </c>
      <c r="I44" s="48">
        <f t="shared" si="52"/>
        <v>5</v>
      </c>
      <c r="J44" s="48">
        <f t="shared" si="52"/>
        <v>6.1</v>
      </c>
      <c r="K44" s="48">
        <f t="shared" si="52"/>
        <v>5.9</v>
      </c>
      <c r="L44" s="48">
        <f t="shared" si="52"/>
        <v>6</v>
      </c>
      <c r="M44" s="48">
        <f t="shared" si="52"/>
        <v>5.0999999999999996</v>
      </c>
    </row>
    <row r="45" spans="1:13">
      <c r="A45" s="42" t="s">
        <v>122</v>
      </c>
      <c r="B45" s="48">
        <f>IFERROR(B42/B43*B44,"-")</f>
        <v>6.5740389531202086E-3</v>
      </c>
      <c r="C45" s="48">
        <f t="shared" ref="C45" si="53">IFERROR(C42/C43*C44,"-")</f>
        <v>3.8624230537883312E-3</v>
      </c>
      <c r="D45" s="48">
        <f t="shared" ref="D45" si="54">IFERROR(D42/D43*D44,"-")</f>
        <v>3.2882538190091267E-3</v>
      </c>
      <c r="E45" s="48">
        <f t="shared" ref="E45" si="55">IFERROR(E42/E43*E44,"-")</f>
        <v>2.3580486725713924E-3</v>
      </c>
      <c r="F45" s="48">
        <f t="shared" ref="F45" si="56">IFERROR(F42/F43*F44,"-")</f>
        <v>1.5271601584286461E-3</v>
      </c>
      <c r="G45" s="48">
        <f t="shared" ref="G45" si="57">IFERROR(G42/G43*G44,"-")</f>
        <v>1.5207359847408343E-3</v>
      </c>
      <c r="H45" s="48">
        <f t="shared" ref="H45" si="58">IFERROR(H42/H43*H44,"-")</f>
        <v>1.4755995924311928E-3</v>
      </c>
      <c r="I45" s="48">
        <f t="shared" ref="I45" si="59">IFERROR(I42/I43*I44,"-")</f>
        <v>1.3483970433233216E-3</v>
      </c>
      <c r="J45" s="48">
        <f t="shared" ref="J45" si="60">IFERROR(J42/J43*J44,"-")</f>
        <v>1.7042049708232679E-3</v>
      </c>
      <c r="K45" s="48">
        <f t="shared" ref="K45" si="61">IFERROR(K42/K43*K44,"-")</f>
        <v>1.4255639733617657E-3</v>
      </c>
      <c r="L45" s="48">
        <f t="shared" ref="L45" si="62">IFERROR(L42/L43*L44,"-")</f>
        <v>1.5512420646442205E-3</v>
      </c>
      <c r="M45" s="48">
        <f t="shared" ref="M45" si="63">IFERROR(M42/M43*M44,"-")</f>
        <v>1.3323190219981869E-3</v>
      </c>
    </row>
    <row r="47" spans="1:13">
      <c r="A47" s="43" t="s">
        <v>91</v>
      </c>
    </row>
    <row r="48" spans="1:13">
      <c r="A48" s="42" t="s">
        <v>123</v>
      </c>
      <c r="B48" s="46">
        <f>INDEX('Electrical T&amp;D Data'!$A$21:$M$29,MATCH($A47,'Electrical T&amp;D Data'!$A$21:$A$29,0),MATCH(B$13,'Electrical T&amp;D Data'!$A$21:$M$21,0))</f>
        <v>27448.769413200735</v>
      </c>
      <c r="C48" s="46">
        <f>INDEX('Electrical T&amp;D Data'!$A$21:$M$29,MATCH($A47,'Electrical T&amp;D Data'!$A$21:$A$29,0),MATCH(C$13,'Electrical T&amp;D Data'!$A$21:$M$21,0))</f>
        <v>35917.99614866318</v>
      </c>
      <c r="D48" s="46">
        <f>INDEX('Electrical T&amp;D Data'!$A$21:$M$29,MATCH($A47,'Electrical T&amp;D Data'!$A$21:$A$29,0),MATCH(D$13,'Electrical T&amp;D Data'!$A$21:$M$21,0))</f>
        <v>35755.99693279816</v>
      </c>
      <c r="E48" s="46">
        <f>INDEX('Electrical T&amp;D Data'!$A$21:$M$29,MATCH($A47,'Electrical T&amp;D Data'!$A$21:$A$29,0),MATCH(E$13,'Electrical T&amp;D Data'!$A$21:$M$21,0))</f>
        <v>31450.996105180162</v>
      </c>
      <c r="F48" s="46">
        <f>INDEX('Electrical T&amp;D Data'!$A$21:$M$29,MATCH($A47,'Electrical T&amp;D Data'!$A$21:$A$29,0),MATCH(F$13,'Electrical T&amp;D Data'!$A$21:$M$21,0))</f>
        <v>28684.998570115578</v>
      </c>
      <c r="G48" s="46">
        <f>INDEX('Electrical T&amp;D Data'!$A$21:$M$29,MATCH($A47,'Electrical T&amp;D Data'!$A$21:$A$29,0),MATCH(G$13,'Electrical T&amp;D Data'!$A$21:$M$21,0))</f>
        <v>28169.00192962815</v>
      </c>
      <c r="H48" s="46">
        <f>INDEX('Electrical T&amp;D Data'!$A$21:$M$29,MATCH($A47,'Electrical T&amp;D Data'!$A$21:$A$29,0),MATCH(H$13,'Electrical T&amp;D Data'!$A$21:$M$21,0))</f>
        <v>28199.005941973912</v>
      </c>
      <c r="I48" s="46">
        <f>INDEX('Electrical T&amp;D Data'!$A$21:$M$29,MATCH($A47,'Electrical T&amp;D Data'!$A$21:$A$29,0),MATCH(I$13,'Electrical T&amp;D Data'!$A$21:$M$21,0))</f>
        <v>29013.624003174395</v>
      </c>
      <c r="J48" s="46">
        <f>INDEX('Electrical T&amp;D Data'!$A$21:$M$29,MATCH($A47,'Electrical T&amp;D Data'!$A$21:$A$29,0),MATCH(J$13,'Electrical T&amp;D Data'!$A$21:$M$21,0))</f>
        <v>29611.671999999999</v>
      </c>
      <c r="K48" s="46">
        <f>INDEX('Electrical T&amp;D Data'!$A$21:$M$29,MATCH($A47,'Electrical T&amp;D Data'!$A$21:$A$29,0),MATCH(K$13,'Electrical T&amp;D Data'!$A$21:$M$21,0))</f>
        <v>29053.075000000001</v>
      </c>
      <c r="L48" s="46">
        <f>INDEX('Electrical T&amp;D Data'!$A$21:$M$29,MATCH($A47,'Electrical T&amp;D Data'!$A$21:$A$29,0),MATCH(L$13,'Electrical T&amp;D Data'!$A$21:$M$21,0))</f>
        <v>28995.261999999995</v>
      </c>
      <c r="M48" s="46">
        <f>INDEX('Electrical T&amp;D Data'!$A$21:$M$29,MATCH($A47,'Electrical T&amp;D Data'!$A$21:$A$29,0),MATCH(M$13,'Electrical T&amp;D Data'!$A$21:$M$21,0))</f>
        <v>28649.970289287852</v>
      </c>
    </row>
    <row r="49" spans="1:13">
      <c r="A49" s="42" t="s">
        <v>110</v>
      </c>
      <c r="B49" s="70">
        <f t="shared" ref="B49:M49" si="64">B$7</f>
        <v>2712554665</v>
      </c>
      <c r="C49" s="70">
        <f t="shared" si="64"/>
        <v>3660968513</v>
      </c>
      <c r="D49" s="70">
        <f t="shared" si="64"/>
        <v>3764560712</v>
      </c>
      <c r="E49" s="70">
        <f t="shared" si="64"/>
        <v>3754841368</v>
      </c>
      <c r="F49" s="70">
        <f t="shared" si="64"/>
        <v>3758992390</v>
      </c>
      <c r="G49" s="70">
        <f t="shared" si="64"/>
        <v>3762461630</v>
      </c>
      <c r="H49" s="70">
        <f t="shared" si="64"/>
        <v>3723355974</v>
      </c>
      <c r="I49" s="70">
        <f t="shared" si="64"/>
        <v>3859185261</v>
      </c>
      <c r="J49" s="70">
        <f t="shared" si="64"/>
        <v>3811150463</v>
      </c>
      <c r="K49" s="70">
        <f t="shared" si="64"/>
        <v>3717674481</v>
      </c>
      <c r="L49" s="70">
        <f t="shared" si="64"/>
        <v>3805874253</v>
      </c>
      <c r="M49" s="70">
        <f t="shared" si="64"/>
        <v>3927169069</v>
      </c>
    </row>
    <row r="50" spans="1:13">
      <c r="A50" s="42" t="s">
        <v>111</v>
      </c>
      <c r="B50" s="48">
        <f>B$8</f>
        <v>24.7</v>
      </c>
      <c r="C50" s="48">
        <f t="shared" ref="C50:M50" si="65">C$8</f>
        <v>11.9</v>
      </c>
      <c r="D50" s="48">
        <f t="shared" si="65"/>
        <v>10.199999999999999</v>
      </c>
      <c r="E50" s="48">
        <f t="shared" si="65"/>
        <v>7.8</v>
      </c>
      <c r="F50" s="48">
        <f t="shared" si="65"/>
        <v>5.3</v>
      </c>
      <c r="G50" s="48">
        <f t="shared" si="65"/>
        <v>5.4</v>
      </c>
      <c r="H50" s="48">
        <f t="shared" si="65"/>
        <v>5.3</v>
      </c>
      <c r="I50" s="48">
        <f t="shared" si="65"/>
        <v>5</v>
      </c>
      <c r="J50" s="48">
        <f t="shared" si="65"/>
        <v>6.1</v>
      </c>
      <c r="K50" s="48">
        <f t="shared" si="65"/>
        <v>5.9</v>
      </c>
      <c r="L50" s="48">
        <f t="shared" si="65"/>
        <v>6</v>
      </c>
      <c r="M50" s="48">
        <f t="shared" si="65"/>
        <v>5.0999999999999996</v>
      </c>
    </row>
    <row r="51" spans="1:13">
      <c r="A51" s="42" t="s">
        <v>124</v>
      </c>
      <c r="B51" s="48">
        <f>IFERROR(B48/B49*B50,"-")</f>
        <v>2.499432041883138E-4</v>
      </c>
      <c r="C51" s="48">
        <f t="shared" ref="C51" si="66">IFERROR(C48/C49*C50,"-")</f>
        <v>1.1675166083819631E-4</v>
      </c>
      <c r="D51" s="48">
        <f t="shared" ref="D51" si="67">IFERROR(D48/D49*D50,"-")</f>
        <v>9.6880139972767488E-5</v>
      </c>
      <c r="E51" s="48">
        <f t="shared" ref="E51" si="68">IFERROR(E48/E49*E50,"-")</f>
        <v>6.5333724005249436E-5</v>
      </c>
      <c r="F51" s="48">
        <f t="shared" ref="F51" si="69">IFERROR(F48/F49*F50,"-")</f>
        <v>4.0444479969168699E-5</v>
      </c>
      <c r="G51" s="48">
        <f t="shared" ref="G51" si="70">IFERROR(G48/G49*G50,"-")</f>
        <v>4.0429013071421551E-5</v>
      </c>
      <c r="H51" s="48">
        <f t="shared" ref="H51" si="71">IFERROR(H48/H49*H50,"-")</f>
        <v>4.0139791235674565E-5</v>
      </c>
      <c r="I51" s="48">
        <f t="shared" ref="I51" si="72">IFERROR(I48/I49*I50,"-")</f>
        <v>3.7590348792501769E-5</v>
      </c>
      <c r="J51" s="48">
        <f t="shared" ref="J51" si="73">IFERROR(J48/J49*J50,"-")</f>
        <v>4.7395452096061728E-5</v>
      </c>
      <c r="K51" s="48">
        <f t="shared" ref="K51" si="74">IFERROR(K48/K49*K50,"-")</f>
        <v>4.6107625445972991E-5</v>
      </c>
      <c r="L51" s="48">
        <f t="shared" ref="L51" si="75">IFERROR(L48/L49*L50,"-")</f>
        <v>4.5711329496203396E-5</v>
      </c>
      <c r="M51" s="48">
        <f t="shared" ref="M51" si="76">IFERROR(M48/M49*M50,"-")</f>
        <v>3.7206151787240013E-5</v>
      </c>
    </row>
    <row r="53" spans="1:13">
      <c r="A53" s="43" t="s">
        <v>92</v>
      </c>
    </row>
    <row r="54" spans="1:13">
      <c r="A54" s="42" t="s">
        <v>125</v>
      </c>
      <c r="B54" s="46" t="str">
        <f>INDEX('Electrical T&amp;D Data'!$A$21:$M$29,MATCH($A53,'Electrical T&amp;D Data'!$A$21:$A$29,0),MATCH(B$13,'Electrical T&amp;D Data'!$A$21:$M$21,0))</f>
        <v>no data</v>
      </c>
      <c r="C54" s="46" t="str">
        <f>INDEX('Electrical T&amp;D Data'!$A$21:$M$29,MATCH($A53,'Electrical T&amp;D Data'!$A$21:$A$29,0),MATCH(C$13,'Electrical T&amp;D Data'!$A$21:$M$21,0))</f>
        <v>no data</v>
      </c>
      <c r="D54" s="46" t="str">
        <f>INDEX('Electrical T&amp;D Data'!$A$21:$M$29,MATCH($A53,'Electrical T&amp;D Data'!$A$21:$A$29,0),MATCH(D$13,'Electrical T&amp;D Data'!$A$21:$M$21,0))</f>
        <v>no data</v>
      </c>
      <c r="E54" s="46" t="str">
        <f>INDEX('Electrical T&amp;D Data'!$A$21:$M$29,MATCH($A53,'Electrical T&amp;D Data'!$A$21:$A$29,0),MATCH(E$13,'Electrical T&amp;D Data'!$A$21:$M$21,0))</f>
        <v>no data</v>
      </c>
      <c r="F54" s="46" t="str">
        <f>INDEX('Electrical T&amp;D Data'!$A$21:$M$29,MATCH($A53,'Electrical T&amp;D Data'!$A$21:$A$29,0),MATCH(F$13,'Electrical T&amp;D Data'!$A$21:$M$21,0))</f>
        <v>no data</v>
      </c>
      <c r="G54" s="46" t="str">
        <f>INDEX('Electrical T&amp;D Data'!$A$21:$M$29,MATCH($A53,'Electrical T&amp;D Data'!$A$21:$A$29,0),MATCH(G$13,'Electrical T&amp;D Data'!$A$21:$M$21,0))</f>
        <v>no data</v>
      </c>
      <c r="H54" s="46" t="str">
        <f>INDEX('Electrical T&amp;D Data'!$A$21:$M$29,MATCH($A53,'Electrical T&amp;D Data'!$A$21:$A$29,0),MATCH(H$13,'Electrical T&amp;D Data'!$A$21:$M$21,0))</f>
        <v>no data</v>
      </c>
      <c r="I54" s="46" t="str">
        <f>INDEX('Electrical T&amp;D Data'!$A$21:$M$29,MATCH($A53,'Electrical T&amp;D Data'!$A$21:$A$29,0),MATCH(I$13,'Electrical T&amp;D Data'!$A$21:$M$21,0))</f>
        <v>no data</v>
      </c>
      <c r="J54" s="46" t="str">
        <f>INDEX('Electrical T&amp;D Data'!$A$21:$M$29,MATCH($A53,'Electrical T&amp;D Data'!$A$21:$A$29,0),MATCH(J$13,'Electrical T&amp;D Data'!$A$21:$M$21,0))</f>
        <v>no data</v>
      </c>
      <c r="K54" s="46" t="str">
        <f>INDEX('Electrical T&amp;D Data'!$A$21:$M$29,MATCH($A53,'Electrical T&amp;D Data'!$A$21:$A$29,0),MATCH(K$13,'Electrical T&amp;D Data'!$A$21:$M$21,0))</f>
        <v>no data</v>
      </c>
      <c r="L54" s="46" t="str">
        <f>INDEX('Electrical T&amp;D Data'!$A$21:$M$29,MATCH($A53,'Electrical T&amp;D Data'!$A$21:$A$29,0),MATCH(L$13,'Electrical T&amp;D Data'!$A$21:$M$21,0))</f>
        <v>no data</v>
      </c>
      <c r="M54" s="46" t="str">
        <f>INDEX('Electrical T&amp;D Data'!$A$21:$M$29,MATCH($A53,'Electrical T&amp;D Data'!$A$21:$A$29,0),MATCH(M$13,'Electrical T&amp;D Data'!$A$21:$M$21,0))</f>
        <v>no data</v>
      </c>
    </row>
    <row r="55" spans="1:13">
      <c r="A55" s="42" t="s">
        <v>110</v>
      </c>
      <c r="B55" s="70">
        <f t="shared" ref="B55:M55" si="77">B$7</f>
        <v>2712554665</v>
      </c>
      <c r="C55" s="70">
        <f t="shared" si="77"/>
        <v>3660968513</v>
      </c>
      <c r="D55" s="70">
        <f t="shared" si="77"/>
        <v>3764560712</v>
      </c>
      <c r="E55" s="70">
        <f t="shared" si="77"/>
        <v>3754841368</v>
      </c>
      <c r="F55" s="70">
        <f t="shared" si="77"/>
        <v>3758992390</v>
      </c>
      <c r="G55" s="70">
        <f t="shared" si="77"/>
        <v>3762461630</v>
      </c>
      <c r="H55" s="70">
        <f t="shared" si="77"/>
        <v>3723355974</v>
      </c>
      <c r="I55" s="70">
        <f t="shared" si="77"/>
        <v>3859185261</v>
      </c>
      <c r="J55" s="70">
        <f t="shared" si="77"/>
        <v>3811150463</v>
      </c>
      <c r="K55" s="70">
        <f t="shared" si="77"/>
        <v>3717674481</v>
      </c>
      <c r="L55" s="70">
        <f t="shared" si="77"/>
        <v>3805874253</v>
      </c>
      <c r="M55" s="70">
        <f t="shared" si="77"/>
        <v>3927169069</v>
      </c>
    </row>
    <row r="56" spans="1:13">
      <c r="A56" s="42" t="s">
        <v>111</v>
      </c>
      <c r="B56" s="48">
        <f>B$8</f>
        <v>24.7</v>
      </c>
      <c r="C56" s="48">
        <f t="shared" ref="C56:M56" si="78">C$8</f>
        <v>11.9</v>
      </c>
      <c r="D56" s="48">
        <f t="shared" si="78"/>
        <v>10.199999999999999</v>
      </c>
      <c r="E56" s="48">
        <f t="shared" si="78"/>
        <v>7.8</v>
      </c>
      <c r="F56" s="48">
        <f t="shared" si="78"/>
        <v>5.3</v>
      </c>
      <c r="G56" s="48">
        <f t="shared" si="78"/>
        <v>5.4</v>
      </c>
      <c r="H56" s="48">
        <f t="shared" si="78"/>
        <v>5.3</v>
      </c>
      <c r="I56" s="48">
        <f t="shared" si="78"/>
        <v>5</v>
      </c>
      <c r="J56" s="48">
        <f t="shared" si="78"/>
        <v>6.1</v>
      </c>
      <c r="K56" s="48">
        <f t="shared" si="78"/>
        <v>5.9</v>
      </c>
      <c r="L56" s="48">
        <f t="shared" si="78"/>
        <v>6</v>
      </c>
      <c r="M56" s="48">
        <f t="shared" si="78"/>
        <v>5.0999999999999996</v>
      </c>
    </row>
    <row r="57" spans="1:13">
      <c r="A57" s="42" t="s">
        <v>126</v>
      </c>
      <c r="B57" s="48">
        <f>IFERROR(B54/B55*B56,0)</f>
        <v>0</v>
      </c>
      <c r="C57" s="48">
        <f t="shared" ref="C57:M57" si="79">IFERROR(C54/C55*C56,0)</f>
        <v>0</v>
      </c>
      <c r="D57" s="48">
        <f t="shared" si="79"/>
        <v>0</v>
      </c>
      <c r="E57" s="48">
        <f t="shared" si="79"/>
        <v>0</v>
      </c>
      <c r="F57" s="48">
        <f t="shared" si="79"/>
        <v>0</v>
      </c>
      <c r="G57" s="48">
        <f t="shared" si="79"/>
        <v>0</v>
      </c>
      <c r="H57" s="48">
        <f t="shared" si="79"/>
        <v>0</v>
      </c>
      <c r="I57" s="48">
        <f t="shared" si="79"/>
        <v>0</v>
      </c>
      <c r="J57" s="48">
        <f t="shared" si="79"/>
        <v>0</v>
      </c>
      <c r="K57" s="48">
        <f t="shared" si="79"/>
        <v>0</v>
      </c>
      <c r="L57" s="48">
        <f t="shared" si="79"/>
        <v>0</v>
      </c>
      <c r="M57" s="48">
        <f t="shared" si="79"/>
        <v>0</v>
      </c>
    </row>
    <row r="59" spans="1:13">
      <c r="A59" s="43" t="s">
        <v>93</v>
      </c>
    </row>
    <row r="60" spans="1:13">
      <c r="A60" s="42" t="s">
        <v>127</v>
      </c>
      <c r="B60" s="46">
        <f>INDEX('Electrical T&amp;D Data'!$A$21:$M$29,MATCH($A59,'Electrical T&amp;D Data'!$A$21:$A$29,0),MATCH(B$13,'Electrical T&amp;D Data'!$A$21:$M$21,0))</f>
        <v>6521697.4751900733</v>
      </c>
      <c r="C60" s="46">
        <f>INDEX('Electrical T&amp;D Data'!$A$21:$M$29,MATCH($A59,'Electrical T&amp;D Data'!$A$21:$A$29,0),MATCH(C$13,'Electrical T&amp;D Data'!$A$21:$M$21,0))</f>
        <v>7721295.1720777443</v>
      </c>
      <c r="D60" s="46">
        <f>INDEX('Electrical T&amp;D Data'!$A$21:$M$29,MATCH($A59,'Electrical T&amp;D Data'!$A$21:$A$29,0),MATCH(D$13,'Electrical T&amp;D Data'!$A$21:$M$21,0))</f>
        <v>7675354.3415968511</v>
      </c>
      <c r="E60" s="46">
        <f>INDEX('Electrical T&amp;D Data'!$A$21:$M$29,MATCH($A59,'Electrical T&amp;D Data'!$A$21:$A$29,0),MATCH(E$13,'Electrical T&amp;D Data'!$A$21:$M$21,0))</f>
        <v>7277228.098804621</v>
      </c>
      <c r="F60" s="46">
        <f>INDEX('Electrical T&amp;D Data'!$A$21:$M$29,MATCH($A59,'Electrical T&amp;D Data'!$A$21:$A$29,0),MATCH(F$13,'Electrical T&amp;D Data'!$A$21:$M$21,0))</f>
        <v>6754082.6633237554</v>
      </c>
      <c r="G60" s="46">
        <f>INDEX('Electrical T&amp;D Data'!$A$21:$M$29,MATCH($A59,'Electrical T&amp;D Data'!$A$21:$A$29,0),MATCH(G$13,'Electrical T&amp;D Data'!$A$21:$M$21,0))</f>
        <v>6660195.4562355699</v>
      </c>
      <c r="H60" s="46">
        <f>INDEX('Electrical T&amp;D Data'!$A$21:$M$29,MATCH($A59,'Electrical T&amp;D Data'!$A$21:$A$29,0),MATCH(H$13,'Electrical T&amp;D Data'!$A$21:$M$21,0))</f>
        <v>6548698.3799137101</v>
      </c>
      <c r="I60" s="46">
        <f>INDEX('Electrical T&amp;D Data'!$A$21:$M$29,MATCH($A59,'Electrical T&amp;D Data'!$A$21:$A$29,0),MATCH(I$13,'Electrical T&amp;D Data'!$A$21:$M$21,0))</f>
        <v>6525670.1267139772</v>
      </c>
      <c r="J60" s="46">
        <f>INDEX('Electrical T&amp;D Data'!$A$21:$M$29,MATCH($A59,'Electrical T&amp;D Data'!$A$21:$A$29,0),MATCH(J$13,'Electrical T&amp;D Data'!$A$21:$M$21,0))</f>
        <v>6563104.2369999997</v>
      </c>
      <c r="K60" s="46">
        <f>INDEX('Electrical T&amp;D Data'!$A$21:$M$29,MATCH($A59,'Electrical T&amp;D Data'!$A$21:$A$29,0),MATCH(K$13,'Electrical T&amp;D Data'!$A$21:$M$21,0))</f>
        <v>6183093.3379999995</v>
      </c>
      <c r="L60" s="46">
        <f>INDEX('Electrical T&amp;D Data'!$A$21:$M$29,MATCH($A59,'Electrical T&amp;D Data'!$A$21:$A$29,0),MATCH(L$13,'Electrical T&amp;D Data'!$A$21:$M$21,0))</f>
        <v>6169654.1890000002</v>
      </c>
      <c r="M60" s="46">
        <f>INDEX('Electrical T&amp;D Data'!$A$21:$M$29,MATCH($A59,'Electrical T&amp;D Data'!$A$21:$A$29,0),MATCH(M$13,'Electrical T&amp;D Data'!$A$21:$M$21,0))</f>
        <v>6213010.2817347376</v>
      </c>
    </row>
    <row r="61" spans="1:13">
      <c r="A61" s="42" t="s">
        <v>110</v>
      </c>
      <c r="B61" s="70">
        <f t="shared" ref="B61:M61" si="80">B$7</f>
        <v>2712554665</v>
      </c>
      <c r="C61" s="70">
        <f t="shared" si="80"/>
        <v>3660968513</v>
      </c>
      <c r="D61" s="70">
        <f t="shared" si="80"/>
        <v>3764560712</v>
      </c>
      <c r="E61" s="70">
        <f t="shared" si="80"/>
        <v>3754841368</v>
      </c>
      <c r="F61" s="70">
        <f t="shared" si="80"/>
        <v>3758992390</v>
      </c>
      <c r="G61" s="70">
        <f t="shared" si="80"/>
        <v>3762461630</v>
      </c>
      <c r="H61" s="70">
        <f t="shared" si="80"/>
        <v>3723355974</v>
      </c>
      <c r="I61" s="70">
        <f t="shared" si="80"/>
        <v>3859185261</v>
      </c>
      <c r="J61" s="70">
        <f t="shared" si="80"/>
        <v>3811150463</v>
      </c>
      <c r="K61" s="70">
        <f t="shared" si="80"/>
        <v>3717674481</v>
      </c>
      <c r="L61" s="70">
        <f t="shared" si="80"/>
        <v>3805874253</v>
      </c>
      <c r="M61" s="70">
        <f t="shared" si="80"/>
        <v>3927169069</v>
      </c>
    </row>
    <row r="62" spans="1:13">
      <c r="A62" s="42" t="s">
        <v>111</v>
      </c>
      <c r="B62" s="48">
        <f>B$8</f>
        <v>24.7</v>
      </c>
      <c r="C62" s="48">
        <f t="shared" ref="C62:M62" si="81">C$8</f>
        <v>11.9</v>
      </c>
      <c r="D62" s="48">
        <f t="shared" si="81"/>
        <v>10.199999999999999</v>
      </c>
      <c r="E62" s="48">
        <f t="shared" si="81"/>
        <v>7.8</v>
      </c>
      <c r="F62" s="48">
        <f t="shared" si="81"/>
        <v>5.3</v>
      </c>
      <c r="G62" s="48">
        <f t="shared" si="81"/>
        <v>5.4</v>
      </c>
      <c r="H62" s="48">
        <f t="shared" si="81"/>
        <v>5.3</v>
      </c>
      <c r="I62" s="48">
        <f t="shared" si="81"/>
        <v>5</v>
      </c>
      <c r="J62" s="48">
        <f t="shared" si="81"/>
        <v>6.1</v>
      </c>
      <c r="K62" s="48">
        <f t="shared" si="81"/>
        <v>5.9</v>
      </c>
      <c r="L62" s="48">
        <f t="shared" si="81"/>
        <v>6</v>
      </c>
      <c r="M62" s="48">
        <f t="shared" si="81"/>
        <v>5.0999999999999996</v>
      </c>
    </row>
    <row r="63" spans="1:13">
      <c r="A63" s="42" t="s">
        <v>128</v>
      </c>
      <c r="B63" s="48">
        <f>IFERROR(B60/B61*B62,"-")</f>
        <v>5.9385320309183448E-2</v>
      </c>
      <c r="C63" s="48">
        <f t="shared" ref="C63" si="82">IFERROR(C60/C61*C62,"-")</f>
        <v>2.5098116037176953E-2</v>
      </c>
      <c r="D63" s="48">
        <f t="shared" ref="D63" si="83">IFERROR(D60/D61*D62,"-")</f>
        <v>2.0796215089514507E-2</v>
      </c>
      <c r="E63" s="48">
        <f t="shared" ref="E63" si="84">IFERROR(E60/E61*E62,"-")</f>
        <v>1.5117117770786221E-2</v>
      </c>
      <c r="F63" s="48">
        <f t="shared" ref="F63" si="85">IFERROR(F60/F61*F62,"-")</f>
        <v>9.5229344467004633E-3</v>
      </c>
      <c r="G63" s="48">
        <f t="shared" ref="G63" si="86">IFERROR(G60/G61*G62,"-")</f>
        <v>9.5589162097772882E-3</v>
      </c>
      <c r="H63" s="48">
        <f t="shared" ref="H63" si="87">IFERROR(H60/H61*H62,"-")</f>
        <v>9.321725254288744E-3</v>
      </c>
      <c r="I63" s="48">
        <f t="shared" ref="I63" si="88">IFERROR(I60/I61*I62,"-")</f>
        <v>8.4547251367546837E-3</v>
      </c>
      <c r="J63" s="48">
        <f t="shared" ref="J63" si="89">IFERROR(J60/J61*J62,"-")</f>
        <v>1.0504685195290332E-2</v>
      </c>
      <c r="K63" s="48">
        <f t="shared" ref="K63" si="90">IFERROR(K60/K61*K62,"-")</f>
        <v>9.8126532811413179E-3</v>
      </c>
      <c r="L63" s="48">
        <f t="shared" ref="L63" si="91">IFERROR(L60/L61*L62,"-")</f>
        <v>9.7265234406576709E-3</v>
      </c>
      <c r="M63" s="48">
        <f t="shared" ref="M63" si="92">IFERROR(M60/M61*M62,"-")</f>
        <v>8.0684971489948243E-3</v>
      </c>
    </row>
    <row r="64" spans="1:13">
      <c r="A64" s="40"/>
      <c r="B64" s="60"/>
      <c r="C64" s="60"/>
      <c r="D64" s="60"/>
      <c r="E64" s="60"/>
      <c r="F64" s="60"/>
      <c r="G64" s="60"/>
      <c r="H64" s="40"/>
    </row>
    <row r="65" spans="1:50">
      <c r="A65" s="40"/>
      <c r="B65" s="57"/>
      <c r="C65" s="57"/>
      <c r="D65" s="57"/>
      <c r="E65" s="57"/>
      <c r="F65" s="57"/>
      <c r="G65" s="57"/>
      <c r="H65" s="58"/>
    </row>
    <row r="66" spans="1:50" s="35" customFormat="1">
      <c r="A66" s="119" t="s">
        <v>129</v>
      </c>
      <c r="B66" s="160"/>
      <c r="C66" s="160"/>
      <c r="D66" s="160"/>
      <c r="E66" s="160"/>
      <c r="F66" s="160"/>
      <c r="G66" s="160"/>
      <c r="H66" s="160"/>
      <c r="I66" s="160"/>
      <c r="J66" s="160"/>
      <c r="K66" s="160"/>
      <c r="L66" s="160"/>
      <c r="M66" s="160"/>
      <c r="N66" s="160"/>
      <c r="O66" s="160"/>
      <c r="P66" s="161"/>
      <c r="Q66" s="161"/>
      <c r="R66" s="160"/>
      <c r="S66" s="160"/>
      <c r="T66" s="160"/>
      <c r="U66" s="160"/>
      <c r="V66" s="160"/>
      <c r="W66" s="160"/>
      <c r="X66" s="160"/>
      <c r="Y66" s="160"/>
      <c r="Z66" s="160"/>
      <c r="AA66" s="160"/>
      <c r="AB66" s="160"/>
      <c r="AC66" s="160"/>
      <c r="AD66" s="160"/>
      <c r="AE66" s="160"/>
      <c r="AF66" s="160"/>
      <c r="AG66" s="160"/>
      <c r="AH66" s="160"/>
      <c r="AI66" s="160"/>
      <c r="AJ66" s="160"/>
      <c r="AK66" s="160"/>
      <c r="AL66" s="160"/>
      <c r="AM66" s="160"/>
      <c r="AN66" s="160"/>
      <c r="AO66" s="160"/>
      <c r="AP66" s="160"/>
      <c r="AQ66" s="160"/>
      <c r="AR66" s="160"/>
      <c r="AS66" s="160"/>
      <c r="AT66" s="160"/>
      <c r="AU66" s="160"/>
      <c r="AV66" s="160"/>
      <c r="AW66" s="160"/>
      <c r="AX66" s="160"/>
    </row>
    <row r="67" spans="1:50">
      <c r="B67" s="57"/>
      <c r="C67" s="57"/>
      <c r="D67" s="57"/>
      <c r="E67" s="57"/>
      <c r="F67" s="57"/>
      <c r="G67" s="57"/>
      <c r="H67" s="58"/>
    </row>
    <row r="68" spans="1:50">
      <c r="A68" s="43" t="s">
        <v>130</v>
      </c>
      <c r="B68" s="68">
        <v>1990</v>
      </c>
      <c r="C68" s="68">
        <v>2005</v>
      </c>
      <c r="D68" s="68">
        <v>2007</v>
      </c>
      <c r="E68" s="68">
        <v>2010</v>
      </c>
      <c r="F68" s="68">
        <v>2015</v>
      </c>
      <c r="G68" s="68">
        <v>2016</v>
      </c>
      <c r="H68" s="68">
        <v>2017</v>
      </c>
      <c r="I68" s="68">
        <v>2018</v>
      </c>
      <c r="J68" s="68">
        <v>2019</v>
      </c>
      <c r="K68" s="68">
        <v>2020</v>
      </c>
      <c r="L68" s="68">
        <v>2021</v>
      </c>
      <c r="M68" s="68">
        <v>2022</v>
      </c>
    </row>
    <row r="69" spans="1:50">
      <c r="A69" s="120"/>
      <c r="B69" s="149"/>
      <c r="C69" s="149"/>
      <c r="D69" s="149"/>
      <c r="E69" s="149"/>
      <c r="F69" s="149"/>
      <c r="G69" s="149"/>
      <c r="H69" s="149"/>
      <c r="I69" s="149"/>
      <c r="J69" s="149"/>
      <c r="K69" s="149"/>
      <c r="L69" s="149"/>
    </row>
    <row r="70" spans="1:50" ht="14.25">
      <c r="A70" s="127" t="s">
        <v>131</v>
      </c>
      <c r="B70" s="531">
        <f>IFERROR(B$6/B$7*INDEX('Electrical T&amp;D Data'!$D$153:$E$185,MATCH(B$68,'Electrical T&amp;D Data'!$A$153:$A$185,0),MATCH($A70,'Electrical T&amp;D Data'!$D$151:$E$151,0)),"-")</f>
        <v>7.5671403517933528E-2</v>
      </c>
      <c r="C70" s="531">
        <f>IFERROR(C$6/C$7*INDEX('Electrical T&amp;D Data'!$D$153:$E$185,MATCH(C$68,'Electrical T&amp;D Data'!$A$153:$A$185,0),MATCH($A70,'Electrical T&amp;D Data'!$D$151:$E$151,0)),"-")</f>
        <v>3.4249963140546028E-2</v>
      </c>
      <c r="D70" s="531">
        <f>IFERROR(D$6/D$7*INDEX('Electrical T&amp;D Data'!$D$153:$E$185,MATCH(D$68,'Electrical T&amp;D Data'!$A$153:$A$185,0),MATCH($A70,'Electrical T&amp;D Data'!$D$151:$E$151,0)),"-")</f>
        <v>2.8675792149543584E-2</v>
      </c>
      <c r="E70" s="531">
        <f>IFERROR(E$6/E$7*INDEX('Electrical T&amp;D Data'!$D$153:$E$185,MATCH(E$68,'Electrical T&amp;D Data'!$A$153:$A$185,0),MATCH($A70,'Electrical T&amp;D Data'!$D$151:$E$151,0)),"-")</f>
        <v>2.0796236147512144E-2</v>
      </c>
      <c r="F70" s="531">
        <f>IFERROR(F$6/F$7*INDEX('Electrical T&amp;D Data'!$D$153:$E$185,MATCH(F$68,'Electrical T&amp;D Data'!$A$153:$A$185,0),MATCH($A70,'Electrical T&amp;D Data'!$D$151:$E$151,0)),"-")</f>
        <v>1.3237445160031301E-2</v>
      </c>
      <c r="G70" s="531">
        <f>IFERROR(G$6/G$7*INDEX('Electrical T&amp;D Data'!$D$153:$E$185,MATCH(G$68,'Electrical T&amp;D Data'!$A$153:$A$185,0),MATCH($A70,'Electrical T&amp;D Data'!$D$151:$E$151,0)),"-")</f>
        <v>1.3324586885857088E-2</v>
      </c>
      <c r="H70" s="531">
        <f>IFERROR(H$6/H$7*INDEX('Electrical T&amp;D Data'!$D$153:$E$185,MATCH(H$68,'Electrical T&amp;D Data'!$A$153:$A$185,0),MATCH($A70,'Electrical T&amp;D Data'!$D$151:$E$151,0)),"-")</f>
        <v>1.3003752402797681E-2</v>
      </c>
      <c r="I70" s="531">
        <f>IFERROR(I$6/I$7*INDEX('Electrical T&amp;D Data'!$D$153:$E$185,MATCH(I$68,'Electrical T&amp;D Data'!$A$153:$A$185,0),MATCH($A70,'Electrical T&amp;D Data'!$D$151:$E$151,0)),"-")</f>
        <v>1.184172993632295E-2</v>
      </c>
      <c r="J70" s="531">
        <f>IFERROR(J$6/J$7*INDEX('Electrical T&amp;D Data'!$D$153:$E$185,MATCH(J$68,'Electrical T&amp;D Data'!$A$153:$A$185,0),MATCH($A70,'Electrical T&amp;D Data'!$D$151:$E$151,0)),"-")</f>
        <v>1.4725295398172416E-2</v>
      </c>
      <c r="K70" s="531">
        <f>IFERROR(K$6/K$7*INDEX('Electrical T&amp;D Data'!$D$153:$E$185,MATCH(K$68,'Electrical T&amp;D Data'!$A$153:$A$185,0),MATCH($A70,'Electrical T&amp;D Data'!$D$151:$E$151,0)),"-")</f>
        <v>1.3545686568366713E-2</v>
      </c>
      <c r="L70" s="531">
        <f>IFERROR(L$6/L$7*INDEX('Electrical T&amp;D Data'!$D$153:$E$185,MATCH(L$68,'Electrical T&amp;D Data'!$A$153:$A$185,0),MATCH($A70,'Electrical T&amp;D Data'!$D$151:$E$151,0)),"-")</f>
        <v>1.3709471696159686E-2</v>
      </c>
      <c r="M70" s="531">
        <f>IFERROR(M$6/M$7*INDEX('Electrical T&amp;D Data'!$D$153:$E$185,MATCH(M$68,'Electrical T&amp;D Data'!$A$153:$A$185,0),MATCH($A70,'Electrical T&amp;D Data'!$D$151:$E$151,0)),"-")</f>
        <v>1.1446532218309682E-2</v>
      </c>
    </row>
    <row r="71" spans="1:50" ht="13.5">
      <c r="A71" s="127" t="s">
        <v>132</v>
      </c>
      <c r="B71" s="547">
        <f>IFERROR(B$6/B$7*INDEX('Electrical T&amp;D Data'!$D$153:$E$185,MATCH(B$68,'Electrical T&amp;D Data'!$A$153:$A$185,0),MATCH($A71,'Electrical T&amp;D Data'!$D$151:$E$151,0)),"-")</f>
        <v>2.7447484941185805E-6</v>
      </c>
      <c r="C71" s="547">
        <f>IFERROR(C$6/C$7*INDEX('Electrical T&amp;D Data'!$D$153:$E$185,MATCH(C$68,'Electrical T&amp;D Data'!$A$153:$A$185,0),MATCH($A71,'Electrical T&amp;D Data'!$D$151:$E$151,0)),"-")</f>
        <v>5.5130832124708125E-6</v>
      </c>
      <c r="D71" s="547">
        <f>IFERROR(D$6/D$7*INDEX('Electrical T&amp;D Data'!$D$153:$E$185,MATCH(D$68,'Electrical T&amp;D Data'!$A$153:$A$185,0),MATCH($A71,'Electrical T&amp;D Data'!$D$151:$E$151,0)),"-")</f>
        <v>4.1486452059049522E-6</v>
      </c>
      <c r="E71" s="547">
        <f>IFERROR(E$6/E$7*INDEX('Electrical T&amp;D Data'!$D$153:$E$185,MATCH(E$68,'Electrical T&amp;D Data'!$A$153:$A$185,0),MATCH($A71,'Electrical T&amp;D Data'!$D$151:$E$151,0)),"-")</f>
        <v>4.1656999834269896E-6</v>
      </c>
      <c r="F71" s="547">
        <f>IFERROR(F$6/F$7*INDEX('Electrical T&amp;D Data'!$D$153:$E$185,MATCH(F$68,'Electrical T&amp;D Data'!$A$153:$A$185,0),MATCH($A71,'Electrical T&amp;D Data'!$D$151:$E$151,0)),"-")</f>
        <v>0</v>
      </c>
      <c r="G71" s="547">
        <f>IFERROR(G$6/G$7*INDEX('Electrical T&amp;D Data'!$D$153:$E$185,MATCH(G$68,'Electrical T&amp;D Data'!$A$153:$A$185,0),MATCH($A71,'Electrical T&amp;D Data'!$D$151:$E$151,0)),"-")</f>
        <v>7.018651673310413E-7</v>
      </c>
      <c r="H71" s="547">
        <f>IFERROR(H$6/H$7*INDEX('Electrical T&amp;D Data'!$D$153:$E$185,MATCH(H$68,'Electrical T&amp;D Data'!$A$153:$A$185,0),MATCH($A71,'Electrical T&amp;D Data'!$D$151:$E$151,0)),"-")</f>
        <v>1.9195294013713066E-7</v>
      </c>
      <c r="I71" s="547">
        <f>IFERROR(I$6/I$7*INDEX('Electrical T&amp;D Data'!$D$153:$E$185,MATCH(I$68,'Electrical T&amp;D Data'!$A$153:$A$185,0),MATCH($A71,'Electrical T&amp;D Data'!$D$151:$E$151,0)),"-")</f>
        <v>0</v>
      </c>
      <c r="J71" s="547">
        <f>IFERROR(J$6/J$7*INDEX('Electrical T&amp;D Data'!$D$153:$E$185,MATCH(J$68,'Electrical T&amp;D Data'!$A$153:$A$185,0),MATCH($A71,'Electrical T&amp;D Data'!$D$151:$E$151,0)),"-")</f>
        <v>1.0275738471718442E-6</v>
      </c>
      <c r="K71" s="547">
        <f>IFERROR(K$6/K$7*INDEX('Electrical T&amp;D Data'!$D$153:$E$185,MATCH(K$68,'Electrical T&amp;D Data'!$A$153:$A$185,0),MATCH($A71,'Electrical T&amp;D Data'!$D$151:$E$151,0)),"-")</f>
        <v>2.6942906478891255E-7</v>
      </c>
      <c r="L71" s="547">
        <f>IFERROR(L$6/L$7*INDEX('Electrical T&amp;D Data'!$D$153:$E$185,MATCH(L$68,'Electrical T&amp;D Data'!$A$153:$A$185,0),MATCH($A71,'Electrical T&amp;D Data'!$D$151:$E$151,0)),"-")</f>
        <v>2.7005079130116889E-7</v>
      </c>
      <c r="M71" s="547">
        <f>IFERROR(M$6/M$7*INDEX('Electrical T&amp;D Data'!$D$153:$E$185,MATCH(M$68,'Electrical T&amp;D Data'!$A$153:$A$185,0),MATCH($A71,'Electrical T&amp;D Data'!$D$151:$E$151,0)),"-")</f>
        <v>1.6532250360433873E-8</v>
      </c>
    </row>
    <row r="72" spans="1:50">
      <c r="A72" s="56"/>
      <c r="B72" s="152"/>
      <c r="C72" s="152"/>
      <c r="D72" s="152"/>
      <c r="E72" s="152"/>
      <c r="F72" s="152"/>
      <c r="G72" s="152"/>
      <c r="H72" s="152"/>
      <c r="I72" s="152"/>
      <c r="J72" s="152"/>
      <c r="K72" s="152"/>
      <c r="L72" s="152"/>
    </row>
    <row r="73" spans="1:50" ht="25.5">
      <c r="A73" s="159" t="s">
        <v>133</v>
      </c>
      <c r="B73" s="45">
        <f t="shared" ref="B73:K73" si="93">SUM(B70:B71)</f>
        <v>7.567414826642764E-2</v>
      </c>
      <c r="C73" s="45">
        <f t="shared" si="93"/>
        <v>3.4255476223758498E-2</v>
      </c>
      <c r="D73" s="45">
        <f t="shared" si="93"/>
        <v>2.8679940794749489E-2</v>
      </c>
      <c r="E73" s="45">
        <f t="shared" si="93"/>
        <v>2.080040184749557E-2</v>
      </c>
      <c r="F73" s="45">
        <f t="shared" si="93"/>
        <v>1.3237445160031301E-2</v>
      </c>
      <c r="G73" s="45">
        <f t="shared" si="93"/>
        <v>1.3325288751024419E-2</v>
      </c>
      <c r="H73" s="45">
        <f t="shared" si="93"/>
        <v>1.3003944355737818E-2</v>
      </c>
      <c r="I73" s="45">
        <f t="shared" si="93"/>
        <v>1.184172993632295E-2</v>
      </c>
      <c r="J73" s="45">
        <f t="shared" si="93"/>
        <v>1.4726322972019588E-2</v>
      </c>
      <c r="K73" s="45">
        <f t="shared" si="93"/>
        <v>1.3545955997431502E-2</v>
      </c>
      <c r="L73" s="45">
        <f>SUM(L70:L71)</f>
        <v>1.3709741746950988E-2</v>
      </c>
      <c r="M73" s="45">
        <f>SUM(M70:M71)</f>
        <v>1.1446548750560042E-2</v>
      </c>
    </row>
    <row r="74" spans="1:50">
      <c r="A74" s="1"/>
      <c r="B74" s="276">
        <f t="shared" ref="B74:M74" si="94">B73-B9</f>
        <v>0</v>
      </c>
      <c r="C74" s="276">
        <f t="shared" si="94"/>
        <v>0</v>
      </c>
      <c r="D74" s="276">
        <f t="shared" si="94"/>
        <v>0</v>
      </c>
      <c r="E74" s="276">
        <f t="shared" si="94"/>
        <v>0</v>
      </c>
      <c r="F74" s="276">
        <f t="shared" si="94"/>
        <v>0</v>
      </c>
      <c r="G74" s="276">
        <f t="shared" si="94"/>
        <v>0</v>
      </c>
      <c r="H74" s="276">
        <f t="shared" si="94"/>
        <v>0</v>
      </c>
      <c r="I74" s="276">
        <f t="shared" si="94"/>
        <v>0</v>
      </c>
      <c r="J74" s="276">
        <f t="shared" si="94"/>
        <v>0</v>
      </c>
      <c r="K74" s="276">
        <f t="shared" si="94"/>
        <v>0</v>
      </c>
      <c r="L74" s="276">
        <f t="shared" si="94"/>
        <v>0</v>
      </c>
      <c r="M74" s="276">
        <f t="shared" si="94"/>
        <v>0</v>
      </c>
    </row>
    <row r="75" spans="1:50">
      <c r="A75" s="40"/>
      <c r="B75" s="57"/>
      <c r="C75" s="57"/>
      <c r="D75" s="57"/>
      <c r="E75" s="57"/>
      <c r="F75" s="57"/>
      <c r="G75" s="57"/>
      <c r="H75" s="58"/>
    </row>
    <row r="76" spans="1:50" ht="13.5">
      <c r="A76" s="396" t="s">
        <v>134</v>
      </c>
      <c r="B76" s="578">
        <f>B70-'IPPU Summary'!D33</f>
        <v>0</v>
      </c>
      <c r="C76" s="578">
        <f>C70-'IPPU Summary'!E33</f>
        <v>0</v>
      </c>
      <c r="D76" s="578">
        <f>D70-'IPPU Summary'!F33</f>
        <v>0</v>
      </c>
      <c r="E76" s="578">
        <f>E70-'IPPU Summary'!G33</f>
        <v>0</v>
      </c>
      <c r="F76" s="578">
        <f>F70-'IPPU Summary'!H33</f>
        <v>0</v>
      </c>
      <c r="G76" s="578">
        <f>G70-'IPPU Summary'!I33</f>
        <v>0</v>
      </c>
      <c r="H76" s="578">
        <f>H70-'IPPU Summary'!J33</f>
        <v>0</v>
      </c>
      <c r="I76" s="578">
        <f>I70-'IPPU Summary'!K33</f>
        <v>0</v>
      </c>
      <c r="J76" s="578">
        <f>J70-'IPPU Summary'!L33</f>
        <v>0</v>
      </c>
      <c r="K76" s="578">
        <f>K70-'IPPU Summary'!M33</f>
        <v>0</v>
      </c>
      <c r="L76" s="578">
        <f>L70-'IPPU Summary'!N33</f>
        <v>0</v>
      </c>
      <c r="M76" s="578">
        <f>M70-'IPPU Summary'!O33</f>
        <v>0</v>
      </c>
    </row>
    <row r="77" spans="1:50" ht="13.5">
      <c r="A77" s="396" t="s">
        <v>135</v>
      </c>
      <c r="B77" s="578">
        <f>B71-'IPPU Summary'!D34</f>
        <v>0</v>
      </c>
      <c r="C77" s="578">
        <f>C71-'IPPU Summary'!E34</f>
        <v>0</v>
      </c>
      <c r="D77" s="578">
        <f>D71-'IPPU Summary'!F34</f>
        <v>0</v>
      </c>
      <c r="E77" s="578">
        <f>E71-'IPPU Summary'!G34</f>
        <v>0</v>
      </c>
      <c r="F77" s="578">
        <f>F71-'IPPU Summary'!H34</f>
        <v>0</v>
      </c>
      <c r="G77" s="578">
        <f>G71-'IPPU Summary'!I34</f>
        <v>0</v>
      </c>
      <c r="H77" s="578">
        <f>H71-'IPPU Summary'!J34</f>
        <v>0</v>
      </c>
      <c r="I77" s="578">
        <f>I71-'IPPU Summary'!K34</f>
        <v>0</v>
      </c>
      <c r="J77" s="578">
        <f>J71-'IPPU Summary'!L34</f>
        <v>0</v>
      </c>
      <c r="K77" s="578">
        <f>K71-'IPPU Summary'!M34</f>
        <v>0</v>
      </c>
      <c r="L77" s="578">
        <f>L71-'IPPU Summary'!N34</f>
        <v>0</v>
      </c>
      <c r="M77" s="578">
        <f>M71-'IPPU Summary'!O34</f>
        <v>0</v>
      </c>
    </row>
    <row r="78" spans="1:50">
      <c r="A78" s="40"/>
      <c r="B78" s="60"/>
      <c r="C78" s="60"/>
      <c r="D78" s="60"/>
      <c r="E78" s="60"/>
      <c r="F78" s="60"/>
      <c r="G78" s="60"/>
      <c r="H78" s="40"/>
    </row>
    <row r="79" spans="1:50">
      <c r="A79" s="61"/>
      <c r="B79" s="55"/>
      <c r="C79" s="55"/>
      <c r="D79" s="55"/>
      <c r="E79" s="55"/>
      <c r="F79" s="55"/>
      <c r="G79" s="55"/>
      <c r="H79" s="40"/>
    </row>
    <row r="80" spans="1:50">
      <c r="A80" s="40"/>
      <c r="B80" s="59"/>
      <c r="C80" s="59"/>
      <c r="D80" s="59"/>
      <c r="E80" s="59"/>
      <c r="F80" s="59"/>
      <c r="G80" s="59"/>
      <c r="H80" s="40"/>
    </row>
    <row r="81" spans="1:8">
      <c r="A81" s="40"/>
      <c r="B81" s="59"/>
      <c r="C81" s="59"/>
      <c r="D81" s="59"/>
      <c r="E81" s="59"/>
      <c r="F81" s="59"/>
      <c r="G81" s="59"/>
      <c r="H81" s="40"/>
    </row>
    <row r="82" spans="1:8">
      <c r="A82" s="40"/>
      <c r="B82" s="60"/>
      <c r="C82" s="60"/>
      <c r="D82" s="60"/>
      <c r="E82" s="60"/>
      <c r="F82" s="60"/>
      <c r="G82" s="60"/>
      <c r="H82" s="40"/>
    </row>
    <row r="83" spans="1:8">
      <c r="A83" s="40"/>
      <c r="B83" s="59"/>
      <c r="C83" s="59"/>
      <c r="D83" s="59"/>
      <c r="E83" s="59"/>
      <c r="F83" s="59"/>
      <c r="G83" s="59"/>
      <c r="H83" s="40"/>
    </row>
    <row r="84" spans="1:8">
      <c r="A84" s="40"/>
      <c r="B84" s="59"/>
      <c r="C84" s="59"/>
      <c r="D84" s="59"/>
      <c r="E84" s="59"/>
      <c r="F84" s="59"/>
      <c r="G84" s="59"/>
      <c r="H84" s="40"/>
    </row>
    <row r="85" spans="1:8">
      <c r="A85" s="40"/>
      <c r="B85" s="60"/>
      <c r="C85" s="60"/>
      <c r="D85" s="60"/>
      <c r="E85" s="60"/>
      <c r="F85" s="60"/>
      <c r="G85" s="60"/>
      <c r="H85" s="40"/>
    </row>
    <row r="86" spans="1:8">
      <c r="A86" s="40"/>
      <c r="B86" s="59"/>
      <c r="C86" s="59"/>
      <c r="D86" s="59"/>
      <c r="E86" s="59"/>
      <c r="F86" s="59"/>
      <c r="G86" s="59"/>
      <c r="H86" s="40"/>
    </row>
    <row r="87" spans="1:8">
      <c r="A87" s="40"/>
      <c r="B87" s="59"/>
      <c r="C87" s="59"/>
      <c r="D87" s="59"/>
      <c r="E87" s="59"/>
      <c r="F87" s="59"/>
      <c r="G87" s="59"/>
      <c r="H87" s="40"/>
    </row>
    <row r="88" spans="1:8">
      <c r="A88" s="40"/>
      <c r="B88" s="60"/>
      <c r="C88" s="60"/>
      <c r="D88" s="60"/>
      <c r="E88" s="60"/>
      <c r="F88" s="60"/>
      <c r="G88" s="60"/>
      <c r="H88" s="40"/>
    </row>
    <row r="89" spans="1:8">
      <c r="A89" s="40"/>
      <c r="B89" s="59"/>
      <c r="C89" s="59"/>
      <c r="D89" s="59"/>
      <c r="E89" s="59"/>
      <c r="F89" s="59"/>
      <c r="G89" s="59"/>
      <c r="H89" s="40"/>
    </row>
    <row r="90" spans="1:8">
      <c r="A90" s="40"/>
      <c r="B90" s="60"/>
      <c r="C90" s="60"/>
      <c r="D90" s="60"/>
      <c r="E90" s="60"/>
      <c r="F90" s="60"/>
      <c r="G90" s="60"/>
      <c r="H90" s="40"/>
    </row>
    <row r="91" spans="1:8">
      <c r="A91" s="40"/>
      <c r="B91" s="59"/>
      <c r="C91" s="59"/>
      <c r="D91" s="59"/>
      <c r="E91" s="59"/>
      <c r="F91" s="59"/>
      <c r="G91" s="59"/>
      <c r="H91" s="40"/>
    </row>
    <row r="92" spans="1:8">
      <c r="A92" s="40"/>
      <c r="B92" s="59"/>
      <c r="C92" s="59"/>
      <c r="D92" s="59"/>
      <c r="E92" s="59"/>
      <c r="F92" s="59"/>
      <c r="G92" s="59"/>
      <c r="H92" s="40"/>
    </row>
    <row r="93" spans="1:8">
      <c r="A93" s="40"/>
      <c r="B93" s="59"/>
      <c r="C93" s="59"/>
      <c r="D93" s="59"/>
      <c r="E93" s="59"/>
      <c r="F93" s="59"/>
      <c r="G93" s="59"/>
      <c r="H93" s="40"/>
    </row>
    <row r="94" spans="1:8">
      <c r="A94" s="40"/>
      <c r="B94" s="59"/>
      <c r="C94" s="59"/>
      <c r="D94" s="59"/>
      <c r="E94" s="59"/>
      <c r="F94" s="59"/>
      <c r="G94" s="59"/>
      <c r="H94" s="40"/>
    </row>
    <row r="95" spans="1:8">
      <c r="A95" s="40"/>
      <c r="B95" s="60"/>
      <c r="C95" s="60"/>
      <c r="D95" s="60"/>
      <c r="E95" s="60"/>
      <c r="F95" s="60"/>
      <c r="G95" s="60"/>
      <c r="H95" s="40"/>
    </row>
    <row r="96" spans="1:8">
      <c r="A96" s="40"/>
      <c r="B96" s="60"/>
      <c r="C96" s="60"/>
      <c r="D96" s="60"/>
      <c r="E96" s="60"/>
      <c r="F96" s="60"/>
      <c r="G96" s="60"/>
      <c r="H96" s="40"/>
    </row>
    <row r="97" spans="1:8">
      <c r="A97" s="40"/>
      <c r="B97" s="60"/>
      <c r="C97" s="60"/>
      <c r="D97" s="60"/>
      <c r="E97" s="60"/>
      <c r="F97" s="60"/>
      <c r="G97" s="60"/>
      <c r="H97" s="40"/>
    </row>
    <row r="98" spans="1:8">
      <c r="A98" s="40"/>
      <c r="B98" s="60"/>
      <c r="C98" s="60"/>
      <c r="D98" s="60"/>
      <c r="E98" s="60"/>
      <c r="F98" s="60"/>
      <c r="G98" s="60"/>
      <c r="H98" s="40"/>
    </row>
    <row r="99" spans="1:8">
      <c r="A99" s="40"/>
      <c r="B99" s="60"/>
      <c r="C99" s="60"/>
      <c r="D99" s="60"/>
      <c r="E99" s="60"/>
      <c r="F99" s="60"/>
      <c r="G99" s="60"/>
      <c r="H99" s="40"/>
    </row>
    <row r="102" spans="1:8">
      <c r="A102" s="62"/>
    </row>
    <row r="106" spans="1:8">
      <c r="A106" s="403"/>
      <c r="B106" s="40"/>
      <c r="C106" s="40"/>
      <c r="D106" s="40"/>
      <c r="E106" s="40"/>
      <c r="F106" s="40"/>
      <c r="G106" s="40"/>
      <c r="H106" s="40"/>
    </row>
    <row r="107" spans="1:8">
      <c r="B107" s="597"/>
      <c r="C107" s="597"/>
      <c r="D107" s="597"/>
      <c r="E107" s="597"/>
      <c r="F107" s="597"/>
      <c r="G107" s="597"/>
      <c r="H107" s="597"/>
    </row>
    <row r="108" spans="1:8">
      <c r="B108" s="63"/>
      <c r="C108" s="63"/>
      <c r="D108" s="63"/>
      <c r="E108" s="63"/>
      <c r="F108" s="63"/>
      <c r="G108" s="63"/>
      <c r="H108" s="63"/>
    </row>
    <row r="109" spans="1:8">
      <c r="B109" s="64"/>
      <c r="C109" s="64"/>
      <c r="D109" s="64"/>
      <c r="E109" s="64"/>
      <c r="F109" s="64"/>
      <c r="G109" s="64"/>
      <c r="H109" s="64"/>
    </row>
    <row r="110" spans="1:8">
      <c r="B110" s="65"/>
      <c r="C110" s="65"/>
      <c r="D110" s="65"/>
      <c r="E110" s="65"/>
      <c r="F110" s="65"/>
      <c r="G110" s="65"/>
      <c r="H110" s="66"/>
    </row>
    <row r="111" spans="1:8">
      <c r="B111" s="65"/>
      <c r="C111" s="65"/>
      <c r="D111" s="65"/>
      <c r="E111" s="65"/>
      <c r="F111" s="65"/>
      <c r="G111" s="65"/>
      <c r="H111" s="66"/>
    </row>
    <row r="112" spans="1:8">
      <c r="B112" s="65"/>
      <c r="C112" s="65"/>
      <c r="D112" s="65"/>
      <c r="E112" s="65"/>
      <c r="F112" s="65"/>
      <c r="G112" s="65"/>
      <c r="H112" s="66"/>
    </row>
    <row r="113" spans="2:8">
      <c r="B113" s="65"/>
      <c r="C113" s="65"/>
      <c r="D113" s="65"/>
      <c r="E113" s="65"/>
      <c r="F113" s="65"/>
      <c r="G113" s="65"/>
      <c r="H113" s="66"/>
    </row>
    <row r="114" spans="2:8">
      <c r="B114" s="65"/>
      <c r="C114" s="65"/>
      <c r="D114" s="65"/>
      <c r="E114" s="65"/>
      <c r="F114" s="65"/>
      <c r="G114" s="65"/>
      <c r="H114" s="65"/>
    </row>
    <row r="115" spans="2:8">
      <c r="B115" s="65"/>
      <c r="C115" s="65"/>
      <c r="D115" s="65"/>
      <c r="E115" s="65"/>
      <c r="F115" s="65"/>
      <c r="G115" s="65"/>
      <c r="H115" s="66"/>
    </row>
    <row r="116" spans="2:8">
      <c r="B116" s="65"/>
      <c r="C116" s="65"/>
      <c r="D116" s="65"/>
      <c r="E116" s="65"/>
      <c r="F116" s="65"/>
      <c r="G116" s="65"/>
      <c r="H116" s="66"/>
    </row>
    <row r="117" spans="2:8">
      <c r="B117" s="65"/>
      <c r="C117" s="65"/>
      <c r="D117" s="65"/>
      <c r="E117" s="65"/>
      <c r="F117" s="65"/>
      <c r="G117" s="65"/>
      <c r="H117" s="66"/>
    </row>
    <row r="118" spans="2:8">
      <c r="B118" s="65"/>
      <c r="C118" s="65"/>
      <c r="D118" s="65"/>
      <c r="E118" s="65"/>
      <c r="F118" s="65"/>
      <c r="G118" s="65"/>
      <c r="H118" s="66"/>
    </row>
    <row r="119" spans="2:8">
      <c r="B119" s="65"/>
      <c r="C119" s="65"/>
      <c r="D119" s="65"/>
      <c r="E119" s="65"/>
      <c r="F119" s="65"/>
      <c r="G119" s="65"/>
      <c r="H119" s="66"/>
    </row>
    <row r="120" spans="2:8">
      <c r="B120" s="65"/>
      <c r="C120" s="65"/>
      <c r="D120" s="65"/>
      <c r="E120" s="65"/>
      <c r="F120" s="65"/>
      <c r="G120" s="65"/>
      <c r="H120" s="66"/>
    </row>
    <row r="121" spans="2:8">
      <c r="B121" s="65"/>
      <c r="C121" s="65"/>
      <c r="D121" s="65"/>
      <c r="E121" s="65"/>
      <c r="F121" s="65"/>
      <c r="G121" s="65"/>
      <c r="H121" s="66"/>
    </row>
    <row r="122" spans="2:8">
      <c r="B122" s="65"/>
      <c r="C122" s="65"/>
      <c r="D122" s="65"/>
      <c r="E122" s="65"/>
      <c r="F122" s="65"/>
      <c r="G122" s="65"/>
      <c r="H122" s="66"/>
    </row>
    <row r="123" spans="2:8">
      <c r="B123" s="66"/>
      <c r="C123" s="66"/>
      <c r="D123" s="66"/>
      <c r="E123" s="66"/>
      <c r="F123" s="66"/>
      <c r="G123" s="66"/>
      <c r="H123" s="66"/>
    </row>
    <row r="124" spans="2:8">
      <c r="B124" s="66"/>
      <c r="C124" s="66"/>
      <c r="D124" s="66"/>
      <c r="E124" s="66"/>
      <c r="F124" s="66"/>
      <c r="G124" s="66"/>
      <c r="H124" s="66"/>
    </row>
    <row r="125" spans="2:8">
      <c r="B125" s="67"/>
      <c r="C125" s="67"/>
      <c r="D125" s="67"/>
      <c r="E125" s="67"/>
      <c r="F125" s="67"/>
      <c r="G125" s="67"/>
    </row>
    <row r="126" spans="2:8">
      <c r="B126" s="67"/>
      <c r="C126" s="67"/>
      <c r="D126" s="67"/>
      <c r="E126" s="67"/>
      <c r="F126" s="67"/>
      <c r="G126" s="67"/>
    </row>
    <row r="127" spans="2:8">
      <c r="B127" s="67"/>
      <c r="C127" s="67"/>
      <c r="D127" s="67"/>
      <c r="E127" s="67"/>
      <c r="F127" s="67"/>
      <c r="G127" s="67"/>
    </row>
    <row r="128" spans="2:8">
      <c r="B128" s="67"/>
      <c r="C128" s="67"/>
      <c r="D128" s="67"/>
      <c r="E128" s="67"/>
      <c r="F128" s="67"/>
      <c r="G128" s="67"/>
    </row>
    <row r="131" spans="1:8">
      <c r="A131" s="41"/>
    </row>
    <row r="132" spans="1:8">
      <c r="B132" s="67"/>
      <c r="C132" s="67"/>
      <c r="D132" s="67"/>
      <c r="E132" s="67"/>
      <c r="F132" s="67"/>
      <c r="G132" s="67"/>
      <c r="H132" s="67"/>
    </row>
    <row r="133" spans="1:8">
      <c r="B133" s="67"/>
      <c r="C133" s="67"/>
      <c r="D133" s="67"/>
      <c r="E133" s="67"/>
      <c r="F133" s="67"/>
      <c r="G133" s="67"/>
      <c r="H133" s="67"/>
    </row>
    <row r="134" spans="1:8">
      <c r="B134" s="67"/>
      <c r="C134" s="67"/>
      <c r="D134" s="67"/>
      <c r="E134" s="67"/>
      <c r="F134" s="67"/>
      <c r="G134" s="67"/>
      <c r="H134" s="67"/>
    </row>
    <row r="135" spans="1:8">
      <c r="B135" s="67"/>
      <c r="C135" s="67"/>
      <c r="D135" s="67"/>
      <c r="E135" s="67"/>
      <c r="F135" s="67"/>
      <c r="G135" s="67"/>
      <c r="H135" s="67"/>
    </row>
    <row r="136" spans="1:8">
      <c r="B136" s="67"/>
      <c r="C136" s="67"/>
      <c r="D136" s="67"/>
      <c r="E136" s="67"/>
      <c r="F136" s="67"/>
      <c r="G136" s="67"/>
      <c r="H136" s="67"/>
    </row>
  </sheetData>
  <mergeCells count="3">
    <mergeCell ref="B107:H107"/>
    <mergeCell ref="S22:T22"/>
    <mergeCell ref="S11:T11"/>
  </mergeCells>
  <phoneticPr fontId="8" type="noConversion"/>
  <pageMargins left="0.75" right="0.75" top="1" bottom="1" header="0.5" footer="0.5"/>
  <pageSetup orientation="portrait" r:id="rId1"/>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265377373E491046B04AA9A0BA7018B0" ma:contentTypeVersion="18" ma:contentTypeDescription="Create a new document." ma:contentTypeScope="" ma:versionID="b5c01bbb21b88f2d539c95bf5c38e841">
  <xsd:schema xmlns:xsd="http://www.w3.org/2001/XMLSchema" xmlns:xs="http://www.w3.org/2001/XMLSchema" xmlns:p="http://schemas.microsoft.com/office/2006/metadata/properties" xmlns:ns2="a9672bf0-41c1-4df4-be61-4b34b4fa2006" xmlns:ns3="da57bf1e-e8be-428a-98f6-61d2e91c4cae" xmlns:ns4="fa6a9aea-fb0f-4ddd-aff8-712634b7d5fe" targetNamespace="http://schemas.microsoft.com/office/2006/metadata/properties" ma:root="true" ma:fieldsID="d06e3518728ed02a84fab0480b064d34" ns2:_="" ns3:_="" ns4:_="">
    <xsd:import namespace="a9672bf0-41c1-4df4-be61-4b34b4fa2006"/>
    <xsd:import namespace="da57bf1e-e8be-428a-98f6-61d2e91c4cae"/>
    <xsd:import namespace="fa6a9aea-fb0f-4ddd-aff8-712634b7d5fe"/>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AutoTags" minOccurs="0"/>
                <xsd:element ref="ns3:MediaServiceOCR" minOccurs="0"/>
                <xsd:element ref="ns3:MediaServiceAutoKeyPoints" minOccurs="0"/>
                <xsd:element ref="ns3:MediaServiceKeyPoints" minOccurs="0"/>
                <xsd:element ref="ns3:MediaServiceGenerationTime" minOccurs="0"/>
                <xsd:element ref="ns3:MediaServiceEventHashCode" minOccurs="0"/>
                <xsd:element ref="ns3:lcf76f155ced4ddcb4097134ff3c332f" minOccurs="0"/>
                <xsd:element ref="ns4:TaxCatchAll" minOccurs="0"/>
                <xsd:element ref="ns3:MediaServiceDateTaken" minOccurs="0"/>
                <xsd:element ref="ns3:CheckInNotes" minOccurs="0"/>
                <xsd:element ref="ns3:MediaServiceObjectDetectorVersions" minOccurs="0"/>
                <xsd:element ref="ns3:MediaLengthInSeconds" minOccurs="0"/>
                <xsd:element ref="ns3: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9672bf0-41c1-4df4-be61-4b34b4fa2006"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da57bf1e-e8be-428a-98f6-61d2e91c4cae"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AutoKeyPoints" ma:index="14" nillable="true" ma:displayName="MediaServiceAutoKeyPoints" ma:hidden="true" ma:internalName="MediaServiceAutoKeyPoints" ma:readOnly="true">
      <xsd:simpleType>
        <xsd:restriction base="dms:Note"/>
      </xsd:simpleType>
    </xsd:element>
    <xsd:element name="MediaServiceKeyPoints" ma:index="15" nillable="true" ma:displayName="KeyPoints" ma:internalName="MediaServiceKeyPoints"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lcf76f155ced4ddcb4097134ff3c332f" ma:index="19" nillable="true" ma:taxonomy="true" ma:internalName="lcf76f155ced4ddcb4097134ff3c332f" ma:taxonomyFieldName="MediaServiceImageTags" ma:displayName="Image Tags" ma:readOnly="false" ma:fieldId="{5cf76f15-5ced-4ddc-b409-7134ff3c332f}" ma:taxonomyMulti="true" ma:sspId="6856f2ee-118d-42e8-91de-064c9a66b685" ma:termSetId="09814cd3-568e-fe90-9814-8d621ff8fb84" ma:anchorId="fba54fb3-c3e1-fe81-a776-ca4b69148c4d" ma:open="true" ma:isKeyword="false">
      <xsd:complexType>
        <xsd:sequence>
          <xsd:element ref="pc:Terms" minOccurs="0" maxOccurs="1"/>
        </xsd:sequence>
      </xsd:complexType>
    </xsd:element>
    <xsd:element name="MediaServiceDateTaken" ma:index="21" nillable="true" ma:displayName="MediaServiceDateTaken" ma:hidden="true" ma:internalName="MediaServiceDateTaken" ma:readOnly="true">
      <xsd:simpleType>
        <xsd:restriction base="dms:Text"/>
      </xsd:simpleType>
    </xsd:element>
    <xsd:element name="CheckInNotes" ma:index="22" nillable="true" ma:displayName="Check In Notes" ma:format="Dropdown" ma:internalName="CheckInNotes">
      <xsd:simpleType>
        <xsd:restriction base="dms:Text">
          <xsd:maxLength value="255"/>
        </xsd:restriction>
      </xsd:simpleType>
    </xsd:element>
    <xsd:element name="MediaServiceObjectDetectorVersions" ma:index="23" nillable="true" ma:displayName="MediaServiceObjectDetectorVersions" ma:hidden="true" ma:indexed="true" ma:internalName="MediaServiceObjectDetectorVersions" ma:readOnly="true">
      <xsd:simpleType>
        <xsd:restriction base="dms:Text"/>
      </xsd:simpleType>
    </xsd:element>
    <xsd:element name="MediaLengthInSeconds" ma:index="24" nillable="true" ma:displayName="MediaLengthInSeconds" ma:hidden="true" ma:internalName="MediaLengthInSeconds" ma:readOnly="true">
      <xsd:simpleType>
        <xsd:restriction base="dms:Unknown"/>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fa6a9aea-fb0f-4ddd-aff8-712634b7d5fe" elementFormDefault="qualified">
    <xsd:import namespace="http://schemas.microsoft.com/office/2006/documentManagement/types"/>
    <xsd:import namespace="http://schemas.microsoft.com/office/infopath/2007/PartnerControls"/>
    <xsd:element name="TaxCatchAll" ma:index="20" nillable="true" ma:displayName="Taxonomy Catch All Column" ma:hidden="true" ma:list="{57c43ba3-e373-4401-a0fd-b5ce433444d0}" ma:internalName="TaxCatchAll" ma:showField="CatchAllData" ma:web="a9672bf0-41c1-4df4-be61-4b34b4fa2006">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fa6a9aea-fb0f-4ddd-aff8-712634b7d5fe" xsi:nil="true"/>
    <lcf76f155ced4ddcb4097134ff3c332f xmlns="da57bf1e-e8be-428a-98f6-61d2e91c4cae">
      <Terms xmlns="http://schemas.microsoft.com/office/infopath/2007/PartnerControls"/>
    </lcf76f155ced4ddcb4097134ff3c332f>
    <SharedWithUsers xmlns="a9672bf0-41c1-4df4-be61-4b34b4fa2006">
      <UserInfo>
        <DisplayName>Ferenchiak, Rebecca</DisplayName>
        <AccountId>99</AccountId>
        <AccountType/>
      </UserInfo>
      <UserInfo>
        <DisplayName>Acharya, Bikash</DisplayName>
        <AccountId>73</AccountId>
        <AccountType/>
      </UserInfo>
      <UserInfo>
        <DisplayName>Winicov, Meryl</DisplayName>
        <AccountId>66</AccountId>
        <AccountType/>
      </UserInfo>
      <UserInfo>
        <DisplayName>Petrou O'Rourke, Becky</DisplayName>
        <AccountId>172</AccountId>
        <AccountType/>
      </UserInfo>
    </SharedWithUsers>
    <CheckInNotes xmlns="da57bf1e-e8be-428a-98f6-61d2e91c4cae"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269FF48C-1625-45CD-9973-05748CA2978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9672bf0-41c1-4df4-be61-4b34b4fa2006"/>
    <ds:schemaRef ds:uri="da57bf1e-e8be-428a-98f6-61d2e91c4cae"/>
    <ds:schemaRef ds:uri="fa6a9aea-fb0f-4ddd-aff8-712634b7d5f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19BD6DD8-B99B-4BDB-901A-107422128176}">
  <ds:schemaRefs>
    <ds:schemaRef ds:uri="http://schemas.microsoft.com/office/2006/metadata/properties"/>
    <ds:schemaRef ds:uri="http://schemas.microsoft.com/office/2006/documentManagement/types"/>
    <ds:schemaRef ds:uri="http://www.w3.org/XML/1998/namespace"/>
    <ds:schemaRef ds:uri="http://purl.org/dc/elements/1.1/"/>
    <ds:schemaRef ds:uri="da57bf1e-e8be-428a-98f6-61d2e91c4cae"/>
    <ds:schemaRef ds:uri="a9672bf0-41c1-4df4-be61-4b34b4fa2006"/>
    <ds:schemaRef ds:uri="http://purl.org/dc/terms/"/>
    <ds:schemaRef ds:uri="http://purl.org/dc/dcmitype/"/>
    <ds:schemaRef ds:uri="http://schemas.microsoft.com/office/infopath/2007/PartnerControls"/>
    <ds:schemaRef ds:uri="http://schemas.openxmlformats.org/package/2006/metadata/core-properties"/>
    <ds:schemaRef ds:uri="fa6a9aea-fb0f-4ddd-aff8-712634b7d5fe"/>
  </ds:schemaRefs>
</ds:datastoreItem>
</file>

<file path=customXml/itemProps3.xml><?xml version="1.0" encoding="utf-8"?>
<ds:datastoreItem xmlns:ds="http://schemas.openxmlformats.org/officeDocument/2006/customXml" ds:itemID="{E3215B4D-0CEA-43AD-8F69-EC4E56440FE6}">
  <ds:schemaRefs>
    <ds:schemaRef ds:uri="http://schemas.microsoft.com/sharepoint/v3/contenttype/forms"/>
  </ds:schemaRefs>
</ds:datastoreItem>
</file>

<file path=docMetadata/LabelInfo.xml><?xml version="1.0" encoding="utf-8"?>
<clbl:labelList xmlns:clbl="http://schemas.microsoft.com/office/2020/mipLabelMetadata">
  <clbl:label id="{cf90b97b-be46-4a00-9700-81ce4ff1b7f6}" enabled="0" method="" siteId="{cf90b97b-be46-4a00-9700-81ce4ff1b7f6}" removed="1"/>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20</vt:i4>
      </vt:variant>
      <vt:variant>
        <vt:lpstr>Named Ranges</vt:lpstr>
      </vt:variant>
      <vt:variant>
        <vt:i4>21</vt:i4>
      </vt:variant>
    </vt:vector>
  </HeadingPairs>
  <TitlesOfParts>
    <vt:vector size="41" baseType="lpstr">
      <vt:lpstr>Contents</vt:lpstr>
      <vt:lpstr>IPPU Summary</vt:lpstr>
      <vt:lpstr>2021-2022 Comparison</vt:lpstr>
      <vt:lpstr>2019-2022 Comparison</vt:lpstr>
      <vt:lpstr>IPPU Summary_old format</vt:lpstr>
      <vt:lpstr>Summary by Island</vt:lpstr>
      <vt:lpstr>IPPU Summary by County</vt:lpstr>
      <vt:lpstr>Cement</vt:lpstr>
      <vt:lpstr>Electrical T&amp;D</vt:lpstr>
      <vt:lpstr>ODS Subs</vt:lpstr>
      <vt:lpstr>Cement Data</vt:lpstr>
      <vt:lpstr>Electrical T&amp;D Data</vt:lpstr>
      <vt:lpstr>ODS Subs Data</vt:lpstr>
      <vt:lpstr>ODS Emissions</vt:lpstr>
      <vt:lpstr>ODS and Subs</vt:lpstr>
      <vt:lpstr>Conversions_Constants</vt:lpstr>
      <vt:lpstr>TSD Values</vt:lpstr>
      <vt:lpstr>Unc_Inputs</vt:lpstr>
      <vt:lpstr>Uncertainty Results</vt:lpstr>
      <vt:lpstr>RiskTemplate_IPPU</vt:lpstr>
      <vt:lpstr>Conversions_Constants!C_CO2</vt:lpstr>
      <vt:lpstr>Cement2019</vt:lpstr>
      <vt:lpstr>CKDCorrection</vt:lpstr>
      <vt:lpstr>clinkerEF</vt:lpstr>
      <vt:lpstr>ElectricalTD2019</vt:lpstr>
      <vt:lpstr>'IPPU Summary by County'!ElectricalTransmission2016</vt:lpstr>
      <vt:lpstr>ElectricalTransmission2016</vt:lpstr>
      <vt:lpstr>Conversions_Constants!g_ft3</vt:lpstr>
      <vt:lpstr>Conversions_Constants!g_lbs</vt:lpstr>
      <vt:lpstr>Conversions_Constants!g_mt</vt:lpstr>
      <vt:lpstr>Conversions_Constants!gal_barrel</vt:lpstr>
      <vt:lpstr>Conversions_Constants!kwh_mwh</vt:lpstr>
      <vt:lpstr>Conversions_Constants!lb_Mg</vt:lpstr>
      <vt:lpstr>Conversions_Constants!lbs_shortt</vt:lpstr>
      <vt:lpstr>Conversions_Constants!M3_FT3</vt:lpstr>
      <vt:lpstr>Conversions_Constants!MT_MMT</vt:lpstr>
      <vt:lpstr>'IPPU Summary by County'!ODSSubs2016</vt:lpstr>
      <vt:lpstr>ODSSubs2016</vt:lpstr>
      <vt:lpstr>ODSSubs2019</vt:lpstr>
      <vt:lpstr>Conversions_Constants!Short_Metric</vt:lpstr>
      <vt:lpstr>thousMT_MT</vt:lpstr>
    </vt:vector>
  </TitlesOfParts>
  <Manager/>
  <Company>ICF Consulting</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Philip Groth</dc:creator>
  <cp:keywords/>
  <dc:description/>
  <cp:lastModifiedBy>Cliche, Anna</cp:lastModifiedBy>
  <cp:revision/>
  <dcterms:created xsi:type="dcterms:W3CDTF">2008-06-06T16:04:58Z</dcterms:created>
  <dcterms:modified xsi:type="dcterms:W3CDTF">2025-01-20T19:24:09Z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0x010100265377373E491046B04AA9A0BA7018B0</vt:lpwstr>
  </property>
  <property fmtid="{D5CDD505-2E9C-101B-9397-08002B2CF9AE}" pid="3" name="AuthorIds_UIVersion_19456">
    <vt:lpwstr>26</vt:lpwstr>
  </property>
  <property fmtid="{D5CDD505-2E9C-101B-9397-08002B2CF9AE}" pid="4" name="AuthorIds_UIVersion_35328">
    <vt:lpwstr>26</vt:lpwstr>
  </property>
  <property fmtid="{D5CDD505-2E9C-101B-9397-08002B2CF9AE}" pid="5" name="MediaServiceImageTags">
    <vt:lpwstr/>
  </property>
</Properties>
</file>