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icfonline.sharepoint.com/teams/HawaiiInventory/Shared Documents/Project Year 3 - 2024/Projections/1.24.25 New Forecasts_Unlinked/"/>
    </mc:Choice>
  </mc:AlternateContent>
  <xr:revisionPtr revIDLastSave="3" documentId="8_{580AD0D6-B6E1-4CF2-8BC9-81F2E51AF04B}" xr6:coauthVersionLast="47" xr6:coauthVersionMax="47" xr10:uidLastSave="{3E849356-A3DD-4320-8AB5-2FBBF52E9099}"/>
  <bookViews>
    <workbookView xWindow="-105" yWindow="0" windowWidth="12990" windowHeight="15585" activeTab="1" xr2:uid="{181F3AD5-DB2F-438A-B7CF-52373FEAF77D}"/>
  </bookViews>
  <sheets>
    <sheet name="Notes" sheetId="30" r:id="rId1"/>
    <sheet name="Summary_Format" sheetId="1" r:id="rId2"/>
    <sheet name="Landfills" sheetId="29" r:id="rId3"/>
    <sheet name="Industrial_Landfills" sheetId="23" r:id="rId4"/>
    <sheet name="Wastewater" sheetId="20" r:id="rId5"/>
    <sheet name="Composting" sheetId="19" r:id="rId6"/>
    <sheet name="Landfill Adj" sheetId="21" state="hidden" r:id="rId7"/>
    <sheet name="Macro" sheetId="32" r:id="rId8"/>
  </sheets>
  <definedNames>
    <definedName name="__123Graph_BGROWTHRATES" hidden="1">#REF!</definedName>
    <definedName name="_2__123Graph_DPERCENT65_256" hidden="1">#REF!</definedName>
    <definedName name="_4__123Graph_FPERCENT65_256"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CorrelationEnabledState" hidden="1">1</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-1</definedName>
    <definedName name="_AtRisk_SimSetting_MultipleCPUManualCount" hidden="1">8</definedName>
    <definedName name="_AtRisk_SimSetting_MultipleCPUMode" hidden="1">0</definedName>
    <definedName name="_AtRisk_SimSetting_MultipleCPUModeV8" hidden="1">2</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47295</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47295</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Key1" hidden="1">#REF!</definedName>
    <definedName name="_Key2" hidden="1">#REF!</definedName>
    <definedName name="_Order1" hidden="1">255</definedName>
    <definedName name="_Order2" hidden="1">255</definedName>
    <definedName name="_Regression_Out" hidden="1">#REF!</definedName>
    <definedName name="_Regression_X" hidden="1">#REF!</definedName>
    <definedName name="_Regression_Y" hidden="1">#REF!</definedName>
    <definedName name="_Sort" hidden="1">#REF!</definedName>
    <definedName name="Anaerobic">#REF!</definedName>
    <definedName name="anscount" hidden="1">1</definedName>
    <definedName name="BatteryCap">#REF!</definedName>
    <definedName name="BOD_5">#REF!</definedName>
    <definedName name="C_CO2">#REF!</definedName>
    <definedName name="CH4_EF">#REF!</definedName>
    <definedName name="cm3_m3">#REF!</definedName>
    <definedName name="CO2_C">44/12</definedName>
    <definedName name="CoalEF">#REF!</definedName>
    <definedName name="CoalHR">#REF!</definedName>
    <definedName name="Composting2016">#REF!</definedName>
    <definedName name="days_year">#REF!</definedName>
    <definedName name="DeFactoIndex">Macro!$N$74:$R$110</definedName>
    <definedName name="Direct_N2OEmissions">#REF!</definedName>
    <definedName name="elevencpi">#REF!</definedName>
    <definedName name="EthInGas">#REF!</definedName>
    <definedName name="fivecpi">#REF!</definedName>
    <definedName name="fourcpi">#REF!</definedName>
    <definedName name="Frac_N_Protein">#REF!</definedName>
    <definedName name="g_ft3">#REF!</definedName>
    <definedName name="g_lbs">#REF!</definedName>
    <definedName name="g_mt">#REF!</definedName>
    <definedName name="gal_barrel">#REF!</definedName>
    <definedName name="GSPIndex">Macro!$N$33:$R$69</definedName>
    <definedName name="GWP">#REF!</definedName>
    <definedName name="GWP_CH4">#REF!</definedName>
    <definedName name="GWP_N2O">#REF!</definedName>
    <definedName name="hr_day">#REF!</definedName>
    <definedName name="HTML_CodePage" hidden="1">1252</definedName>
    <definedName name="HTML_Control" hidden="1">{"'327012'!$A$2:$L$63"}</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"N:\Webbank\W6_uploaded\Client_login\CMM_Member_Files\327013_www_01.htm"</definedName>
    <definedName name="HTML_Title" hidden="1">""</definedName>
    <definedName name="HTML1_1" hidden="1">"[mf33e.xls]A!$A$1:$J$79"</definedName>
    <definedName name="HTML1_10" hidden="1">""</definedName>
    <definedName name="HTML1_11" hidden="1">1</definedName>
    <definedName name="HTML1_12" hidden="1">"C:\public\fhwa\SECTION1\mf33e.htm"</definedName>
    <definedName name="HTML1_2" hidden="1">1</definedName>
    <definedName name="HTML1_3" hidden="1">"mf33e"</definedName>
    <definedName name="HTML1_4" hidden="1">"MF33E"</definedName>
    <definedName name="HTML1_5" hidden="1">""</definedName>
    <definedName name="HTML1_6" hidden="1">1</definedName>
    <definedName name="HTML1_7" hidden="1">1</definedName>
    <definedName name="HTML1_8" hidden="1">"3/14/96"</definedName>
    <definedName name="HTML1_9" hidden="1">"Lloyd E Phillips"</definedName>
    <definedName name="HTMLCount" hidden="1">1</definedName>
    <definedName name="k">#REF!</definedName>
    <definedName name="kwh_mwh">#REF!</definedName>
    <definedName name="L">#REF!</definedName>
    <definedName name="Landfills2016">#REF!</definedName>
    <definedName name="lb_kg">#REF!</definedName>
    <definedName name="lb_Mg">#REF!</definedName>
    <definedName name="lbs_kg">#REF!</definedName>
    <definedName name="lbs_shortt">#REF!</definedName>
    <definedName name="M3_FT3">#REF!</definedName>
    <definedName name="min_hr">#REF!</definedName>
    <definedName name="MMBtuDslGal">#REF!</definedName>
    <definedName name="MT_MMT">#REF!</definedName>
    <definedName name="MT_per_T">1/#REF!</definedName>
    <definedName name="MT_ST">0.9072</definedName>
    <definedName name="Mt_to_MMT">#REF!</definedName>
    <definedName name="N2O_EF">#REF!</definedName>
    <definedName name="N2O_N2">#REF!</definedName>
    <definedName name="Non_Consumption">#REF!</definedName>
    <definedName name="Non_Septic">#REF!</definedName>
    <definedName name="NonBioMSW">#REF!</definedName>
    <definedName name="OR">#REF!</definedName>
    <definedName name="Pal_Workbook_GUID" hidden="1">"RB6Y2JL4MF8AC4RP3VX7Y4CB"</definedName>
    <definedName name="PalisadeReportWorkbookCreatedBy">"AtRisk"</definedName>
    <definedName name="percent_methane">#REF!</definedName>
    <definedName name="PopIndex">Macro!$N$117:$R$144</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1965</definedName>
    <definedName name="RiskFixedSeed" hidden="1">1</definedName>
    <definedName name="RiskGenerateExcelReportsAtEndOfSimulation">TRUE</definedName>
    <definedName name="RiskHasSettings" hidden="1">7</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electedCell" hidden="1">"$AE$8"</definedName>
    <definedName name="RiskSelectedNameCell1" hidden="1">"$A$8"</definedName>
    <definedName name="RiskSelectedNameCell2" hidden="1">"$AE$5"</definedName>
    <definedName name="RiskShowRiskWindowAtEndOfSimulation">FALSE</definedName>
    <definedName name="RiskStandardRecalc" hidden="1">1</definedName>
    <definedName name="RiskStatFunctionsUpdateFreq">50</definedName>
    <definedName name="RiskTemplateSheetName">"T2.2.Template"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TRUE</definedName>
    <definedName name="SE">#REF!</definedName>
    <definedName name="sencount" hidden="1">2</definedName>
    <definedName name="sevencpi">#REF!</definedName>
    <definedName name="Short_Metric">#REF!</definedName>
    <definedName name="SolarCF">#REF!</definedName>
    <definedName name="SolarLand">#REF!</definedName>
    <definedName name="t">#REF!</definedName>
    <definedName name="threecpi">#REF!</definedName>
    <definedName name="TRNLoss">#REF!</definedName>
    <definedName name="VisIndex">Macro!$N$150:$R$178</definedName>
    <definedName name="Wastewater2016">#REF!</definedName>
    <definedName name="WindCF2025">#REF!</definedName>
    <definedName name="WindCF2045">#REF!</definedName>
    <definedName name="WindLan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D35" i="29"/>
  <c r="D36" i="29"/>
  <c r="D37" i="29"/>
  <c r="D38" i="29"/>
  <c r="D39" i="29"/>
  <c r="E157" i="32" l="1"/>
  <c r="A152" i="32"/>
  <c r="N151" i="32"/>
  <c r="G119" i="32"/>
  <c r="B119" i="32" s="1"/>
  <c r="A119" i="32"/>
  <c r="N118" i="32"/>
  <c r="G118" i="32"/>
  <c r="B118" i="32" s="1"/>
  <c r="N112" i="32"/>
  <c r="N111" i="32"/>
  <c r="B110" i="32"/>
  <c r="B105" i="32"/>
  <c r="B95" i="32"/>
  <c r="G86" i="32"/>
  <c r="B86" i="32" s="1"/>
  <c r="I86" i="32" s="1"/>
  <c r="G84" i="32"/>
  <c r="A84" i="32"/>
  <c r="A83" i="32"/>
  <c r="N83" i="32" s="1"/>
  <c r="N82" i="32"/>
  <c r="G82" i="32"/>
  <c r="N81" i="32"/>
  <c r="G81" i="32"/>
  <c r="B81" i="32" s="1"/>
  <c r="G80" i="32"/>
  <c r="B80" i="32" s="1"/>
  <c r="G79" i="32"/>
  <c r="B79" i="32" s="1"/>
  <c r="N76" i="32"/>
  <c r="G76" i="32"/>
  <c r="B76" i="32" s="1"/>
  <c r="A76" i="32"/>
  <c r="A77" i="32" s="1"/>
  <c r="N75" i="32"/>
  <c r="D68" i="32"/>
  <c r="F62" i="32"/>
  <c r="F57" i="32"/>
  <c r="D57" i="32"/>
  <c r="C55" i="32"/>
  <c r="D50" i="32"/>
  <c r="D53" i="32"/>
  <c r="A45" i="32"/>
  <c r="N45" i="32" s="1"/>
  <c r="A44" i="32"/>
  <c r="N44" i="32" s="1"/>
  <c r="N43" i="32"/>
  <c r="A43" i="32"/>
  <c r="N42" i="32"/>
  <c r="F42" i="32"/>
  <c r="E42" i="32"/>
  <c r="D42" i="32"/>
  <c r="C42" i="32"/>
  <c r="A42" i="32"/>
  <c r="N41" i="32"/>
  <c r="F41" i="32"/>
  <c r="E41" i="32"/>
  <c r="D41" i="32"/>
  <c r="C41" i="32"/>
  <c r="W40" i="32"/>
  <c r="U40" i="32"/>
  <c r="N40" i="32"/>
  <c r="G40" i="32"/>
  <c r="F40" i="32"/>
  <c r="E40" i="32"/>
  <c r="D40" i="32"/>
  <c r="C40" i="32"/>
  <c r="A36" i="32"/>
  <c r="A37" i="32" s="1"/>
  <c r="A38" i="32" s="1"/>
  <c r="A39" i="32" s="1"/>
  <c r="A35" i="32"/>
  <c r="A6" i="32"/>
  <c r="A7" i="32" s="1"/>
  <c r="A8" i="32" s="1"/>
  <c r="A9" i="32" s="1"/>
  <c r="A10" i="32" s="1"/>
  <c r="A11" i="32" s="1"/>
  <c r="A12" i="32" s="1"/>
  <c r="A13" i="32" s="1"/>
  <c r="A5" i="32"/>
  <c r="K119" i="32" l="1"/>
  <c r="J119" i="32"/>
  <c r="E68" i="32"/>
  <c r="G78" i="32"/>
  <c r="B78" i="32" s="1"/>
  <c r="G85" i="32"/>
  <c r="T86" i="32" s="1"/>
  <c r="G99" i="32"/>
  <c r="T100" i="32" s="1"/>
  <c r="G77" i="32"/>
  <c r="B77" i="32" s="1"/>
  <c r="L110" i="32"/>
  <c r="E58" i="32"/>
  <c r="L105" i="32"/>
  <c r="G75" i="32"/>
  <c r="B75" i="32" s="1"/>
  <c r="E50" i="32"/>
  <c r="D55" i="32"/>
  <c r="G153" i="32"/>
  <c r="I153" i="32" s="1"/>
  <c r="D61" i="32"/>
  <c r="C62" i="32"/>
  <c r="F61" i="32"/>
  <c r="G129" i="32"/>
  <c r="J129" i="32" s="1"/>
  <c r="K105" i="32"/>
  <c r="G98" i="32"/>
  <c r="G69" i="32"/>
  <c r="B69" i="32" s="1"/>
  <c r="W41" i="32"/>
  <c r="E61" i="32"/>
  <c r="E63" i="32"/>
  <c r="E60" i="32"/>
  <c r="E62" i="32"/>
  <c r="C67" i="32"/>
  <c r="C66" i="32"/>
  <c r="C65" i="32"/>
  <c r="G64" i="32"/>
  <c r="B64" i="32" s="1"/>
  <c r="A85" i="32"/>
  <c r="N84" i="32"/>
  <c r="B100" i="32"/>
  <c r="D66" i="32"/>
  <c r="D65" i="32"/>
  <c r="D67" i="32"/>
  <c r="N119" i="32"/>
  <c r="A120" i="32"/>
  <c r="V40" i="32"/>
  <c r="L40" i="32"/>
  <c r="B82" i="32"/>
  <c r="T82" i="32"/>
  <c r="L119" i="32"/>
  <c r="I119" i="32"/>
  <c r="I40" i="32"/>
  <c r="B41" i="32"/>
  <c r="G41" i="32"/>
  <c r="T41" i="32" s="1"/>
  <c r="F53" i="32"/>
  <c r="E57" i="32"/>
  <c r="E55" i="32"/>
  <c r="E56" i="32"/>
  <c r="C60" i="32"/>
  <c r="C53" i="32"/>
  <c r="G49" i="32"/>
  <c r="E46" i="32" s="1"/>
  <c r="C52" i="32"/>
  <c r="C50" i="32"/>
  <c r="C51" i="32"/>
  <c r="J105" i="32"/>
  <c r="J42" i="32"/>
  <c r="I42" i="32"/>
  <c r="K110" i="32"/>
  <c r="J110" i="32"/>
  <c r="I110" i="32"/>
  <c r="G120" i="32"/>
  <c r="B120" i="32" s="1"/>
  <c r="L81" i="32"/>
  <c r="K81" i="32"/>
  <c r="J81" i="32"/>
  <c r="I81" i="32"/>
  <c r="J40" i="32"/>
  <c r="Z40" i="32" s="1"/>
  <c r="F56" i="32"/>
  <c r="F58" i="32"/>
  <c r="F55" i="32"/>
  <c r="G134" i="32"/>
  <c r="J134" i="32" s="1"/>
  <c r="A46" i="32"/>
  <c r="E53" i="32"/>
  <c r="E51" i="32"/>
  <c r="E52" i="32"/>
  <c r="E65" i="32"/>
  <c r="E67" i="32"/>
  <c r="K42" i="32"/>
  <c r="K40" i="32"/>
  <c r="L42" i="32"/>
  <c r="E43" i="32"/>
  <c r="G54" i="32"/>
  <c r="W54" i="32" s="1"/>
  <c r="E66" i="32"/>
  <c r="C68" i="32"/>
  <c r="B90" i="32"/>
  <c r="G154" i="32"/>
  <c r="J154" i="32" s="1"/>
  <c r="G168" i="32"/>
  <c r="B168" i="32" s="1"/>
  <c r="L168" i="32" s="1"/>
  <c r="T40" i="32"/>
  <c r="G42" i="32"/>
  <c r="E45" i="32" s="1"/>
  <c r="C44" i="32"/>
  <c r="C45" i="32"/>
  <c r="D62" i="32"/>
  <c r="D60" i="32"/>
  <c r="D63" i="32"/>
  <c r="A78" i="32"/>
  <c r="N77" i="32"/>
  <c r="B84" i="32"/>
  <c r="G142" i="32"/>
  <c r="B142" i="32" s="1"/>
  <c r="D45" i="32"/>
  <c r="D44" i="32"/>
  <c r="F52" i="32"/>
  <c r="F50" i="32"/>
  <c r="F51" i="32"/>
  <c r="C57" i="32"/>
  <c r="C56" i="32"/>
  <c r="L86" i="32"/>
  <c r="K86" i="32"/>
  <c r="L118" i="32"/>
  <c r="I118" i="32"/>
  <c r="K118" i="32"/>
  <c r="J118" i="32"/>
  <c r="A153" i="32"/>
  <c r="N152" i="32"/>
  <c r="F157" i="32"/>
  <c r="G158" i="32"/>
  <c r="B158" i="32" s="1"/>
  <c r="L158" i="32" s="1"/>
  <c r="F45" i="32"/>
  <c r="F44" i="32"/>
  <c r="F43" i="32"/>
  <c r="T54" i="32"/>
  <c r="C58" i="32"/>
  <c r="J86" i="32"/>
  <c r="G156" i="32"/>
  <c r="J156" i="32" s="1"/>
  <c r="C157" i="32"/>
  <c r="F65" i="32"/>
  <c r="F66" i="32"/>
  <c r="F67" i="32"/>
  <c r="F68" i="32"/>
  <c r="D52" i="32"/>
  <c r="D51" i="32"/>
  <c r="G83" i="32"/>
  <c r="T84" i="32" s="1"/>
  <c r="I105" i="32"/>
  <c r="G133" i="32"/>
  <c r="B133" i="32" s="1"/>
  <c r="G131" i="32"/>
  <c r="B131" i="32" s="1"/>
  <c r="G144" i="32"/>
  <c r="G163" i="32"/>
  <c r="B163" i="32" s="1"/>
  <c r="I163" i="32" s="1"/>
  <c r="G127" i="32"/>
  <c r="B127" i="32" s="1"/>
  <c r="G125" i="32"/>
  <c r="B125" i="32" s="1"/>
  <c r="D58" i="32"/>
  <c r="D56" i="32"/>
  <c r="C63" i="32"/>
  <c r="G59" i="32"/>
  <c r="B59" i="32" s="1"/>
  <c r="C61" i="32"/>
  <c r="J95" i="32"/>
  <c r="I95" i="32"/>
  <c r="K95" i="32"/>
  <c r="G124" i="32"/>
  <c r="L124" i="32" s="1"/>
  <c r="G173" i="32"/>
  <c r="B173" i="32" s="1"/>
  <c r="J173" i="32" s="1"/>
  <c r="F60" i="32"/>
  <c r="F63" i="32"/>
  <c r="L95" i="32"/>
  <c r="G139" i="32"/>
  <c r="I139" i="32" s="1"/>
  <c r="I129" i="32"/>
  <c r="D157" i="32"/>
  <c r="G132" i="32"/>
  <c r="B132" i="32" s="1"/>
  <c r="G151" i="32"/>
  <c r="L151" i="32" s="1"/>
  <c r="G126" i="32"/>
  <c r="B126" i="32" s="1"/>
  <c r="G155" i="32"/>
  <c r="I155" i="32" s="1"/>
  <c r="O155" i="32" s="1"/>
  <c r="G152" i="32"/>
  <c r="J152" i="32" s="1"/>
  <c r="G178" i="32"/>
  <c r="B178" i="32" s="1"/>
  <c r="J178" i="32" s="1"/>
  <c r="J155" i="32"/>
  <c r="P155" i="32" s="1"/>
  <c r="G167" i="32"/>
  <c r="B167" i="32" s="1"/>
  <c r="I167" i="32" s="1"/>
  <c r="I173" i="32" l="1"/>
  <c r="J158" i="32"/>
  <c r="L156" i="32"/>
  <c r="K154" i="32"/>
  <c r="L154" i="32"/>
  <c r="R154" i="32" s="1"/>
  <c r="K156" i="32"/>
  <c r="I168" i="32"/>
  <c r="O168" i="32" s="1"/>
  <c r="J153" i="32"/>
  <c r="P153" i="32" s="1"/>
  <c r="W64" i="32"/>
  <c r="T85" i="32"/>
  <c r="K153" i="32"/>
  <c r="B85" i="32"/>
  <c r="L153" i="32"/>
  <c r="K168" i="32"/>
  <c r="V64" i="32"/>
  <c r="I156" i="32"/>
  <c r="M156" i="32" s="1"/>
  <c r="L155" i="32"/>
  <c r="R155" i="32" s="1"/>
  <c r="F48" i="32"/>
  <c r="K129" i="32"/>
  <c r="F47" i="32"/>
  <c r="J49" i="32"/>
  <c r="T64" i="32"/>
  <c r="I134" i="32"/>
  <c r="V54" i="32"/>
  <c r="U64" i="32"/>
  <c r="T69" i="32"/>
  <c r="G97" i="32"/>
  <c r="R158" i="32"/>
  <c r="G92" i="32"/>
  <c r="B92" i="32" s="1"/>
  <c r="L178" i="32"/>
  <c r="R178" i="32" s="1"/>
  <c r="L129" i="32"/>
  <c r="M129" i="32" s="1"/>
  <c r="K152" i="32"/>
  <c r="M81" i="32"/>
  <c r="G103" i="32"/>
  <c r="O167" i="32"/>
  <c r="W59" i="32"/>
  <c r="P173" i="32"/>
  <c r="K178" i="32"/>
  <c r="Q178" i="32" s="1"/>
  <c r="I178" i="32"/>
  <c r="O178" i="32" s="1"/>
  <c r="R151" i="32"/>
  <c r="K155" i="32"/>
  <c r="Q155" i="32" s="1"/>
  <c r="I151" i="32"/>
  <c r="O151" i="32" s="1"/>
  <c r="G94" i="32"/>
  <c r="B94" i="32" s="1"/>
  <c r="G137" i="32"/>
  <c r="B137" i="32" s="1"/>
  <c r="L137" i="32" s="1"/>
  <c r="O163" i="32"/>
  <c r="T59" i="32"/>
  <c r="U69" i="32"/>
  <c r="P156" i="32"/>
  <c r="G62" i="32"/>
  <c r="V62" i="32" s="1"/>
  <c r="I152" i="32"/>
  <c r="O152" i="32" s="1"/>
  <c r="G130" i="32"/>
  <c r="B130" i="32" s="1"/>
  <c r="L130" i="32" s="1"/>
  <c r="J168" i="32"/>
  <c r="P168" i="32" s="1"/>
  <c r="G141" i="32"/>
  <c r="B141" i="32" s="1"/>
  <c r="K141" i="32" s="1"/>
  <c r="I124" i="32"/>
  <c r="P154" i="32"/>
  <c r="G138" i="32"/>
  <c r="B138" i="32" s="1"/>
  <c r="G109" i="32"/>
  <c r="B109" i="32" s="1"/>
  <c r="T49" i="32"/>
  <c r="I130" i="32"/>
  <c r="T110" i="32"/>
  <c r="K133" i="32"/>
  <c r="L133" i="32"/>
  <c r="J133" i="32"/>
  <c r="I133" i="32"/>
  <c r="J125" i="32"/>
  <c r="L125" i="32"/>
  <c r="K125" i="32"/>
  <c r="I125" i="32"/>
  <c r="B97" i="32"/>
  <c r="B62" i="32"/>
  <c r="W62" i="32"/>
  <c r="T62" i="32"/>
  <c r="G176" i="32"/>
  <c r="B176" i="32" s="1"/>
  <c r="I176" i="32" s="1"/>
  <c r="O176" i="32" s="1"/>
  <c r="L132" i="32"/>
  <c r="K132" i="32"/>
  <c r="I132" i="32"/>
  <c r="J132" i="32"/>
  <c r="K163" i="32"/>
  <c r="K137" i="32"/>
  <c r="G66" i="32"/>
  <c r="B66" i="32" s="1"/>
  <c r="I126" i="32"/>
  <c r="L126" i="32"/>
  <c r="K126" i="32"/>
  <c r="J126" i="32"/>
  <c r="M126" i="32" s="1"/>
  <c r="G143" i="32"/>
  <c r="B143" i="32" s="1"/>
  <c r="G157" i="32"/>
  <c r="K157" i="32" s="1"/>
  <c r="AB42" i="32"/>
  <c r="M110" i="32"/>
  <c r="G67" i="32"/>
  <c r="B67" i="32" s="1"/>
  <c r="J124" i="32"/>
  <c r="G169" i="32"/>
  <c r="B169" i="32" s="1"/>
  <c r="J169" i="32" s="1"/>
  <c r="P169" i="32" s="1"/>
  <c r="L127" i="32"/>
  <c r="K127" i="32"/>
  <c r="J127" i="32"/>
  <c r="I127" i="32"/>
  <c r="G45" i="32"/>
  <c r="T45" i="32" s="1"/>
  <c r="G68" i="32"/>
  <c r="W68" i="32" s="1"/>
  <c r="Y42" i="32"/>
  <c r="M42" i="32"/>
  <c r="G165" i="32"/>
  <c r="B165" i="32" s="1"/>
  <c r="I165" i="32" s="1"/>
  <c r="O165" i="32" s="1"/>
  <c r="L167" i="32"/>
  <c r="R167" i="32" s="1"/>
  <c r="P158" i="32"/>
  <c r="G140" i="32"/>
  <c r="B140" i="32" s="1"/>
  <c r="G160" i="32"/>
  <c r="B160" i="32" s="1"/>
  <c r="L160" i="32" s="1"/>
  <c r="R160" i="32" s="1"/>
  <c r="V69" i="32"/>
  <c r="K151" i="32"/>
  <c r="Q151" i="32" s="1"/>
  <c r="J139" i="32"/>
  <c r="I158" i="32"/>
  <c r="O158" i="32" s="1"/>
  <c r="K124" i="32"/>
  <c r="A79" i="32"/>
  <c r="N78" i="32"/>
  <c r="G172" i="32"/>
  <c r="B172" i="32" s="1"/>
  <c r="I172" i="32" s="1"/>
  <c r="O172" i="32" s="1"/>
  <c r="V66" i="32"/>
  <c r="E48" i="32"/>
  <c r="L139" i="32"/>
  <c r="G101" i="32"/>
  <c r="Z42" i="32"/>
  <c r="G51" i="32"/>
  <c r="B51" i="32" s="1"/>
  <c r="G60" i="32"/>
  <c r="B60" i="32" s="1"/>
  <c r="K41" i="32"/>
  <c r="J41" i="32"/>
  <c r="I41" i="32"/>
  <c r="L41" i="32"/>
  <c r="M41" i="32" s="1"/>
  <c r="K82" i="32"/>
  <c r="J82" i="32"/>
  <c r="I82" i="32"/>
  <c r="L82" i="32"/>
  <c r="V42" i="32"/>
  <c r="N85" i="32"/>
  <c r="A86" i="32"/>
  <c r="R153" i="32"/>
  <c r="L163" i="32"/>
  <c r="R163" i="32" s="1"/>
  <c r="G128" i="32"/>
  <c r="B128" i="32" s="1"/>
  <c r="L173" i="32"/>
  <c r="R173" i="32" s="1"/>
  <c r="G61" i="32"/>
  <c r="T61" i="32" s="1"/>
  <c r="I144" i="32"/>
  <c r="K144" i="32"/>
  <c r="L144" i="32"/>
  <c r="J144" i="32"/>
  <c r="G107" i="32"/>
  <c r="D48" i="32"/>
  <c r="J151" i="32"/>
  <c r="P151" i="32" s="1"/>
  <c r="K176" i="32"/>
  <c r="Q176" i="32" s="1"/>
  <c r="L152" i="32"/>
  <c r="R152" i="32" s="1"/>
  <c r="G56" i="32"/>
  <c r="B56" i="32" s="1"/>
  <c r="D43" i="32"/>
  <c r="G91" i="32"/>
  <c r="C43" i="32"/>
  <c r="I154" i="32"/>
  <c r="B54" i="32"/>
  <c r="U54" i="32"/>
  <c r="L134" i="32"/>
  <c r="K134" i="32"/>
  <c r="G102" i="32"/>
  <c r="W69" i="32"/>
  <c r="G50" i="32"/>
  <c r="E44" i="32"/>
  <c r="J64" i="32"/>
  <c r="I64" i="32"/>
  <c r="L64" i="32"/>
  <c r="K64" i="32"/>
  <c r="V59" i="32"/>
  <c r="T98" i="32"/>
  <c r="B98" i="32"/>
  <c r="L131" i="32"/>
  <c r="K131" i="32"/>
  <c r="J131" i="32"/>
  <c r="I131" i="32"/>
  <c r="G170" i="32"/>
  <c r="B170" i="32" s="1"/>
  <c r="G52" i="32"/>
  <c r="B52" i="32" s="1"/>
  <c r="O173" i="32"/>
  <c r="G161" i="32"/>
  <c r="B161" i="32" s="1"/>
  <c r="G162" i="32"/>
  <c r="B162" i="32" s="1"/>
  <c r="L162" i="32" s="1"/>
  <c r="R162" i="32" s="1"/>
  <c r="K142" i="32"/>
  <c r="J142" i="32"/>
  <c r="I142" i="32"/>
  <c r="L142" i="32"/>
  <c r="L138" i="32"/>
  <c r="K138" i="32"/>
  <c r="J138" i="32"/>
  <c r="I138" i="32"/>
  <c r="M138" i="32" s="1"/>
  <c r="D47" i="32"/>
  <c r="D46" i="32"/>
  <c r="U49" i="32"/>
  <c r="A121" i="32"/>
  <c r="B121" i="32" s="1"/>
  <c r="N120" i="32"/>
  <c r="M95" i="32"/>
  <c r="K139" i="32"/>
  <c r="F46" i="32"/>
  <c r="V49" i="32"/>
  <c r="G53" i="32"/>
  <c r="W53" i="32" s="1"/>
  <c r="W66" i="32"/>
  <c r="L69" i="32"/>
  <c r="K69" i="32"/>
  <c r="J69" i="32"/>
  <c r="I69" i="32"/>
  <c r="K158" i="32"/>
  <c r="Q158" i="32" s="1"/>
  <c r="G108" i="32"/>
  <c r="T109" i="32" s="1"/>
  <c r="G171" i="32"/>
  <c r="B171" i="32" s="1"/>
  <c r="K171" i="32" s="1"/>
  <c r="Q171" i="32" s="1"/>
  <c r="G58" i="32"/>
  <c r="G57" i="32"/>
  <c r="V57" i="32" s="1"/>
  <c r="U59" i="32"/>
  <c r="L49" i="32"/>
  <c r="G135" i="32"/>
  <c r="B135" i="32" s="1"/>
  <c r="L120" i="32"/>
  <c r="K120" i="32"/>
  <c r="J120" i="32"/>
  <c r="I120" i="32"/>
  <c r="C46" i="32"/>
  <c r="M40" i="32"/>
  <c r="Y40" i="32"/>
  <c r="G55" i="32"/>
  <c r="W55" i="32" s="1"/>
  <c r="U62" i="32"/>
  <c r="J85" i="32"/>
  <c r="I85" i="32"/>
  <c r="L85" i="32"/>
  <c r="K85" i="32"/>
  <c r="M85" i="32" s="1"/>
  <c r="G164" i="32"/>
  <c r="B164" i="32" s="1"/>
  <c r="L164" i="32" s="1"/>
  <c r="R164" i="32" s="1"/>
  <c r="M118" i="32"/>
  <c r="L84" i="32"/>
  <c r="K84" i="32"/>
  <c r="I84" i="32"/>
  <c r="J84" i="32"/>
  <c r="L90" i="32"/>
  <c r="J90" i="32"/>
  <c r="I90" i="32"/>
  <c r="K90" i="32"/>
  <c r="N46" i="32"/>
  <c r="A47" i="32"/>
  <c r="J100" i="32"/>
  <c r="L100" i="32"/>
  <c r="K100" i="32"/>
  <c r="I100" i="32"/>
  <c r="K167" i="32"/>
  <c r="Q167" i="32" s="1"/>
  <c r="K172" i="32"/>
  <c r="J167" i="32"/>
  <c r="P167" i="32" s="1"/>
  <c r="B83" i="32"/>
  <c r="T83" i="32"/>
  <c r="G166" i="32"/>
  <c r="B166" i="32" s="1"/>
  <c r="L166" i="32" s="1"/>
  <c r="R166" i="32" s="1"/>
  <c r="AA40" i="32"/>
  <c r="B103" i="32"/>
  <c r="M119" i="32"/>
  <c r="L172" i="32"/>
  <c r="R172" i="32" s="1"/>
  <c r="M105" i="32"/>
  <c r="G159" i="32"/>
  <c r="B159" i="32" s="1"/>
  <c r="I159" i="32" s="1"/>
  <c r="O159" i="32" s="1"/>
  <c r="J163" i="32"/>
  <c r="P163" i="32" s="1"/>
  <c r="M86" i="32"/>
  <c r="B99" i="32"/>
  <c r="T99" i="32"/>
  <c r="AA42" i="32"/>
  <c r="G104" i="32"/>
  <c r="U41" i="32"/>
  <c r="V41" i="32"/>
  <c r="U67" i="32"/>
  <c r="P178" i="32"/>
  <c r="G96" i="32"/>
  <c r="T97" i="32" s="1"/>
  <c r="K59" i="32"/>
  <c r="J59" i="32"/>
  <c r="I59" i="32"/>
  <c r="L59" i="32"/>
  <c r="T42" i="32"/>
  <c r="W42" i="32"/>
  <c r="U42" i="32"/>
  <c r="E47" i="32"/>
  <c r="I49" i="32"/>
  <c r="O153" i="32"/>
  <c r="U66" i="32"/>
  <c r="G177" i="32"/>
  <c r="B177" i="32" s="1"/>
  <c r="K177" i="32" s="1"/>
  <c r="Q177" i="32" s="1"/>
  <c r="P152" i="32"/>
  <c r="G174" i="32"/>
  <c r="B174" i="32" s="1"/>
  <c r="K174" i="32" s="1"/>
  <c r="Q174" i="32" s="1"/>
  <c r="L176" i="32"/>
  <c r="R176" i="32" s="1"/>
  <c r="G63" i="32"/>
  <c r="B63" i="32" s="1"/>
  <c r="J165" i="32"/>
  <c r="P165" i="32" s="1"/>
  <c r="G106" i="32"/>
  <c r="K173" i="32"/>
  <c r="M173" i="32" s="1"/>
  <c r="G175" i="32"/>
  <c r="B175" i="32" s="1"/>
  <c r="L175" i="32" s="1"/>
  <c r="R175" i="32" s="1"/>
  <c r="N153" i="32"/>
  <c r="A154" i="32"/>
  <c r="W49" i="32"/>
  <c r="G93" i="32"/>
  <c r="C48" i="32"/>
  <c r="G136" i="32"/>
  <c r="B136" i="32" s="1"/>
  <c r="K49" i="32"/>
  <c r="C47" i="32"/>
  <c r="AB40" i="32"/>
  <c r="G65" i="32"/>
  <c r="B65" i="32" s="1"/>
  <c r="M153" i="32" l="1"/>
  <c r="R168" i="32"/>
  <c r="R156" i="32"/>
  <c r="W51" i="32"/>
  <c r="M134" i="32"/>
  <c r="O156" i="32"/>
  <c r="T53" i="32"/>
  <c r="I141" i="32"/>
  <c r="M141" i="32" s="1"/>
  <c r="J130" i="32"/>
  <c r="M130" i="32" s="1"/>
  <c r="L141" i="32"/>
  <c r="T60" i="32"/>
  <c r="J141" i="32"/>
  <c r="V51" i="32"/>
  <c r="U52" i="32"/>
  <c r="J137" i="32"/>
  <c r="T57" i="32"/>
  <c r="J157" i="32"/>
  <c r="P157" i="32" s="1"/>
  <c r="M84" i="32"/>
  <c r="L171" i="32"/>
  <c r="R171" i="32" s="1"/>
  <c r="L177" i="32"/>
  <c r="R177" i="32" s="1"/>
  <c r="L157" i="32"/>
  <c r="R157" i="32" s="1"/>
  <c r="M120" i="32"/>
  <c r="T95" i="32"/>
  <c r="K130" i="32"/>
  <c r="J159" i="32"/>
  <c r="P159" i="32" s="1"/>
  <c r="J177" i="32"/>
  <c r="P177" i="32" s="1"/>
  <c r="I137" i="32"/>
  <c r="M137" i="32" s="1"/>
  <c r="M178" i="32"/>
  <c r="U65" i="32"/>
  <c r="Q154" i="32"/>
  <c r="T52" i="32"/>
  <c r="V67" i="32"/>
  <c r="Q173" i="32"/>
  <c r="V61" i="32"/>
  <c r="T56" i="32"/>
  <c r="T51" i="32"/>
  <c r="K175" i="32"/>
  <c r="Q175" i="32" s="1"/>
  <c r="W52" i="32"/>
  <c r="Q157" i="32"/>
  <c r="M132" i="32"/>
  <c r="Q156" i="32"/>
  <c r="M100" i="32"/>
  <c r="L159" i="32"/>
  <c r="R159" i="32" s="1"/>
  <c r="Q153" i="32"/>
  <c r="Q163" i="32"/>
  <c r="Q152" i="32"/>
  <c r="T103" i="32"/>
  <c r="Q168" i="32"/>
  <c r="I177" i="32"/>
  <c r="O177" i="32" s="1"/>
  <c r="Q172" i="32"/>
  <c r="M168" i="32"/>
  <c r="M155" i="32"/>
  <c r="W67" i="32"/>
  <c r="M133" i="32"/>
  <c r="L63" i="32"/>
  <c r="J63" i="32"/>
  <c r="K63" i="32"/>
  <c r="I63" i="32"/>
  <c r="L170" i="32"/>
  <c r="R170" i="32" s="1"/>
  <c r="J170" i="32"/>
  <c r="P170" i="32" s="1"/>
  <c r="K170" i="32"/>
  <c r="Q170" i="32" s="1"/>
  <c r="Z59" i="32"/>
  <c r="J99" i="32"/>
  <c r="I99" i="32"/>
  <c r="L99" i="32"/>
  <c r="K99" i="32"/>
  <c r="K161" i="32"/>
  <c r="Q161" i="32" s="1"/>
  <c r="J161" i="32"/>
  <c r="P161" i="32" s="1"/>
  <c r="I170" i="32"/>
  <c r="O170" i="32" s="1"/>
  <c r="A80" i="32"/>
  <c r="N80" i="32" s="1"/>
  <c r="N79" i="32"/>
  <c r="V60" i="32"/>
  <c r="M151" i="32"/>
  <c r="L65" i="32"/>
  <c r="J65" i="32"/>
  <c r="I65" i="32"/>
  <c r="K65" i="32"/>
  <c r="AA59" i="32"/>
  <c r="B58" i="32"/>
  <c r="V58" i="32"/>
  <c r="W60" i="32"/>
  <c r="T107" i="32"/>
  <c r="B107" i="32"/>
  <c r="V63" i="32"/>
  <c r="T65" i="32"/>
  <c r="L161" i="32"/>
  <c r="R161" i="32" s="1"/>
  <c r="M90" i="32"/>
  <c r="T58" i="32"/>
  <c r="B50" i="32"/>
  <c r="U50" i="32"/>
  <c r="V50" i="32"/>
  <c r="N86" i="32"/>
  <c r="A87" i="32"/>
  <c r="I51" i="32"/>
  <c r="L51" i="32"/>
  <c r="J51" i="32"/>
  <c r="K51" i="32"/>
  <c r="W65" i="32"/>
  <c r="L169" i="32"/>
  <c r="R169" i="32" s="1"/>
  <c r="K169" i="32"/>
  <c r="Q169" i="32" s="1"/>
  <c r="L66" i="32"/>
  <c r="K66" i="32"/>
  <c r="J66" i="32"/>
  <c r="I66" i="32"/>
  <c r="L97" i="32"/>
  <c r="K97" i="32"/>
  <c r="J97" i="32"/>
  <c r="I97" i="32"/>
  <c r="T104" i="32"/>
  <c r="T105" i="32"/>
  <c r="B104" i="32"/>
  <c r="I103" i="32"/>
  <c r="J103" i="32"/>
  <c r="L103" i="32"/>
  <c r="K103" i="32"/>
  <c r="I164" i="32"/>
  <c r="O164" i="32" s="1"/>
  <c r="K164" i="32"/>
  <c r="Q164" i="32" s="1"/>
  <c r="U56" i="32"/>
  <c r="Z69" i="32"/>
  <c r="J162" i="32"/>
  <c r="P162" i="32" s="1"/>
  <c r="I162" i="32"/>
  <c r="O162" i="32" s="1"/>
  <c r="AB64" i="32"/>
  <c r="T50" i="32"/>
  <c r="O154" i="32"/>
  <c r="M154" i="32"/>
  <c r="J128" i="32"/>
  <c r="I128" i="32"/>
  <c r="K128" i="32"/>
  <c r="L128" i="32"/>
  <c r="U51" i="32"/>
  <c r="M127" i="32"/>
  <c r="I169" i="32"/>
  <c r="O169" i="32" s="1"/>
  <c r="T67" i="32"/>
  <c r="T66" i="32"/>
  <c r="K109" i="32"/>
  <c r="J109" i="32"/>
  <c r="I109" i="32"/>
  <c r="L109" i="32"/>
  <c r="V55" i="32"/>
  <c r="T93" i="32"/>
  <c r="B93" i="32"/>
  <c r="T106" i="32"/>
  <c r="B106" i="32"/>
  <c r="K160" i="32"/>
  <c r="Q160" i="32" s="1"/>
  <c r="V65" i="32"/>
  <c r="K159" i="32"/>
  <c r="Q159" i="32" s="1"/>
  <c r="N47" i="32"/>
  <c r="A48" i="32"/>
  <c r="J164" i="32"/>
  <c r="P164" i="32" s="1"/>
  <c r="I135" i="32"/>
  <c r="K135" i="32"/>
  <c r="J135" i="32"/>
  <c r="L135" i="32"/>
  <c r="I171" i="32"/>
  <c r="O171" i="32" s="1"/>
  <c r="AA69" i="32"/>
  <c r="B53" i="32"/>
  <c r="U53" i="32"/>
  <c r="L52" i="32"/>
  <c r="K52" i="32"/>
  <c r="J52" i="32"/>
  <c r="I52" i="32"/>
  <c r="Y64" i="32"/>
  <c r="G43" i="32"/>
  <c r="U43" i="32" s="1"/>
  <c r="K162" i="32"/>
  <c r="Q162" i="32" s="1"/>
  <c r="Y41" i="32"/>
  <c r="J172" i="32"/>
  <c r="P172" i="32" s="1"/>
  <c r="V52" i="32"/>
  <c r="L143" i="32"/>
  <c r="K143" i="32"/>
  <c r="J143" i="32"/>
  <c r="I143" i="32"/>
  <c r="M125" i="32"/>
  <c r="V45" i="32"/>
  <c r="N154" i="32"/>
  <c r="A155" i="32"/>
  <c r="Y59" i="32"/>
  <c r="A122" i="32"/>
  <c r="D121" i="32"/>
  <c r="N121" i="32"/>
  <c r="E121" i="32"/>
  <c r="C121" i="32"/>
  <c r="F121" i="32"/>
  <c r="W63" i="32"/>
  <c r="L60" i="32"/>
  <c r="K60" i="32"/>
  <c r="J60" i="32"/>
  <c r="I60" i="32"/>
  <c r="L83" i="32"/>
  <c r="K83" i="32"/>
  <c r="J83" i="32"/>
  <c r="I83" i="32"/>
  <c r="M83" i="32" s="1"/>
  <c r="I161" i="32"/>
  <c r="O161" i="32" s="1"/>
  <c r="K56" i="32"/>
  <c r="I56" i="32"/>
  <c r="L56" i="32"/>
  <c r="J56" i="32"/>
  <c r="J175" i="32"/>
  <c r="P175" i="32" s="1"/>
  <c r="I175" i="32"/>
  <c r="O175" i="32" s="1"/>
  <c r="B96" i="32"/>
  <c r="T96" i="32"/>
  <c r="AB49" i="32"/>
  <c r="B68" i="32"/>
  <c r="U68" i="32"/>
  <c r="V68" i="32"/>
  <c r="K92" i="32"/>
  <c r="J92" i="32"/>
  <c r="I92" i="32"/>
  <c r="L92" i="32"/>
  <c r="J94" i="32"/>
  <c r="I94" i="32"/>
  <c r="L94" i="32"/>
  <c r="K94" i="32"/>
  <c r="AA49" i="32"/>
  <c r="K166" i="32"/>
  <c r="Q166" i="32" s="1"/>
  <c r="J166" i="32"/>
  <c r="P166" i="32" s="1"/>
  <c r="I166" i="32"/>
  <c r="O166" i="32" s="1"/>
  <c r="J98" i="32"/>
  <c r="I98" i="32"/>
  <c r="K98" i="32"/>
  <c r="L98" i="32"/>
  <c r="I45" i="32"/>
  <c r="L45" i="32"/>
  <c r="K45" i="32"/>
  <c r="J45" i="32"/>
  <c r="M139" i="32"/>
  <c r="J136" i="32"/>
  <c r="I136" i="32"/>
  <c r="L136" i="32"/>
  <c r="K136" i="32"/>
  <c r="U45" i="32"/>
  <c r="B55" i="32"/>
  <c r="T55" i="32"/>
  <c r="U55" i="32"/>
  <c r="B57" i="32"/>
  <c r="U57" i="32"/>
  <c r="W57" i="32"/>
  <c r="M142" i="32"/>
  <c r="V56" i="32"/>
  <c r="I160" i="32"/>
  <c r="O160" i="32" s="1"/>
  <c r="K62" i="32"/>
  <c r="J62" i="32"/>
  <c r="I62" i="32"/>
  <c r="L62" i="32"/>
  <c r="G48" i="32"/>
  <c r="V48" i="32" s="1"/>
  <c r="Y49" i="32"/>
  <c r="M49" i="32"/>
  <c r="Y69" i="32"/>
  <c r="AA64" i="32"/>
  <c r="I54" i="32"/>
  <c r="K54" i="32"/>
  <c r="L54" i="32"/>
  <c r="J54" i="32"/>
  <c r="J160" i="32"/>
  <c r="P160" i="32" s="1"/>
  <c r="AB41" i="32"/>
  <c r="I140" i="32"/>
  <c r="L140" i="32"/>
  <c r="K140" i="32"/>
  <c r="J140" i="32"/>
  <c r="L67" i="32"/>
  <c r="K67" i="32"/>
  <c r="J67" i="32"/>
  <c r="I67" i="32"/>
  <c r="I157" i="32"/>
  <c r="U60" i="32"/>
  <c r="J174" i="32"/>
  <c r="P174" i="32" s="1"/>
  <c r="I174" i="32"/>
  <c r="O174" i="32" s="1"/>
  <c r="L174" i="32"/>
  <c r="R174" i="32" s="1"/>
  <c r="G46" i="32"/>
  <c r="U46" i="32" s="1"/>
  <c r="G47" i="32"/>
  <c r="V47" i="32" s="1"/>
  <c r="T47" i="32"/>
  <c r="AB59" i="32"/>
  <c r="J171" i="32"/>
  <c r="P171" i="32" s="1"/>
  <c r="M167" i="32"/>
  <c r="M152" i="32"/>
  <c r="T108" i="32"/>
  <c r="B108" i="32"/>
  <c r="AB69" i="32"/>
  <c r="Z49" i="32"/>
  <c r="Z64" i="32"/>
  <c r="T102" i="32"/>
  <c r="B102" i="32"/>
  <c r="U63" i="32"/>
  <c r="M144" i="32"/>
  <c r="Z41" i="32"/>
  <c r="B101" i="32"/>
  <c r="T101" i="32"/>
  <c r="M124" i="32"/>
  <c r="T63" i="32"/>
  <c r="M59" i="32"/>
  <c r="W50" i="32"/>
  <c r="M69" i="32"/>
  <c r="U58" i="32"/>
  <c r="V53" i="32"/>
  <c r="M131" i="32"/>
  <c r="M64" i="32"/>
  <c r="W56" i="32"/>
  <c r="B91" i="32"/>
  <c r="T91" i="32"/>
  <c r="B61" i="32"/>
  <c r="U61" i="32"/>
  <c r="W61" i="32"/>
  <c r="M82" i="32"/>
  <c r="AA41" i="32"/>
  <c r="W58" i="32"/>
  <c r="G44" i="32"/>
  <c r="V44" i="32" s="1"/>
  <c r="M158" i="32"/>
  <c r="L165" i="32"/>
  <c r="R165" i="32" s="1"/>
  <c r="K165" i="32"/>
  <c r="Q165" i="32" s="1"/>
  <c r="T68" i="32"/>
  <c r="W45" i="32"/>
  <c r="M163" i="32"/>
  <c r="J176" i="32"/>
  <c r="P176" i="32" s="1"/>
  <c r="T92" i="32"/>
  <c r="T94" i="32"/>
  <c r="M51" i="32" l="1"/>
  <c r="M177" i="32"/>
  <c r="M159" i="32"/>
  <c r="M109" i="32"/>
  <c r="M99" i="32"/>
  <c r="M65" i="32"/>
  <c r="M140" i="32"/>
  <c r="T43" i="32"/>
  <c r="M92" i="32"/>
  <c r="M103" i="32"/>
  <c r="M136" i="32"/>
  <c r="M176" i="32"/>
  <c r="M169" i="32"/>
  <c r="AB67" i="32"/>
  <c r="U48" i="32"/>
  <c r="K55" i="32"/>
  <c r="J55" i="32"/>
  <c r="I55" i="32"/>
  <c r="L55" i="32"/>
  <c r="K104" i="32"/>
  <c r="J104" i="32"/>
  <c r="I104" i="32"/>
  <c r="L104" i="32"/>
  <c r="A88" i="32"/>
  <c r="N87" i="32"/>
  <c r="C87" i="32"/>
  <c r="E87" i="32"/>
  <c r="F87" i="32"/>
  <c r="D87" i="32"/>
  <c r="M165" i="32"/>
  <c r="AB56" i="32"/>
  <c r="AB60" i="32"/>
  <c r="A156" i="32"/>
  <c r="N155" i="32"/>
  <c r="Y52" i="32"/>
  <c r="Z63" i="32"/>
  <c r="L46" i="32"/>
  <c r="R67" i="32" s="1"/>
  <c r="K46" i="32"/>
  <c r="Q62" i="32" s="1"/>
  <c r="I46" i="32"/>
  <c r="O63" i="32" s="1"/>
  <c r="J46" i="32"/>
  <c r="P51" i="32" s="1"/>
  <c r="V46" i="32"/>
  <c r="Y62" i="32"/>
  <c r="Y56" i="32"/>
  <c r="Y66" i="32"/>
  <c r="T46" i="32"/>
  <c r="AA45" i="32"/>
  <c r="M166" i="32"/>
  <c r="AA56" i="32"/>
  <c r="AA52" i="32"/>
  <c r="L106" i="32"/>
  <c r="K106" i="32"/>
  <c r="J106" i="32"/>
  <c r="I106" i="32"/>
  <c r="Z66" i="32"/>
  <c r="K58" i="32"/>
  <c r="J58" i="32"/>
  <c r="I58" i="32"/>
  <c r="L58" i="32"/>
  <c r="K91" i="32"/>
  <c r="J91" i="32"/>
  <c r="I91" i="32"/>
  <c r="L91" i="32"/>
  <c r="W46" i="32"/>
  <c r="Y67" i="32"/>
  <c r="AA54" i="32"/>
  <c r="AA62" i="32"/>
  <c r="AB45" i="32"/>
  <c r="M175" i="32"/>
  <c r="M56" i="32"/>
  <c r="AB52" i="32"/>
  <c r="AA66" i="32"/>
  <c r="I50" i="32"/>
  <c r="L50" i="32"/>
  <c r="K50" i="32"/>
  <c r="J50" i="32"/>
  <c r="M170" i="32"/>
  <c r="M67" i="32"/>
  <c r="Y54" i="32"/>
  <c r="M62" i="32"/>
  <c r="L57" i="32"/>
  <c r="J57" i="32"/>
  <c r="K57" i="32"/>
  <c r="I57" i="32"/>
  <c r="Y45" i="32"/>
  <c r="M45" i="32"/>
  <c r="N122" i="32"/>
  <c r="A123" i="32"/>
  <c r="C122" i="32"/>
  <c r="E122" i="32"/>
  <c r="F122" i="32"/>
  <c r="D122" i="32"/>
  <c r="B122" i="32"/>
  <c r="L43" i="32"/>
  <c r="K43" i="32"/>
  <c r="J43" i="32"/>
  <c r="I43" i="32"/>
  <c r="V43" i="32"/>
  <c r="W43" i="32"/>
  <c r="M52" i="32"/>
  <c r="M135" i="32"/>
  <c r="N48" i="32"/>
  <c r="A49" i="32"/>
  <c r="L93" i="32"/>
  <c r="K93" i="32"/>
  <c r="J93" i="32"/>
  <c r="I93" i="32"/>
  <c r="M97" i="32"/>
  <c r="AB66" i="32"/>
  <c r="Z51" i="32"/>
  <c r="M161" i="32"/>
  <c r="L101" i="32"/>
  <c r="K101" i="32"/>
  <c r="J101" i="32"/>
  <c r="I101" i="32"/>
  <c r="L48" i="32"/>
  <c r="I48" i="32"/>
  <c r="K48" i="32"/>
  <c r="J48" i="32"/>
  <c r="W48" i="32"/>
  <c r="L53" i="32"/>
  <c r="K53" i="32"/>
  <c r="J53" i="32"/>
  <c r="I53" i="32"/>
  <c r="Z54" i="32"/>
  <c r="G121" i="32"/>
  <c r="L61" i="32"/>
  <c r="J61" i="32"/>
  <c r="K61" i="32"/>
  <c r="I61" i="32"/>
  <c r="AB54" i="32"/>
  <c r="AB63" i="32"/>
  <c r="Z56" i="32"/>
  <c r="AA60" i="32"/>
  <c r="Z65" i="32"/>
  <c r="AA63" i="32"/>
  <c r="J47" i="32"/>
  <c r="I47" i="32"/>
  <c r="K47" i="32"/>
  <c r="L47" i="32"/>
  <c r="W47" i="32"/>
  <c r="AB62" i="32"/>
  <c r="L96" i="32"/>
  <c r="K96" i="32"/>
  <c r="I96" i="32"/>
  <c r="J96" i="32"/>
  <c r="M128" i="32"/>
  <c r="M164" i="32"/>
  <c r="AB65" i="32"/>
  <c r="Z45" i="32"/>
  <c r="M60" i="32"/>
  <c r="M143" i="32"/>
  <c r="Z52" i="32"/>
  <c r="I44" i="32"/>
  <c r="J44" i="32"/>
  <c r="K44" i="32"/>
  <c r="L44" i="32"/>
  <c r="T44" i="32"/>
  <c r="W44" i="32"/>
  <c r="U44" i="32"/>
  <c r="M157" i="32"/>
  <c r="O157" i="32"/>
  <c r="M54" i="32"/>
  <c r="Z62" i="32"/>
  <c r="M98" i="32"/>
  <c r="M162" i="32"/>
  <c r="AA51" i="32"/>
  <c r="L102" i="32"/>
  <c r="K102" i="32"/>
  <c r="J102" i="32"/>
  <c r="I102" i="32"/>
  <c r="Z67" i="32"/>
  <c r="M160" i="32"/>
  <c r="Y60" i="32"/>
  <c r="M171" i="32"/>
  <c r="M66" i="32"/>
  <c r="AB51" i="32"/>
  <c r="U47" i="32"/>
  <c r="I107" i="32"/>
  <c r="J107" i="32"/>
  <c r="L107" i="32"/>
  <c r="K107" i="32"/>
  <c r="AA65" i="32"/>
  <c r="M63" i="32"/>
  <c r="L108" i="32"/>
  <c r="K108" i="32"/>
  <c r="J108" i="32"/>
  <c r="I108" i="32"/>
  <c r="M174" i="32"/>
  <c r="AA67" i="32"/>
  <c r="T48" i="32"/>
  <c r="M94" i="32"/>
  <c r="K68" i="32"/>
  <c r="J68" i="32"/>
  <c r="I68" i="32"/>
  <c r="L68" i="32"/>
  <c r="Z60" i="32"/>
  <c r="M172" i="32"/>
  <c r="Y51" i="32"/>
  <c r="Y65" i="32"/>
  <c r="Y63" i="32"/>
  <c r="R54" i="32" l="1"/>
  <c r="R66" i="32"/>
  <c r="P52" i="32"/>
  <c r="O60" i="32"/>
  <c r="Q54" i="32"/>
  <c r="M55" i="32"/>
  <c r="M107" i="32"/>
  <c r="O67" i="32"/>
  <c r="O65" i="32"/>
  <c r="O51" i="32"/>
  <c r="Q60" i="32"/>
  <c r="Q65" i="32"/>
  <c r="R51" i="32"/>
  <c r="Q56" i="32"/>
  <c r="O62" i="32"/>
  <c r="M53" i="32"/>
  <c r="O66" i="32"/>
  <c r="Q52" i="32"/>
  <c r="R65" i="32"/>
  <c r="R45" i="32"/>
  <c r="P66" i="32"/>
  <c r="O52" i="32"/>
  <c r="R63" i="32"/>
  <c r="Q66" i="32"/>
  <c r="AA68" i="32"/>
  <c r="Q68" i="32"/>
  <c r="R61" i="32"/>
  <c r="AB61" i="32"/>
  <c r="Q48" i="32"/>
  <c r="AA48" i="32"/>
  <c r="Y50" i="32"/>
  <c r="O50" i="32"/>
  <c r="N88" i="32"/>
  <c r="E88" i="32"/>
  <c r="A89" i="32"/>
  <c r="D88" i="32"/>
  <c r="C88" i="32"/>
  <c r="F88" i="32"/>
  <c r="B88" i="32"/>
  <c r="AA53" i="32"/>
  <c r="Q53" i="32"/>
  <c r="O57" i="32"/>
  <c r="Y57" i="32"/>
  <c r="R55" i="32"/>
  <c r="AB55" i="32"/>
  <c r="R53" i="32"/>
  <c r="AB53" i="32"/>
  <c r="Z46" i="32"/>
  <c r="P46" i="32"/>
  <c r="P49" i="32"/>
  <c r="P42" i="32"/>
  <c r="P69" i="32"/>
  <c r="P59" i="32"/>
  <c r="P41" i="32"/>
  <c r="P64" i="32"/>
  <c r="P60" i="32"/>
  <c r="O47" i="32"/>
  <c r="Y47" i="32"/>
  <c r="M47" i="32"/>
  <c r="G122" i="32"/>
  <c r="I122" i="32" s="1"/>
  <c r="R58" i="32"/>
  <c r="AB58" i="32"/>
  <c r="Z55" i="32"/>
  <c r="P55" i="32"/>
  <c r="AB68" i="32"/>
  <c r="R68" i="32"/>
  <c r="R44" i="32"/>
  <c r="AB44" i="32"/>
  <c r="Z47" i="32"/>
  <c r="P47" i="32"/>
  <c r="O61" i="32"/>
  <c r="Y61" i="32"/>
  <c r="P54" i="32"/>
  <c r="M93" i="32"/>
  <c r="N123" i="32"/>
  <c r="A124" i="32"/>
  <c r="F123" i="32"/>
  <c r="D123" i="32"/>
  <c r="E123" i="32"/>
  <c r="C123" i="32"/>
  <c r="B123" i="32"/>
  <c r="M50" i="32"/>
  <c r="Y58" i="32"/>
  <c r="O58" i="32"/>
  <c r="AA46" i="32"/>
  <c r="Q46" i="32"/>
  <c r="Q42" i="32"/>
  <c r="Q64" i="32"/>
  <c r="Q59" i="32"/>
  <c r="Q41" i="32"/>
  <c r="Q49" i="32"/>
  <c r="Q69" i="32"/>
  <c r="M68" i="32"/>
  <c r="P67" i="32"/>
  <c r="AA44" i="32"/>
  <c r="Q44" i="32"/>
  <c r="AA43" i="32"/>
  <c r="Q43" i="32"/>
  <c r="AB57" i="32"/>
  <c r="R57" i="32"/>
  <c r="P58" i="32"/>
  <c r="Z58" i="32"/>
  <c r="Y68" i="32"/>
  <c r="O68" i="32"/>
  <c r="Q67" i="32"/>
  <c r="Z44" i="32"/>
  <c r="P44" i="32"/>
  <c r="R62" i="32"/>
  <c r="Q63" i="32"/>
  <c r="P56" i="32"/>
  <c r="M61" i="32"/>
  <c r="R43" i="32"/>
  <c r="AB43" i="32"/>
  <c r="AA50" i="32"/>
  <c r="Q50" i="32"/>
  <c r="Q58" i="32"/>
  <c r="AA58" i="32"/>
  <c r="G87" i="32"/>
  <c r="P53" i="32"/>
  <c r="Z53" i="32"/>
  <c r="M102" i="32"/>
  <c r="AB47" i="32"/>
  <c r="R47" i="32"/>
  <c r="O48" i="32"/>
  <c r="Y48" i="32"/>
  <c r="M48" i="32"/>
  <c r="Q47" i="32"/>
  <c r="AA47" i="32"/>
  <c r="AB48" i="32"/>
  <c r="R48" i="32"/>
  <c r="AA57" i="32"/>
  <c r="Q57" i="32"/>
  <c r="O55" i="32"/>
  <c r="Y55" i="32"/>
  <c r="K121" i="32"/>
  <c r="L121" i="32"/>
  <c r="J121" i="32"/>
  <c r="I121" i="32"/>
  <c r="Y43" i="32"/>
  <c r="O43" i="32"/>
  <c r="M43" i="32"/>
  <c r="M57" i="32"/>
  <c r="O46" i="32"/>
  <c r="Y46" i="32"/>
  <c r="M46" i="32"/>
  <c r="O42" i="32"/>
  <c r="O59" i="32"/>
  <c r="O64" i="32"/>
  <c r="O49" i="32"/>
  <c r="O69" i="32"/>
  <c r="O41" i="32"/>
  <c r="A157" i="32"/>
  <c r="N156" i="32"/>
  <c r="M96" i="32"/>
  <c r="Z43" i="32"/>
  <c r="P43" i="32"/>
  <c r="Z57" i="32"/>
  <c r="P57" i="32"/>
  <c r="M106" i="32"/>
  <c r="O56" i="32"/>
  <c r="Q55" i="32"/>
  <c r="AA55" i="32"/>
  <c r="M108" i="32"/>
  <c r="Q51" i="32"/>
  <c r="P62" i="32"/>
  <c r="AA61" i="32"/>
  <c r="Q61" i="32"/>
  <c r="A50" i="32"/>
  <c r="N49" i="32"/>
  <c r="P50" i="32"/>
  <c r="Z50" i="32"/>
  <c r="R46" i="32"/>
  <c r="AB46" i="32"/>
  <c r="R42" i="32"/>
  <c r="R64" i="32"/>
  <c r="R59" i="32"/>
  <c r="R41" i="32"/>
  <c r="R69" i="32"/>
  <c r="R49" i="32"/>
  <c r="R60" i="32"/>
  <c r="M104" i="32"/>
  <c r="Z68" i="32"/>
  <c r="P68" i="32"/>
  <c r="Y44" i="32"/>
  <c r="O44" i="32"/>
  <c r="M44" i="32"/>
  <c r="P45" i="32"/>
  <c r="P65" i="32"/>
  <c r="Z61" i="32"/>
  <c r="P61" i="32"/>
  <c r="Y53" i="32"/>
  <c r="O53" i="32"/>
  <c r="P48" i="32"/>
  <c r="Z48" i="32"/>
  <c r="M101" i="32"/>
  <c r="J122" i="32"/>
  <c r="L122" i="32"/>
  <c r="K122" i="32"/>
  <c r="O45" i="32"/>
  <c r="O54" i="32"/>
  <c r="R50" i="32"/>
  <c r="AB50" i="32"/>
  <c r="R52" i="32"/>
  <c r="M91" i="32"/>
  <c r="M58" i="32"/>
  <c r="Q45" i="32"/>
  <c r="P63" i="32"/>
  <c r="R56" i="32"/>
  <c r="P122" i="32" l="1"/>
  <c r="M122" i="32"/>
  <c r="G123" i="32"/>
  <c r="L123" i="32" s="1"/>
  <c r="R123" i="32" s="1"/>
  <c r="O121" i="32"/>
  <c r="O118" i="32"/>
  <c r="O124" i="32"/>
  <c r="O129" i="32"/>
  <c r="O139" i="32"/>
  <c r="O134" i="32"/>
  <c r="O119" i="32"/>
  <c r="M121" i="32"/>
  <c r="O126" i="32"/>
  <c r="O130" i="32"/>
  <c r="O132" i="32"/>
  <c r="O125" i="32"/>
  <c r="O138" i="32"/>
  <c r="O141" i="32"/>
  <c r="O131" i="32"/>
  <c r="O133" i="32"/>
  <c r="O137" i="32"/>
  <c r="O127" i="32"/>
  <c r="O144" i="32"/>
  <c r="O142" i="32"/>
  <c r="O120" i="32"/>
  <c r="O135" i="32"/>
  <c r="O140" i="32"/>
  <c r="O128" i="32"/>
  <c r="O136" i="32"/>
  <c r="O143" i="32"/>
  <c r="O122" i="32"/>
  <c r="Q121" i="32"/>
  <c r="Q119" i="32"/>
  <c r="Q129" i="32"/>
  <c r="Q118" i="32"/>
  <c r="Q120" i="32"/>
  <c r="Q134" i="32"/>
  <c r="Q130" i="32"/>
  <c r="Q144" i="32"/>
  <c r="Q132" i="32"/>
  <c r="Q131" i="32"/>
  <c r="Q125" i="32"/>
  <c r="Q141" i="32"/>
  <c r="Q133" i="32"/>
  <c r="Q139" i="32"/>
  <c r="Q127" i="32"/>
  <c r="Q124" i="32"/>
  <c r="Q142" i="32"/>
  <c r="Q126" i="32"/>
  <c r="Q137" i="32"/>
  <c r="Q138" i="32"/>
  <c r="Q135" i="32"/>
  <c r="Q140" i="32"/>
  <c r="Q143" i="32"/>
  <c r="Q128" i="32"/>
  <c r="Q136" i="32"/>
  <c r="K123" i="32"/>
  <c r="Q123" i="32" s="1"/>
  <c r="N89" i="32"/>
  <c r="A90" i="32"/>
  <c r="D89" i="32"/>
  <c r="E89" i="32"/>
  <c r="F89" i="32"/>
  <c r="C89" i="32"/>
  <c r="B89" i="32"/>
  <c r="P121" i="32"/>
  <c r="P119" i="32"/>
  <c r="P129" i="32"/>
  <c r="P118" i="32"/>
  <c r="P134" i="32"/>
  <c r="P139" i="32"/>
  <c r="P144" i="32"/>
  <c r="P124" i="32"/>
  <c r="P130" i="32"/>
  <c r="P125" i="32"/>
  <c r="P131" i="32"/>
  <c r="P120" i="32"/>
  <c r="P133" i="32"/>
  <c r="P137" i="32"/>
  <c r="P127" i="32"/>
  <c r="P132" i="32"/>
  <c r="P138" i="32"/>
  <c r="P126" i="32"/>
  <c r="P141" i="32"/>
  <c r="P142" i="32"/>
  <c r="P140" i="32"/>
  <c r="P135" i="32"/>
  <c r="P136" i="32"/>
  <c r="P128" i="32"/>
  <c r="P143" i="32"/>
  <c r="Q122" i="32"/>
  <c r="T87" i="32"/>
  <c r="B87" i="32"/>
  <c r="A125" i="32"/>
  <c r="N124" i="32"/>
  <c r="A158" i="32"/>
  <c r="N157" i="32"/>
  <c r="R121" i="32"/>
  <c r="R124" i="32"/>
  <c r="R119" i="32"/>
  <c r="R129" i="32"/>
  <c r="R118" i="32"/>
  <c r="R125" i="32"/>
  <c r="R142" i="32"/>
  <c r="R132" i="32"/>
  <c r="R139" i="32"/>
  <c r="R120" i="32"/>
  <c r="R131" i="32"/>
  <c r="R137" i="32"/>
  <c r="R127" i="32"/>
  <c r="R133" i="32"/>
  <c r="R126" i="32"/>
  <c r="R144" i="32"/>
  <c r="R141" i="32"/>
  <c r="R134" i="32"/>
  <c r="R130" i="32"/>
  <c r="R138" i="32"/>
  <c r="R136" i="32"/>
  <c r="R135" i="32"/>
  <c r="R128" i="32"/>
  <c r="R143" i="32"/>
  <c r="R140" i="32"/>
  <c r="R122" i="32"/>
  <c r="N50" i="32"/>
  <c r="A51" i="32"/>
  <c r="G88" i="32"/>
  <c r="T88" i="32" s="1"/>
  <c r="I123" i="32" l="1"/>
  <c r="O123" i="32" s="1"/>
  <c r="K88" i="32"/>
  <c r="Q88" i="32" s="1"/>
  <c r="J123" i="32"/>
  <c r="P123" i="32" s="1"/>
  <c r="L88" i="32"/>
  <c r="I88" i="32"/>
  <c r="N158" i="32"/>
  <c r="A159" i="32"/>
  <c r="G89" i="32"/>
  <c r="K89" i="32" s="1"/>
  <c r="N90" i="32"/>
  <c r="A91" i="32"/>
  <c r="N125" i="32"/>
  <c r="A126" i="32"/>
  <c r="N51" i="32"/>
  <c r="A52" i="32"/>
  <c r="L87" i="32"/>
  <c r="K87" i="32"/>
  <c r="J87" i="32"/>
  <c r="I87" i="32"/>
  <c r="J88" i="32"/>
  <c r="P88" i="32" s="1"/>
  <c r="M87" i="32" l="1"/>
  <c r="R88" i="32"/>
  <c r="Q89" i="32"/>
  <c r="M123" i="32"/>
  <c r="A127" i="32"/>
  <c r="N126" i="32"/>
  <c r="O87" i="32"/>
  <c r="O86" i="32"/>
  <c r="O110" i="32"/>
  <c r="O95" i="32"/>
  <c r="O105" i="32"/>
  <c r="O82" i="32"/>
  <c r="O84" i="32"/>
  <c r="O90" i="32"/>
  <c r="O85" i="32"/>
  <c r="O100" i="32"/>
  <c r="O109" i="32"/>
  <c r="O103" i="32"/>
  <c r="O97" i="32"/>
  <c r="O83" i="32"/>
  <c r="O99" i="32"/>
  <c r="O94" i="32"/>
  <c r="O92" i="32"/>
  <c r="O98" i="32"/>
  <c r="O93" i="32"/>
  <c r="O108" i="32"/>
  <c r="O104" i="32"/>
  <c r="O107" i="32"/>
  <c r="O102" i="32"/>
  <c r="O91" i="32"/>
  <c r="O96" i="32"/>
  <c r="O106" i="32"/>
  <c r="O101" i="32"/>
  <c r="N91" i="32"/>
  <c r="A92" i="32"/>
  <c r="P87" i="32"/>
  <c r="P86" i="32"/>
  <c r="P110" i="32"/>
  <c r="P105" i="32"/>
  <c r="P95" i="32"/>
  <c r="P82" i="32"/>
  <c r="P90" i="32"/>
  <c r="P84" i="32"/>
  <c r="P85" i="32"/>
  <c r="P100" i="32"/>
  <c r="P83" i="32"/>
  <c r="P92" i="32"/>
  <c r="P98" i="32"/>
  <c r="P109" i="32"/>
  <c r="P103" i="32"/>
  <c r="P97" i="32"/>
  <c r="P94" i="32"/>
  <c r="P99" i="32"/>
  <c r="P96" i="32"/>
  <c r="P107" i="32"/>
  <c r="P108" i="32"/>
  <c r="P106" i="32"/>
  <c r="P93" i="32"/>
  <c r="P91" i="32"/>
  <c r="P104" i="32"/>
  <c r="P102" i="32"/>
  <c r="P101" i="32"/>
  <c r="Q87" i="32"/>
  <c r="Q95" i="32"/>
  <c r="Q110" i="32"/>
  <c r="Q105" i="32"/>
  <c r="Q86" i="32"/>
  <c r="Q85" i="32"/>
  <c r="Q82" i="32"/>
  <c r="Q90" i="32"/>
  <c r="Q100" i="32"/>
  <c r="Q84" i="32"/>
  <c r="Q109" i="32"/>
  <c r="Q94" i="32"/>
  <c r="Q99" i="32"/>
  <c r="Q98" i="32"/>
  <c r="Q83" i="32"/>
  <c r="Q97" i="32"/>
  <c r="Q103" i="32"/>
  <c r="Q92" i="32"/>
  <c r="Q91" i="32"/>
  <c r="Q106" i="32"/>
  <c r="Q96" i="32"/>
  <c r="Q102" i="32"/>
  <c r="Q108" i="32"/>
  <c r="Q107" i="32"/>
  <c r="Q104" i="32"/>
  <c r="Q93" i="32"/>
  <c r="Q101" i="32"/>
  <c r="T89" i="32"/>
  <c r="T90" i="32"/>
  <c r="R87" i="32"/>
  <c r="R105" i="32"/>
  <c r="R110" i="32"/>
  <c r="R86" i="32"/>
  <c r="R95" i="32"/>
  <c r="R85" i="32"/>
  <c r="R84" i="32"/>
  <c r="R82" i="32"/>
  <c r="R100" i="32"/>
  <c r="R90" i="32"/>
  <c r="R99" i="32"/>
  <c r="R103" i="32"/>
  <c r="R98" i="32"/>
  <c r="R109" i="32"/>
  <c r="R83" i="32"/>
  <c r="R92" i="32"/>
  <c r="R97" i="32"/>
  <c r="R94" i="32"/>
  <c r="R101" i="32"/>
  <c r="R102" i="32"/>
  <c r="R104" i="32"/>
  <c r="R108" i="32"/>
  <c r="R96" i="32"/>
  <c r="R91" i="32"/>
  <c r="R106" i="32"/>
  <c r="R93" i="32"/>
  <c r="R107" i="32"/>
  <c r="I89" i="32"/>
  <c r="A160" i="32"/>
  <c r="N159" i="32"/>
  <c r="N52" i="32"/>
  <c r="A53" i="32"/>
  <c r="J89" i="32"/>
  <c r="P89" i="32" s="1"/>
  <c r="L89" i="32"/>
  <c r="R89" i="32" s="1"/>
  <c r="O88" i="32"/>
  <c r="S88" i="32" s="1"/>
  <c r="M88" i="32"/>
  <c r="S95" i="32" l="1"/>
  <c r="S83" i="32"/>
  <c r="S82" i="32"/>
  <c r="S107" i="32"/>
  <c r="S105" i="32"/>
  <c r="S108" i="32"/>
  <c r="S104" i="32"/>
  <c r="S109" i="32"/>
  <c r="A161" i="32"/>
  <c r="N160" i="32"/>
  <c r="S106" i="32"/>
  <c r="S98" i="32"/>
  <c r="S100" i="32"/>
  <c r="S86" i="32"/>
  <c r="O89" i="32"/>
  <c r="S89" i="32" s="1"/>
  <c r="M89" i="32"/>
  <c r="S96" i="32"/>
  <c r="S92" i="32"/>
  <c r="S85" i="32"/>
  <c r="S87" i="32"/>
  <c r="N53" i="32"/>
  <c r="A54" i="32"/>
  <c r="S103" i="32"/>
  <c r="N92" i="32"/>
  <c r="A93" i="32"/>
  <c r="S97" i="32"/>
  <c r="S101" i="32"/>
  <c r="S93" i="32"/>
  <c r="S110" i="32"/>
  <c r="S91" i="32"/>
  <c r="S94" i="32"/>
  <c r="S90" i="32"/>
  <c r="S102" i="32"/>
  <c r="S99" i="32"/>
  <c r="S84" i="32"/>
  <c r="N127" i="32"/>
  <c r="A128" i="32"/>
  <c r="N54" i="32" l="1"/>
  <c r="A55" i="32"/>
  <c r="N128" i="32"/>
  <c r="A129" i="32"/>
  <c r="A94" i="32"/>
  <c r="N93" i="32"/>
  <c r="A162" i="32"/>
  <c r="N161" i="32"/>
  <c r="N162" i="32" l="1"/>
  <c r="A163" i="32"/>
  <c r="A95" i="32"/>
  <c r="N94" i="32"/>
  <c r="N129" i="32"/>
  <c r="A130" i="32"/>
  <c r="N55" i="32"/>
  <c r="A56" i="32"/>
  <c r="N56" i="32" l="1"/>
  <c r="A57" i="32"/>
  <c r="N130" i="32"/>
  <c r="A131" i="32"/>
  <c r="A96" i="32"/>
  <c r="N95" i="32"/>
  <c r="A164" i="32"/>
  <c r="N163" i="32"/>
  <c r="N57" i="32" l="1"/>
  <c r="A58" i="32"/>
  <c r="A165" i="32"/>
  <c r="N164" i="32"/>
  <c r="N96" i="32"/>
  <c r="A97" i="32"/>
  <c r="N131" i="32"/>
  <c r="A132" i="32"/>
  <c r="N132" i="32" l="1"/>
  <c r="A133" i="32"/>
  <c r="A98" i="32"/>
  <c r="N97" i="32"/>
  <c r="A166" i="32"/>
  <c r="N165" i="32"/>
  <c r="A59" i="32"/>
  <c r="N58" i="32"/>
  <c r="N59" i="32" l="1"/>
  <c r="A60" i="32"/>
  <c r="N166" i="32"/>
  <c r="A167" i="32"/>
  <c r="A99" i="32"/>
  <c r="N98" i="32"/>
  <c r="A134" i="32"/>
  <c r="N133" i="32"/>
  <c r="N134" i="32" l="1"/>
  <c r="A135" i="32"/>
  <c r="A168" i="32"/>
  <c r="N167" i="32"/>
  <c r="N99" i="32"/>
  <c r="A100" i="32"/>
  <c r="A61" i="32"/>
  <c r="N60" i="32"/>
  <c r="A101" i="32" l="1"/>
  <c r="N100" i="32"/>
  <c r="A169" i="32"/>
  <c r="N168" i="32"/>
  <c r="N61" i="32"/>
  <c r="A62" i="32"/>
  <c r="A136" i="32"/>
  <c r="N135" i="32"/>
  <c r="A137" i="32" l="1"/>
  <c r="N136" i="32"/>
  <c r="A63" i="32"/>
  <c r="N62" i="32"/>
  <c r="A170" i="32"/>
  <c r="N169" i="32"/>
  <c r="N101" i="32"/>
  <c r="A102" i="32"/>
  <c r="N170" i="32" l="1"/>
  <c r="A171" i="32"/>
  <c r="A64" i="32"/>
  <c r="N63" i="32"/>
  <c r="N102" i="32"/>
  <c r="A103" i="32"/>
  <c r="A138" i="32"/>
  <c r="N137" i="32"/>
  <c r="N103" i="32" l="1"/>
  <c r="A104" i="32"/>
  <c r="N138" i="32"/>
  <c r="A139" i="32"/>
  <c r="N64" i="32"/>
  <c r="A65" i="32"/>
  <c r="A172" i="32"/>
  <c r="N171" i="32"/>
  <c r="N172" i="32" l="1"/>
  <c r="A173" i="32"/>
  <c r="N65" i="32"/>
  <c r="A66" i="32"/>
  <c r="N139" i="32"/>
  <c r="A140" i="32"/>
  <c r="N104" i="32"/>
  <c r="A105" i="32"/>
  <c r="N105" i="32" l="1"/>
  <c r="A106" i="32"/>
  <c r="A141" i="32"/>
  <c r="N140" i="32"/>
  <c r="A67" i="32"/>
  <c r="N66" i="32"/>
  <c r="A174" i="32"/>
  <c r="N173" i="32"/>
  <c r="N174" i="32" l="1"/>
  <c r="A175" i="32"/>
  <c r="A68" i="32"/>
  <c r="N67" i="32"/>
  <c r="N141" i="32"/>
  <c r="A142" i="32"/>
  <c r="N106" i="32"/>
  <c r="A107" i="32"/>
  <c r="N107" i="32" l="1"/>
  <c r="A108" i="32"/>
  <c r="A143" i="32"/>
  <c r="N142" i="32"/>
  <c r="A69" i="32"/>
  <c r="N69" i="32" s="1"/>
  <c r="N68" i="32"/>
  <c r="A176" i="32"/>
  <c r="N175" i="32"/>
  <c r="N176" i="32" l="1"/>
  <c r="A177" i="32"/>
  <c r="A144" i="32"/>
  <c r="N144" i="32" s="1"/>
  <c r="N143" i="32"/>
  <c r="N108" i="32"/>
  <c r="A109" i="32"/>
  <c r="A110" i="32" l="1"/>
  <c r="N110" i="32" s="1"/>
  <c r="N109" i="32"/>
  <c r="N177" i="32"/>
  <c r="A178" i="32"/>
  <c r="N178" i="32" s="1"/>
  <c r="C35" i="29" l="1"/>
  <c r="B35" i="29"/>
  <c r="F36" i="29"/>
  <c r="F37" i="29"/>
  <c r="F38" i="29"/>
  <c r="F39" i="29"/>
  <c r="F35" i="29"/>
  <c r="C4" i="19" l="1"/>
  <c r="D4" i="19"/>
  <c r="E4" i="19"/>
  <c r="C5" i="19"/>
  <c r="D5" i="19"/>
  <c r="E5" i="19"/>
  <c r="C6" i="19"/>
  <c r="D6" i="19"/>
  <c r="E6" i="19"/>
  <c r="C7" i="19"/>
  <c r="D7" i="19"/>
  <c r="E7" i="19"/>
  <c r="C8" i="19"/>
  <c r="D8" i="19"/>
  <c r="E8" i="19"/>
  <c r="C9" i="19"/>
  <c r="D9" i="19"/>
  <c r="E9"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C21" i="19"/>
  <c r="D21" i="19"/>
  <c r="E21" i="19"/>
  <c r="C22" i="19"/>
  <c r="D22" i="19"/>
  <c r="E22" i="19"/>
  <c r="C23" i="19"/>
  <c r="D23" i="19"/>
  <c r="E23" i="19"/>
  <c r="C24" i="19"/>
  <c r="D24" i="19"/>
  <c r="E24" i="19"/>
  <c r="C25" i="19"/>
  <c r="D25" i="19"/>
  <c r="E25" i="19"/>
  <c r="C26" i="19"/>
  <c r="D26" i="19"/>
  <c r="E26" i="19"/>
  <c r="B5" i="19"/>
  <c r="B6" i="19"/>
  <c r="B7" i="19"/>
  <c r="B8" i="19"/>
  <c r="B9" i="19"/>
  <c r="B10" i="19"/>
  <c r="B11" i="19"/>
  <c r="B12" i="19"/>
  <c r="B13" i="19"/>
  <c r="B14" i="19"/>
  <c r="B15" i="19"/>
  <c r="B16" i="19"/>
  <c r="B17" i="19"/>
  <c r="B18" i="19"/>
  <c r="B19" i="19"/>
  <c r="B20" i="19"/>
  <c r="B21" i="19"/>
  <c r="B22" i="19"/>
  <c r="B23" i="19"/>
  <c r="B24" i="19"/>
  <c r="B25" i="19"/>
  <c r="B26" i="19"/>
  <c r="B4" i="19"/>
  <c r="B5" i="20"/>
  <c r="C5" i="20"/>
  <c r="D5" i="20"/>
  <c r="E5" i="20"/>
  <c r="B6" i="20"/>
  <c r="C6" i="20"/>
  <c r="D6" i="20"/>
  <c r="E6" i="20"/>
  <c r="B7" i="20"/>
  <c r="C7" i="20"/>
  <c r="D7" i="20"/>
  <c r="E7" i="20"/>
  <c r="B8" i="20"/>
  <c r="C8" i="20"/>
  <c r="D8" i="20"/>
  <c r="E8" i="20"/>
  <c r="B9" i="20"/>
  <c r="C9" i="20"/>
  <c r="D9" i="20"/>
  <c r="E9" i="20"/>
  <c r="B10" i="20"/>
  <c r="C10" i="20"/>
  <c r="D10" i="20"/>
  <c r="E10" i="20"/>
  <c r="B11" i="20"/>
  <c r="C11" i="20"/>
  <c r="D11" i="20"/>
  <c r="E11" i="20"/>
  <c r="B12" i="20"/>
  <c r="C12" i="20"/>
  <c r="D12" i="20"/>
  <c r="E12" i="20"/>
  <c r="B13" i="20"/>
  <c r="C13" i="20"/>
  <c r="D13" i="20"/>
  <c r="E13" i="20"/>
  <c r="B14" i="20"/>
  <c r="C14" i="20"/>
  <c r="D14" i="20"/>
  <c r="E14" i="20"/>
  <c r="B15" i="20"/>
  <c r="C15" i="20"/>
  <c r="D15" i="20"/>
  <c r="E15" i="20"/>
  <c r="B16" i="20"/>
  <c r="C16" i="20"/>
  <c r="D16" i="20"/>
  <c r="E16" i="20"/>
  <c r="B17" i="20"/>
  <c r="C17" i="20"/>
  <c r="D17" i="20"/>
  <c r="E17" i="20"/>
  <c r="B18" i="20"/>
  <c r="C18" i="20"/>
  <c r="D18" i="20"/>
  <c r="E18" i="20"/>
  <c r="B19" i="20"/>
  <c r="C19" i="20"/>
  <c r="D19" i="20"/>
  <c r="E19" i="20"/>
  <c r="B20" i="20"/>
  <c r="C20" i="20"/>
  <c r="D20" i="20"/>
  <c r="E20" i="20"/>
  <c r="B21" i="20"/>
  <c r="C21" i="20"/>
  <c r="D21" i="20"/>
  <c r="E21" i="20"/>
  <c r="B22" i="20"/>
  <c r="C22" i="20"/>
  <c r="D22" i="20"/>
  <c r="E22" i="20"/>
  <c r="B23" i="20"/>
  <c r="C23" i="20"/>
  <c r="D23" i="20"/>
  <c r="E23" i="20"/>
  <c r="B24" i="20"/>
  <c r="C24" i="20"/>
  <c r="D24" i="20"/>
  <c r="E24" i="20"/>
  <c r="B25" i="20"/>
  <c r="C25" i="20"/>
  <c r="D25" i="20"/>
  <c r="E25" i="20"/>
  <c r="B26" i="20"/>
  <c r="C26" i="20"/>
  <c r="D26" i="20"/>
  <c r="E26" i="20"/>
  <c r="C4" i="20"/>
  <c r="D4" i="20"/>
  <c r="E4" i="20"/>
  <c r="B4" i="20"/>
  <c r="E5" i="23"/>
  <c r="E6" i="23"/>
  <c r="E7" i="23"/>
  <c r="E8" i="23"/>
  <c r="E9" i="23"/>
  <c r="E10" i="23"/>
  <c r="E11" i="23"/>
  <c r="E12" i="23"/>
  <c r="E13" i="23"/>
  <c r="E14" i="23"/>
  <c r="E15" i="23"/>
  <c r="E16" i="23"/>
  <c r="E17" i="23"/>
  <c r="E18" i="23"/>
  <c r="E19" i="23"/>
  <c r="E20" i="23"/>
  <c r="E21" i="23"/>
  <c r="E22" i="23"/>
  <c r="E23" i="23"/>
  <c r="E24" i="23"/>
  <c r="E25" i="23"/>
  <c r="E26" i="23"/>
  <c r="E4" i="23"/>
  <c r="F4" i="20" l="1"/>
  <c r="B36" i="29" l="1"/>
  <c r="B37" i="29"/>
  <c r="B38" i="29"/>
  <c r="B39" i="29"/>
  <c r="C36" i="29" l="1"/>
  <c r="C37" i="29"/>
  <c r="C38" i="29"/>
  <c r="C39" i="29"/>
  <c r="G7" i="1" l="1"/>
  <c r="G6" i="1" l="1"/>
  <c r="G19" i="29" l="1"/>
  <c r="G17" i="29"/>
  <c r="G2" i="29" l="1"/>
  <c r="K5" i="1" l="1"/>
  <c r="G35" i="29"/>
  <c r="G5" i="1" l="1"/>
  <c r="G9" i="1" s="1"/>
  <c r="H5" i="1" l="1"/>
  <c r="O5" i="1" l="1"/>
  <c r="Y5" i="1"/>
  <c r="T5" i="1"/>
  <c r="AD5" i="1"/>
  <c r="J5" i="1"/>
  <c r="G36" i="29" l="1"/>
  <c r="P5" i="1"/>
  <c r="U5" i="1"/>
  <c r="G37" i="29"/>
  <c r="G38" i="29"/>
  <c r="Z5" i="1"/>
  <c r="G39" i="29"/>
  <c r="AE5" i="1"/>
  <c r="M5" i="1"/>
  <c r="R5" i="1"/>
  <c r="W5" i="1"/>
  <c r="AB5" i="1"/>
  <c r="I5" i="1"/>
  <c r="N5" i="1"/>
  <c r="S5" i="1"/>
  <c r="X5" i="1"/>
  <c r="AC5" i="1"/>
  <c r="G22" i="29"/>
  <c r="G27" i="29"/>
  <c r="G28" i="29"/>
  <c r="G29" i="29"/>
  <c r="G30" i="29"/>
  <c r="G31" i="29"/>
  <c r="G32" i="29"/>
  <c r="G33" i="29"/>
  <c r="F3" i="20"/>
  <c r="AD6" i="1"/>
  <c r="AC6" i="1"/>
  <c r="AB6" i="1"/>
  <c r="Y6" i="1"/>
  <c r="X6" i="1"/>
  <c r="W6" i="1"/>
  <c r="T6" i="1"/>
  <c r="S6" i="1"/>
  <c r="R6" i="1"/>
  <c r="O6" i="1"/>
  <c r="N6" i="1"/>
  <c r="M6" i="1"/>
  <c r="I6" i="1"/>
  <c r="J6" i="1"/>
  <c r="H6" i="1"/>
  <c r="F9" i="1"/>
  <c r="E9" i="1" l="1"/>
  <c r="D9" i="1"/>
  <c r="C9" i="1"/>
  <c r="F3" i="19" l="1"/>
  <c r="K7" i="1"/>
  <c r="I7" i="1"/>
  <c r="J7" i="1"/>
  <c r="K8" i="1"/>
  <c r="J8" i="1"/>
  <c r="I8" i="1"/>
  <c r="G34" i="29"/>
  <c r="N7" i="1" l="1"/>
  <c r="I9" i="1"/>
  <c r="P7" i="1"/>
  <c r="O7" i="1"/>
  <c r="F4" i="19"/>
  <c r="N8" i="1"/>
  <c r="F5" i="20"/>
  <c r="O8" i="1"/>
  <c r="P8" i="1"/>
  <c r="Q5" i="1"/>
  <c r="J9" i="1"/>
  <c r="L5" i="1"/>
  <c r="N9" i="1" l="1"/>
  <c r="T7" i="1"/>
  <c r="U7" i="1"/>
  <c r="F5" i="19"/>
  <c r="O9" i="1"/>
  <c r="S7" i="1"/>
  <c r="T8" i="1"/>
  <c r="U8" i="1"/>
  <c r="H8" i="1"/>
  <c r="F6" i="20"/>
  <c r="S8" i="1"/>
  <c r="AA5" i="1"/>
  <c r="AF5" i="1"/>
  <c r="V5" i="1"/>
  <c r="T9" i="1" l="1"/>
  <c r="H7" i="1"/>
  <c r="L7" i="1" s="1"/>
  <c r="F6" i="19"/>
  <c r="AE7" i="1"/>
  <c r="Z7" i="1"/>
  <c r="AC7" i="1"/>
  <c r="X7" i="1"/>
  <c r="S9" i="1"/>
  <c r="AD7" i="1"/>
  <c r="Y7" i="1"/>
  <c r="AC8" i="1"/>
  <c r="X8" i="1"/>
  <c r="L8" i="1"/>
  <c r="F7" i="20"/>
  <c r="AE8" i="1"/>
  <c r="Z8" i="1"/>
  <c r="AD8" i="1"/>
  <c r="Y8" i="1"/>
  <c r="F3" i="23"/>
  <c r="H9" i="1" l="1"/>
  <c r="Y9" i="1"/>
  <c r="X9" i="1"/>
  <c r="AD9" i="1"/>
  <c r="AC9" i="1"/>
  <c r="F7" i="19"/>
  <c r="F8" i="20"/>
  <c r="F4" i="23"/>
  <c r="E6" i="21"/>
  <c r="B6" i="21"/>
  <c r="F8" i="19" l="1"/>
  <c r="F9" i="20"/>
  <c r="F5" i="23"/>
  <c r="F9" i="19" l="1"/>
  <c r="F10" i="20"/>
  <c r="K6" i="1"/>
  <c r="F6" i="23"/>
  <c r="F10" i="19" l="1"/>
  <c r="F11" i="20"/>
  <c r="M8" i="1"/>
  <c r="F7" i="23"/>
  <c r="L6" i="1"/>
  <c r="L9" i="1" s="1"/>
  <c r="K9" i="1"/>
  <c r="H4" i="21"/>
  <c r="M4" i="21"/>
  <c r="C4" i="21"/>
  <c r="F11" i="19" l="1"/>
  <c r="M7" i="1"/>
  <c r="Q7" i="1" s="1"/>
  <c r="Q8" i="1"/>
  <c r="F12" i="20"/>
  <c r="F8" i="23"/>
  <c r="O4" i="21"/>
  <c r="E4" i="21"/>
  <c r="J4" i="21"/>
  <c r="M9" i="1" l="1"/>
  <c r="F12" i="19"/>
  <c r="F13" i="20"/>
  <c r="F9" i="23"/>
  <c r="C6" i="21"/>
  <c r="F13" i="19" l="1"/>
  <c r="F14" i="20"/>
  <c r="F10" i="23"/>
  <c r="G6" i="21"/>
  <c r="L6" i="21"/>
  <c r="J6" i="21"/>
  <c r="J7" i="21" s="1"/>
  <c r="J8" i="21" s="1"/>
  <c r="O6" i="21"/>
  <c r="O7" i="21" s="1"/>
  <c r="O8" i="21" s="1"/>
  <c r="E7" i="21"/>
  <c r="D6" i="21"/>
  <c r="M6" i="21"/>
  <c r="M7" i="21" s="1"/>
  <c r="M8" i="21" s="1"/>
  <c r="C7" i="21"/>
  <c r="C8" i="21" s="1"/>
  <c r="H6" i="21"/>
  <c r="H7" i="21" s="1"/>
  <c r="H8" i="21" s="1"/>
  <c r="F14" i="19" l="1"/>
  <c r="F15" i="20"/>
  <c r="P6" i="1"/>
  <c r="F11" i="23"/>
  <c r="E8" i="21"/>
  <c r="N6" i="21"/>
  <c r="I6" i="21"/>
  <c r="F15" i="19" l="1"/>
  <c r="F16" i="20"/>
  <c r="R8" i="1"/>
  <c r="F12" i="23"/>
  <c r="Q6" i="1"/>
  <c r="Q9" i="1" s="1"/>
  <c r="P9" i="1"/>
  <c r="G4" i="21"/>
  <c r="L4" i="21"/>
  <c r="B4" i="21"/>
  <c r="R7" i="1" l="1"/>
  <c r="V7" i="1" s="1"/>
  <c r="F16" i="19"/>
  <c r="F17" i="20"/>
  <c r="V8" i="1"/>
  <c r="F13" i="23"/>
  <c r="L7" i="21"/>
  <c r="L8" i="21" s="1"/>
  <c r="G7" i="21"/>
  <c r="G8" i="21" s="1"/>
  <c r="B7" i="21"/>
  <c r="B8" i="21" s="1"/>
  <c r="R9" i="1" l="1"/>
  <c r="F17" i="19"/>
  <c r="F18" i="20"/>
  <c r="F14" i="23"/>
  <c r="I4" i="21"/>
  <c r="I7" i="21" s="1"/>
  <c r="I8" i="21" s="1"/>
  <c r="K8" i="21" s="1"/>
  <c r="D4" i="21"/>
  <c r="D7" i="21" s="1"/>
  <c r="D8" i="21" s="1"/>
  <c r="F8" i="21" s="1"/>
  <c r="N4" i="21"/>
  <c r="N7" i="21" s="1"/>
  <c r="N8" i="21" s="1"/>
  <c r="P8" i="21" s="1"/>
  <c r="F18" i="19" l="1"/>
  <c r="F19" i="20"/>
  <c r="F15" i="23"/>
  <c r="K7" i="21"/>
  <c r="P7" i="21"/>
  <c r="K4" i="21"/>
  <c r="F4" i="21"/>
  <c r="P4" i="21"/>
  <c r="F7" i="21"/>
  <c r="F19" i="19" l="1"/>
  <c r="F20" i="20"/>
  <c r="F16" i="23"/>
  <c r="U6" i="1"/>
  <c r="F20" i="19" l="1"/>
  <c r="F21" i="20"/>
  <c r="W8" i="1"/>
  <c r="F17" i="23"/>
  <c r="V6" i="1"/>
  <c r="V9" i="1" s="1"/>
  <c r="U9" i="1"/>
  <c r="F21" i="19" l="1"/>
  <c r="W7" i="1"/>
  <c r="AA7" i="1" s="1"/>
  <c r="F22" i="20"/>
  <c r="AA8" i="1"/>
  <c r="F18" i="23"/>
  <c r="W9" i="1" l="1"/>
  <c r="F22" i="19"/>
  <c r="F23" i="20"/>
  <c r="F19" i="23"/>
  <c r="F23" i="19" l="1"/>
  <c r="F24" i="20"/>
  <c r="F20" i="23"/>
  <c r="F24" i="19" l="1"/>
  <c r="F25" i="20"/>
  <c r="Z6" i="1"/>
  <c r="F21" i="23"/>
  <c r="F25" i="19" l="1"/>
  <c r="AB8" i="1"/>
  <c r="F26" i="20"/>
  <c r="F22" i="23"/>
  <c r="Z9" i="1"/>
  <c r="AA6" i="1"/>
  <c r="AA9" i="1" s="1"/>
  <c r="F26" i="19" l="1"/>
  <c r="AB7" i="1"/>
  <c r="AF7" i="1" s="1"/>
  <c r="AF8" i="1"/>
  <c r="F23" i="23"/>
  <c r="AB9" i="1" l="1"/>
  <c r="F24" i="23"/>
  <c r="F25" i="23" l="1"/>
  <c r="F26" i="23" l="1"/>
  <c r="AE6" i="1"/>
  <c r="AF6" i="1" l="1"/>
  <c r="AF9" i="1" s="1"/>
  <c r="AE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tc={F8EDA393-B622-4DF1-B337-6E752358DC1B}</author>
    <author>tc={EFF843A4-A9DD-4329-98F9-9EFD20CE780F}</author>
  </authors>
  <commentList>
    <comment ref="B124" authorId="0" shapeId="0" xr:uid="{F8EDA393-B622-4DF1-B337-6E752358DC1B}">
      <text>
        <t xml:space="preserve">[Threaded comment]
Your version of Excel allows you to read this threaded comment; however, any edits to it will get removed if the file is opened in a newer version of Excel. Learn more: https://go.microsoft.com/fwlink/?linkid=870924
Comment:
    Using long-run forecast value, which differs greatly from short-run.  Question about population forecast number to use
</t>
      </text>
    </comment>
    <comment ref="A148" authorId="1" shapeId="0" xr:uid="{EFF843A4-A9DD-4329-98F9-9EFD20CE780F}">
      <text>
        <t>[Threaded comment]
Your version of Excel allows you to read this threaded comment; however, any edits to it will get removed if the file is opened in a newer version of Excel. Learn more: https://go.microsoft.com/fwlink/?linkid=870924
Comment:
    Note:  that state visitors is simply the total of the visits and is an over count of the actual number of visitors to the state since some visitors go to multiple counties.</t>
      </text>
    </comment>
  </commentList>
</comments>
</file>

<file path=xl/sharedStrings.xml><?xml version="1.0" encoding="utf-8"?>
<sst xmlns="http://schemas.openxmlformats.org/spreadsheetml/2006/main" count="265" uniqueCount="100">
  <si>
    <t>Year</t>
  </si>
  <si>
    <t>WASTE</t>
  </si>
  <si>
    <t>Total</t>
  </si>
  <si>
    <t>Composting</t>
  </si>
  <si>
    <t>Waste Total</t>
  </si>
  <si>
    <t>Hawaii</t>
  </si>
  <si>
    <t>Honolulu</t>
  </si>
  <si>
    <t>Kauai</t>
  </si>
  <si>
    <t>Maui</t>
  </si>
  <si>
    <t xml:space="preserve">Potential Emissions </t>
  </si>
  <si>
    <t>Oxidation Rate</t>
  </si>
  <si>
    <t>Flared Methane</t>
  </si>
  <si>
    <t>Island</t>
  </si>
  <si>
    <t>(MTCO2E)</t>
  </si>
  <si>
    <t>Lanai</t>
  </si>
  <si>
    <t xml:space="preserve">Maui </t>
  </si>
  <si>
    <t>Molokai</t>
  </si>
  <si>
    <t>Nihau</t>
  </si>
  <si>
    <t>Oahu</t>
  </si>
  <si>
    <t>Potential Emissions</t>
  </si>
  <si>
    <t>CH4 Emissions (MMTCO2 Eq.)</t>
  </si>
  <si>
    <t>NA</t>
  </si>
  <si>
    <t>Flaring Ratio</t>
  </si>
  <si>
    <t>Wastewater Emissions (MMTCO2 Eq.)</t>
  </si>
  <si>
    <t>Composting Emissions MMTCO2 Eq.</t>
  </si>
  <si>
    <t>Adjustment for Landfill Flaring</t>
  </si>
  <si>
    <t>Industrial Waste Emissions</t>
  </si>
  <si>
    <t>Industrial Landfills</t>
  </si>
  <si>
    <t>Waste Sector Baseline Emissions Summary (MMT CO2 Eq.)</t>
  </si>
  <si>
    <t>Municipal Solid Waste Landfills</t>
  </si>
  <si>
    <t>Wastewater</t>
  </si>
  <si>
    <t>MT CO2 Eq</t>
  </si>
  <si>
    <t>Updates from last year</t>
  </si>
  <si>
    <t>updated wastewater, composting , and industrial landfills wirth 2022 ICF inventory year</t>
  </si>
  <si>
    <t>Date</t>
  </si>
  <si>
    <t>9.20.24</t>
  </si>
  <si>
    <t>Forecasts for State</t>
  </si>
  <si>
    <t>Historical GDP ( Real 2012$s)</t>
  </si>
  <si>
    <t>Nominal</t>
  </si>
  <si>
    <t>State</t>
  </si>
  <si>
    <t>Source:  DBEDT Data warehouse.  Data used for computing GSP shares in years 2020 to 2025</t>
  </si>
  <si>
    <t>Annual growth rates</t>
  </si>
  <si>
    <t>2025 to 2030</t>
  </si>
  <si>
    <t>2030 to 2035</t>
  </si>
  <si>
    <t>2035 to 2040</t>
  </si>
  <si>
    <t>2040 to 2045</t>
  </si>
  <si>
    <t>2045 to 2050</t>
  </si>
  <si>
    <t>Sources and Notes:  2016-2019 DBEDT warehouse</t>
  </si>
  <si>
    <t>2020-2025 baseline from Sep 2025 quarterly forecast</t>
  </si>
  <si>
    <t>State level 2026-2030 baseline based on long-run estimated GSP forecast growth from 2025 to 2030 for the state.  Assume constant growth rates between 2030 and 2040 and from 2040 to 2050.  For the counties, share of GCP based on shares from 2016 long-range forecast.</t>
  </si>
  <si>
    <t>County Level Forecasts (Base Case)</t>
  </si>
  <si>
    <t>Gross State Product</t>
  </si>
  <si>
    <t>Raw Forecast</t>
  </si>
  <si>
    <t>Adjusted Forecast</t>
  </si>
  <si>
    <t>Index (2022 = 1)</t>
  </si>
  <si>
    <t>State = Sum</t>
  </si>
  <si>
    <t>Check</t>
  </si>
  <si>
    <t>Projections for state based on state growth rate.  Individual counties grow by their growth rates and then each county adjusted so sum of counties = state (table to right of first table) - DONE</t>
  </si>
  <si>
    <t>De Facto Population</t>
  </si>
  <si>
    <t>Adjusted Forecast-Adjustment no longer needed as force state to equal sum of counties</t>
  </si>
  <si>
    <t>Index (2022= 1)</t>
  </si>
  <si>
    <t>Defacto Population forecast from DBEDT - Use Short-run forecast through 2025 and long-run after that - DONE</t>
  </si>
  <si>
    <t>Note:  Interpolating between 2021 and 2025 because Short-term forecast seems inconsistent with long-run forecast.  Therefore, making use of long-run forecast for years 2022-2024</t>
  </si>
  <si>
    <t>Population (used for driver of residential emissions driver)</t>
  </si>
  <si>
    <t>Source:  DBEDT long and short range forecasts.  For 2022-2025, assume share of population by county same as in 2021</t>
  </si>
  <si>
    <t>Visitor Arrivals by Air (000s)</t>
  </si>
  <si>
    <t>Index</t>
  </si>
  <si>
    <t>Note:  Visitor arrivals are adjusted so that sum of the county numbers equals the state total.  The sum of the raw county numbers exceed the state total because</t>
  </si>
  <si>
    <t>some visitors visit more than one island.  The numbers are adjusted under the assumption that visitors to one island spend the same amount of time in Hawaii as</t>
  </si>
  <si>
    <t>visitors that visit multiple islands.</t>
  </si>
  <si>
    <t>2022Hawai'i</t>
  </si>
  <si>
    <t>2022Honolulu</t>
  </si>
  <si>
    <t>2022Kaua'i</t>
  </si>
  <si>
    <t>2022Maui</t>
  </si>
  <si>
    <t>2022Total</t>
  </si>
  <si>
    <t>2025Hawai'i</t>
  </si>
  <si>
    <t>2025Honolulu</t>
  </si>
  <si>
    <t>2025Kaua'i</t>
  </si>
  <si>
    <t>2025Maui</t>
  </si>
  <si>
    <t>2025Total</t>
  </si>
  <si>
    <t>2030Hawai'i</t>
  </si>
  <si>
    <t>2030Honolulu</t>
  </si>
  <si>
    <t>2030Kaua'i</t>
  </si>
  <si>
    <t>2030Maui</t>
  </si>
  <si>
    <t>2030Total</t>
  </si>
  <si>
    <t>2035Hawai'i</t>
  </si>
  <si>
    <t>2035Honolulu</t>
  </si>
  <si>
    <t>2035Kaua'i</t>
  </si>
  <si>
    <t>2035Maui</t>
  </si>
  <si>
    <t>2035Total</t>
  </si>
  <si>
    <t>2040Hawai'i</t>
  </si>
  <si>
    <t>2040Honolulu</t>
  </si>
  <si>
    <t>2040Kaua'i</t>
  </si>
  <si>
    <t>2040Maui</t>
  </si>
  <si>
    <t>2040Total</t>
  </si>
  <si>
    <t>2045Hawai'i</t>
  </si>
  <si>
    <t>2045Honolulu</t>
  </si>
  <si>
    <t>2045Kaua'i</t>
  </si>
  <si>
    <t>2045Maui</t>
  </si>
  <si>
    <t>2045Total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</si>
</sst>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_-* #,##0_-;\-* #,##0_-;_-* &quot;-&quot;_-;_-@_-"/>
    <numFmt numFmtId="165" formatCode="_-* #,##0.00_-;\-* #,##0.00_-;_-* &quot;-&quot;??_-;_-@_-"/>
    <numFmt numFmtId="166" formatCode="0.0%"/>
    <numFmt numFmtId="167" formatCode="_(* #,##0_);_(* \(#,##0\);_(* &quot;-&quot;??_);_(@_)"/>
    <numFmt numFmtId="168" formatCode="0.000"/>
    <numFmt numFmtId="169" formatCode="_-* #,##0.00_-;\-* #,##0.00_-;_-* &quot;-&quot;_-;_-@_-"/>
    <numFmt numFmtId="170" formatCode="[=0]&quot;0.00&quot;;[&lt;0.005]&quot;+&quot;_);#,##0.00_)"/>
    <numFmt numFmtId="171" formatCode="0_);\(0\)"/>
    <numFmt numFmtId="172" formatCode="0.0000000"/>
    <numFmt numFmtId="173" formatCode="_(* #,##0.000_);_(* \(#,##0.000\);_(* &quot;-&quot;??_);_(@_)"/>
    <numFmt numFmtId="174" formatCode="0.00000"/>
  </numFmts>
  <fonts count="35">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8"/>
      <name val="Arial"/>
      <family val="2"/>
    </font>
    <font>
      <sz val="10"/>
      <name val="Arial"/>
      <family val="2"/>
    </font>
    <font>
      <b/>
      <sz val="11"/>
      <color theme="0"/>
      <name val="Calibri"/>
      <family val="2"/>
      <scheme val="minor"/>
    </font>
    <font>
      <sz val="11"/>
      <color theme="0"/>
      <name val="Calibri"/>
      <family val="2"/>
      <scheme val="minor"/>
    </font>
    <font>
      <u/>
      <sz val="11"/>
      <color theme="10"/>
      <name val="Calibri"/>
      <family val="2"/>
      <scheme val="minor"/>
    </font>
    <font>
      <sz val="10"/>
      <color theme="1"/>
      <name val="Calibri"/>
      <family val="2"/>
      <scheme val="minor"/>
    </font>
    <font>
      <sz val="11"/>
      <name val="Calibri"/>
      <family val="2"/>
    </font>
    <font>
      <sz val="11"/>
      <color theme="1"/>
      <name val="Calibri "/>
    </font>
    <font>
      <sz val="11"/>
      <name val="Calibri "/>
    </font>
    <font>
      <b/>
      <sz val="11"/>
      <name val="Calibri "/>
    </font>
    <font>
      <sz val="11"/>
      <name val="Calibri"/>
      <family val="2"/>
      <scheme val="minor"/>
    </font>
    <font>
      <b/>
      <sz val="11"/>
      <name val="Calibri"/>
      <family val="2"/>
      <scheme val="minor"/>
    </font>
    <font>
      <b/>
      <sz val="11"/>
      <color theme="0"/>
      <name val="Calibri "/>
    </font>
    <font>
      <b/>
      <sz val="11"/>
      <color theme="1"/>
      <name val="Calibri "/>
    </font>
    <font>
      <sz val="10"/>
      <name val="Arial"/>
      <family val="2"/>
    </font>
    <font>
      <sz val="11"/>
      <color indexed="8"/>
      <name val="Calibri"/>
      <family val="2"/>
    </font>
    <font>
      <u/>
      <sz val="10"/>
      <color indexed="12"/>
      <name val="Arial"/>
      <family val="2"/>
    </font>
    <font>
      <sz val="10"/>
      <name val="Calibri"/>
      <family val="2"/>
      <scheme val="minor"/>
    </font>
    <font>
      <i/>
      <sz val="11"/>
      <color theme="1"/>
      <name val="Calibri"/>
      <family val="2"/>
      <scheme val="minor"/>
    </font>
    <font>
      <sz val="10"/>
      <name val="Verdana"/>
      <family val="2"/>
    </font>
    <font>
      <sz val="11"/>
      <color theme="1"/>
      <name val="Arial"/>
      <family val="2"/>
    </font>
    <font>
      <u/>
      <sz val="10"/>
      <color indexed="12"/>
      <name val="Verdana"/>
      <family val="2"/>
    </font>
    <font>
      <b/>
      <sz val="10"/>
      <name val="Calibri"/>
      <family val="2"/>
      <scheme val="minor"/>
    </font>
    <font>
      <sz val="8"/>
      <color indexed="24"/>
      <name val="Arial"/>
      <family val="2"/>
    </font>
    <font>
      <b/>
      <sz val="14"/>
      <color rgb="FF00B050"/>
      <name val="Calibri"/>
      <family val="2"/>
      <scheme val="minor"/>
    </font>
    <font>
      <b/>
      <sz val="11"/>
      <color rgb="FF00B050"/>
      <name val="Calibri"/>
      <family val="2"/>
      <scheme val="minor"/>
    </font>
    <font>
      <b/>
      <sz val="11"/>
      <color rgb="FFFF0000"/>
      <name val="Calibri"/>
      <family val="2"/>
      <scheme val="minor"/>
    </font>
    <font>
      <sz val="12"/>
      <name val="Times New Roman"/>
      <family val="1"/>
    </font>
    <font>
      <sz val="11"/>
      <color rgb="FF00B050"/>
      <name val="Calibri"/>
      <family val="2"/>
      <scheme val="minor"/>
    </font>
    <font>
      <b/>
      <sz val="11"/>
      <color rgb="FF000000"/>
      <name val="Calibri"/>
      <family val="2"/>
      <scheme val="minor"/>
    </font>
    <font>
      <i/>
      <sz val="11"/>
      <color rgb="FFFF0000"/>
      <name val="Calibri"/>
      <family val="2"/>
      <scheme val="minor"/>
    </font>
  </fonts>
  <fills count="16">
    <fill>
      <patternFill patternType="none"/>
    </fill>
    <fill>
      <patternFill patternType="gray125"/>
    </fill>
    <fill>
      <patternFill patternType="solid">
        <fgColor rgb="FF7030A0"/>
        <bgColor indexed="64"/>
      </patternFill>
    </fill>
    <fill>
      <patternFill patternType="solid">
        <fgColor theme="2" tint="-9.9978637043366805E-2"/>
        <bgColor indexed="64"/>
      </patternFill>
    </fill>
    <fill>
      <patternFill patternType="solid">
        <fgColor theme="2" tint="-0.749992370372631"/>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4.9989318521683403E-2"/>
        <bgColor rgb="FF000000"/>
      </patternFill>
    </fill>
    <fill>
      <patternFill patternType="solid">
        <fgColor theme="8" tint="-0.499984740745262"/>
        <bgColor indexed="64"/>
      </patternFill>
    </fill>
    <fill>
      <patternFill patternType="solid">
        <fgColor rgb="FFFFC00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2F2F2"/>
        <bgColor rgb="FF000000"/>
      </patternFill>
    </fill>
  </fills>
  <borders count="12">
    <border>
      <left/>
      <right/>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2">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3" fontId="3" fillId="0" borderId="0" applyFont="0" applyFill="0" applyBorder="0" applyAlignment="0" applyProtection="0"/>
    <xf numFmtId="0" fontId="3" fillId="0" borderId="0"/>
    <xf numFmtId="0" fontId="8" fillId="0" borderId="0" applyNumberFormat="0" applyFill="0" applyBorder="0" applyAlignment="0" applyProtection="0"/>
    <xf numFmtId="0" fontId="3" fillId="0" borderId="0"/>
    <xf numFmtId="0" fontId="10" fillId="0" borderId="0"/>
    <xf numFmtId="9" fontId="3" fillId="0" borderId="0" applyFont="0" applyFill="0" applyBorder="0" applyAlignment="0" applyProtection="0"/>
    <xf numFmtId="0" fontId="18" fillId="0" borderId="0"/>
    <xf numFmtId="43" fontId="19" fillId="0" borderId="0" applyFont="0" applyFill="0" applyBorder="0" applyAlignment="0" applyProtection="0"/>
    <xf numFmtId="0" fontId="20" fillId="0" borderId="0" applyNumberFormat="0" applyFill="0" applyBorder="0" applyAlignment="0" applyProtection="0">
      <alignment vertical="top"/>
      <protection locked="0"/>
    </xf>
    <xf numFmtId="0" fontId="23" fillId="0" borderId="0"/>
    <xf numFmtId="0" fontId="24" fillId="0" borderId="0"/>
    <xf numFmtId="165" fontId="23" fillId="0" borderId="0" applyFont="0" applyFill="0" applyBorder="0" applyAlignment="0" applyProtection="0"/>
    <xf numFmtId="0" fontId="25" fillId="0" borderId="0" applyNumberFormat="0" applyFill="0" applyBorder="0" applyAlignment="0" applyProtection="0">
      <alignment vertical="top"/>
      <protection locked="0"/>
    </xf>
    <xf numFmtId="9" fontId="23" fillId="0" borderId="0" applyFont="0" applyFill="0" applyBorder="0" applyAlignment="0" applyProtection="0"/>
    <xf numFmtId="0" fontId="23" fillId="0" borderId="0"/>
    <xf numFmtId="0" fontId="27" fillId="0" borderId="0"/>
    <xf numFmtId="165" fontId="1" fillId="0" borderId="0" applyFont="0" applyFill="0" applyBorder="0" applyAlignment="0" applyProtection="0"/>
    <xf numFmtId="165" fontId="3" fillId="0" borderId="0" applyFont="0" applyFill="0" applyBorder="0" applyAlignment="0" applyProtection="0"/>
  </cellStyleXfs>
  <cellXfs count="159">
    <xf numFmtId="0" fontId="0" fillId="0" borderId="0" xfId="0"/>
    <xf numFmtId="0" fontId="6" fillId="4" borderId="0" xfId="0" applyFont="1" applyFill="1" applyAlignment="1">
      <alignment horizontal="center"/>
    </xf>
    <xf numFmtId="0" fontId="2" fillId="0" borderId="0" xfId="0" applyFont="1" applyAlignment="1">
      <alignment horizontal="center"/>
    </xf>
    <xf numFmtId="0" fontId="2" fillId="6" borderId="0" xfId="0" applyFont="1" applyFill="1" applyAlignment="1">
      <alignment horizontal="center"/>
    </xf>
    <xf numFmtId="0" fontId="6" fillId="4" borderId="0" xfId="0" applyFont="1" applyFill="1" applyAlignment="1">
      <alignment horizontal="center" vertical="center"/>
    </xf>
    <xf numFmtId="0" fontId="4" fillId="0" borderId="0" xfId="0" applyFont="1"/>
    <xf numFmtId="0" fontId="8" fillId="0" borderId="0" xfId="6"/>
    <xf numFmtId="0" fontId="9" fillId="0" borderId="0" xfId="0" applyFont="1"/>
    <xf numFmtId="167" fontId="9" fillId="0" borderId="0" xfId="0" applyNumberFormat="1" applyFont="1"/>
    <xf numFmtId="43" fontId="9" fillId="0" borderId="0" xfId="0" applyNumberFormat="1" applyFont="1"/>
    <xf numFmtId="9" fontId="4" fillId="0" borderId="0" xfId="2" applyFont="1"/>
    <xf numFmtId="0" fontId="7" fillId="7" borderId="0" xfId="0" applyFont="1" applyFill="1"/>
    <xf numFmtId="0" fontId="6" fillId="7" borderId="0" xfId="0" applyFont="1" applyFill="1"/>
    <xf numFmtId="168" fontId="0" fillId="0" borderId="0" xfId="0" applyNumberFormat="1"/>
    <xf numFmtId="0" fontId="6" fillId="7" borderId="0" xfId="0" applyFont="1" applyFill="1" applyAlignment="1">
      <alignment horizontal="left"/>
    </xf>
    <xf numFmtId="0" fontId="17" fillId="6" borderId="5" xfId="0" applyFont="1" applyFill="1" applyBorder="1" applyAlignment="1">
      <alignment horizontal="center" wrapText="1"/>
    </xf>
    <xf numFmtId="0" fontId="17" fillId="6" borderId="5" xfId="0" applyFont="1" applyFill="1" applyBorder="1" applyAlignment="1">
      <alignment horizontal="center"/>
    </xf>
    <xf numFmtId="0" fontId="17" fillId="6" borderId="5" xfId="0" applyFont="1" applyFill="1" applyBorder="1" applyAlignment="1">
      <alignment horizontal="left" wrapText="1"/>
    </xf>
    <xf numFmtId="2" fontId="11" fillId="0" borderId="5" xfId="0" applyNumberFormat="1" applyFont="1" applyBorder="1" applyAlignment="1">
      <alignment horizontal="right"/>
    </xf>
    <xf numFmtId="2" fontId="11" fillId="0" borderId="5" xfId="0" applyNumberFormat="1" applyFont="1" applyBorder="1" applyAlignment="1">
      <alignment horizontal="right" wrapText="1"/>
    </xf>
    <xf numFmtId="0" fontId="11" fillId="0" borderId="5" xfId="0" applyFont="1" applyBorder="1" applyAlignment="1">
      <alignment horizontal="right"/>
    </xf>
    <xf numFmtId="9" fontId="11" fillId="0" borderId="5" xfId="0" applyNumberFormat="1" applyFont="1" applyBorder="1" applyAlignment="1">
      <alignment horizontal="right"/>
    </xf>
    <xf numFmtId="168" fontId="11" fillId="0" borderId="5" xfId="0" applyNumberFormat="1" applyFont="1" applyBorder="1" applyAlignment="1">
      <alignment horizontal="right"/>
    </xf>
    <xf numFmtId="2" fontId="17" fillId="0" borderId="5" xfId="0" applyNumberFormat="1" applyFont="1" applyBorder="1" applyAlignment="1">
      <alignment horizontal="right"/>
    </xf>
    <xf numFmtId="2" fontId="17" fillId="0" borderId="5" xfId="0" applyNumberFormat="1" applyFont="1" applyBorder="1" applyAlignment="1">
      <alignment horizontal="right" wrapText="1"/>
    </xf>
    <xf numFmtId="0" fontId="11" fillId="0" borderId="5" xfId="0" applyFont="1" applyBorder="1"/>
    <xf numFmtId="2" fontId="11" fillId="0" borderId="5" xfId="0" applyNumberFormat="1" applyFont="1" applyBorder="1"/>
    <xf numFmtId="0" fontId="16" fillId="7" borderId="5" xfId="0" applyFont="1" applyFill="1" applyBorder="1" applyAlignment="1">
      <alignment wrapText="1"/>
    </xf>
    <xf numFmtId="0" fontId="16" fillId="7" borderId="5" xfId="0" applyFont="1" applyFill="1" applyBorder="1"/>
    <xf numFmtId="0" fontId="16" fillId="8" borderId="5" xfId="0" applyFont="1" applyFill="1" applyBorder="1" applyAlignment="1">
      <alignment wrapText="1"/>
    </xf>
    <xf numFmtId="0" fontId="16" fillId="8" borderId="5" xfId="0" applyFont="1" applyFill="1" applyBorder="1"/>
    <xf numFmtId="0" fontId="11" fillId="0" borderId="5" xfId="0" applyFont="1" applyBorder="1" applyAlignment="1">
      <alignment horizontal="center"/>
    </xf>
    <xf numFmtId="9" fontId="11" fillId="0" borderId="5" xfId="2" applyFont="1" applyBorder="1" applyAlignment="1">
      <alignment horizontal="right"/>
    </xf>
    <xf numFmtId="0" fontId="11" fillId="0" borderId="5" xfId="0" applyFont="1" applyBorder="1" applyAlignment="1">
      <alignment wrapText="1"/>
    </xf>
    <xf numFmtId="2" fontId="11" fillId="0" borderId="5" xfId="0" applyNumberFormat="1" applyFont="1" applyBorder="1" applyAlignment="1">
      <alignment wrapText="1"/>
    </xf>
    <xf numFmtId="0" fontId="13" fillId="5" borderId="5" xfId="0" applyFont="1" applyFill="1" applyBorder="1" applyAlignment="1">
      <alignment wrapText="1"/>
    </xf>
    <xf numFmtId="0" fontId="12" fillId="5" borderId="5" xfId="0" applyFont="1" applyFill="1" applyBorder="1" applyAlignment="1">
      <alignment horizontal="center" vertical="center"/>
    </xf>
    <xf numFmtId="0" fontId="12" fillId="5" borderId="5" xfId="0" applyFont="1" applyFill="1" applyBorder="1" applyAlignment="1">
      <alignment wrapText="1"/>
    </xf>
    <xf numFmtId="167" fontId="12" fillId="0" borderId="5" xfId="4" applyNumberFormat="1" applyFont="1" applyFill="1" applyBorder="1"/>
    <xf numFmtId="167" fontId="12" fillId="5" borderId="5" xfId="4" applyNumberFormat="1" applyFont="1" applyFill="1" applyBorder="1" applyAlignment="1">
      <alignment horizontal="center"/>
    </xf>
    <xf numFmtId="0" fontId="13" fillId="9" borderId="5" xfId="0" applyFont="1" applyFill="1" applyBorder="1" applyAlignment="1">
      <alignment horizontal="center" vertical="center" wrapText="1"/>
    </xf>
    <xf numFmtId="0" fontId="12" fillId="9" borderId="5" xfId="0" applyFont="1" applyFill="1" applyBorder="1" applyAlignment="1">
      <alignment horizontal="center" vertical="center" wrapText="1"/>
    </xf>
    <xf numFmtId="0" fontId="2" fillId="6" borderId="0" xfId="0" applyFont="1" applyFill="1"/>
    <xf numFmtId="167" fontId="0" fillId="0" borderId="0" xfId="1" applyNumberFormat="1" applyFont="1"/>
    <xf numFmtId="43" fontId="0" fillId="0" borderId="0" xfId="1" applyFont="1"/>
    <xf numFmtId="0" fontId="6" fillId="7" borderId="5" xfId="0" applyFont="1" applyFill="1" applyBorder="1"/>
    <xf numFmtId="0" fontId="15" fillId="6" borderId="5" xfId="0" applyFont="1" applyFill="1" applyBorder="1"/>
    <xf numFmtId="0" fontId="2" fillId="6" borderId="5" xfId="0" applyFont="1" applyFill="1" applyBorder="1"/>
    <xf numFmtId="0" fontId="0" fillId="0" borderId="5" xfId="0" applyBorder="1"/>
    <xf numFmtId="164" fontId="14" fillId="0" borderId="5" xfId="0" applyNumberFormat="1" applyFont="1" applyBorder="1"/>
    <xf numFmtId="164" fontId="0" fillId="0" borderId="5" xfId="0" applyNumberFormat="1" applyBorder="1"/>
    <xf numFmtId="169" fontId="0" fillId="0" borderId="5" xfId="0" applyNumberFormat="1" applyBorder="1"/>
    <xf numFmtId="0" fontId="6" fillId="2" borderId="0" xfId="0" applyFont="1" applyFill="1" applyAlignment="1">
      <alignment horizontal="center"/>
    </xf>
    <xf numFmtId="0" fontId="6" fillId="4" borderId="4" xfId="0" applyFont="1" applyFill="1" applyBorder="1"/>
    <xf numFmtId="0" fontId="6" fillId="4" borderId="1" xfId="0" applyFont="1" applyFill="1" applyBorder="1"/>
    <xf numFmtId="0" fontId="6" fillId="4" borderId="2" xfId="0" applyFont="1" applyFill="1" applyBorder="1"/>
    <xf numFmtId="0" fontId="17" fillId="0" borderId="5" xfId="0" applyFont="1" applyBorder="1"/>
    <xf numFmtId="0" fontId="17" fillId="0" borderId="5" xfId="0" applyFont="1" applyBorder="1" applyAlignment="1">
      <alignment horizontal="center"/>
    </xf>
    <xf numFmtId="0" fontId="11" fillId="0" borderId="5" xfId="0" applyFont="1" applyBorder="1" applyAlignment="1">
      <alignment horizontal="left" wrapText="1"/>
    </xf>
    <xf numFmtId="0" fontId="6" fillId="10" borderId="0" xfId="0" applyFont="1" applyFill="1"/>
    <xf numFmtId="0" fontId="22" fillId="0" borderId="5" xfId="0" applyFont="1" applyBorder="1"/>
    <xf numFmtId="0" fontId="2" fillId="6" borderId="1" xfId="0" applyFont="1" applyFill="1" applyBorder="1" applyAlignment="1">
      <alignment horizontal="center"/>
    </xf>
    <xf numFmtId="0" fontId="2" fillId="6" borderId="6" xfId="0" applyFont="1" applyFill="1" applyBorder="1" applyAlignment="1">
      <alignment horizontal="center"/>
    </xf>
    <xf numFmtId="0" fontId="6" fillId="2" borderId="0" xfId="0" applyFont="1" applyFill="1" applyAlignment="1">
      <alignment horizontal="left"/>
    </xf>
    <xf numFmtId="0" fontId="6" fillId="0" borderId="0" xfId="0" applyFont="1" applyAlignment="1">
      <alignment horizontal="center"/>
    </xf>
    <xf numFmtId="0" fontId="7" fillId="4" borderId="6" xfId="0" applyFont="1" applyFill="1" applyBorder="1" applyAlignment="1">
      <alignment horizontal="center" wrapText="1"/>
    </xf>
    <xf numFmtId="0" fontId="2" fillId="6" borderId="6" xfId="0" applyFont="1" applyFill="1" applyBorder="1" applyAlignment="1">
      <alignment horizontal="center" wrapText="1"/>
    </xf>
    <xf numFmtId="0" fontId="6" fillId="0" borderId="7" xfId="0" applyFont="1" applyBorder="1" applyAlignment="1">
      <alignment horizontal="center"/>
    </xf>
    <xf numFmtId="2" fontId="0" fillId="0" borderId="0" xfId="0" applyNumberFormat="1"/>
    <xf numFmtId="0" fontId="0" fillId="0" borderId="7" xfId="0"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3" borderId="0" xfId="0" applyFill="1" applyAlignment="1">
      <alignment horizontal="center"/>
    </xf>
    <xf numFmtId="0" fontId="0" fillId="6" borderId="0" xfId="0" applyFill="1" applyAlignment="1">
      <alignment horizontal="center"/>
    </xf>
    <xf numFmtId="170" fontId="14" fillId="0" borderId="0" xfId="19" applyNumberFormat="1" applyFont="1"/>
    <xf numFmtId="0" fontId="0" fillId="0" borderId="3" xfId="0" applyBorder="1" applyAlignment="1">
      <alignment horizontal="center"/>
    </xf>
    <xf numFmtId="0" fontId="0" fillId="0" borderId="0" xfId="0" applyAlignment="1">
      <alignment horizontal="center" wrapText="1"/>
    </xf>
    <xf numFmtId="1" fontId="0" fillId="0" borderId="0" xfId="0" applyNumberFormat="1" applyAlignment="1">
      <alignment horizontal="center"/>
    </xf>
    <xf numFmtId="2" fontId="0" fillId="0" borderId="0" xfId="0" applyNumberFormat="1" applyAlignment="1">
      <alignment horizontal="center"/>
    </xf>
    <xf numFmtId="2" fontId="21" fillId="0" borderId="3" xfId="0" applyNumberFormat="1" applyFont="1" applyBorder="1" applyAlignment="1">
      <alignment horizontal="left"/>
    </xf>
    <xf numFmtId="170" fontId="14" fillId="0" borderId="3" xfId="19" applyNumberFormat="1" applyFont="1" applyBorder="1" applyAlignment="1">
      <alignment horizontal="left"/>
    </xf>
    <xf numFmtId="2" fontId="26" fillId="0" borderId="3" xfId="0" applyNumberFormat="1" applyFont="1" applyBorder="1" applyAlignment="1">
      <alignment horizontal="left"/>
    </xf>
    <xf numFmtId="2" fontId="2" fillId="0" borderId="3" xfId="0" applyNumberFormat="1" applyFont="1" applyBorder="1" applyAlignment="1">
      <alignment horizontal="left"/>
    </xf>
    <xf numFmtId="43" fontId="0" fillId="0" borderId="0" xfId="0" applyNumberFormat="1"/>
    <xf numFmtId="2" fontId="0" fillId="11" borderId="0" xfId="0" applyNumberFormat="1" applyFill="1"/>
    <xf numFmtId="0" fontId="0" fillId="0" borderId="0" xfId="0" applyAlignment="1">
      <alignment wrapText="1"/>
    </xf>
    <xf numFmtId="0" fontId="2" fillId="0" borderId="0" xfId="0" applyFont="1" applyAlignment="1">
      <alignment wrapText="1"/>
    </xf>
    <xf numFmtId="0" fontId="2" fillId="0" borderId="0" xfId="0" applyFont="1"/>
    <xf numFmtId="0" fontId="0" fillId="0" borderId="3" xfId="0" applyBorder="1"/>
    <xf numFmtId="0" fontId="2" fillId="0" borderId="0" xfId="0" applyFont="1" applyAlignment="1">
      <alignment horizontal="left" wrapText="1"/>
    </xf>
    <xf numFmtId="0" fontId="0" fillId="0" borderId="3" xfId="0" applyBorder="1" applyAlignment="1">
      <alignment horizontal="center" vertical="center" wrapText="1"/>
    </xf>
    <xf numFmtId="0" fontId="0" fillId="0" borderId="0" xfId="0" applyAlignment="1">
      <alignment vertical="center" wrapText="1"/>
    </xf>
    <xf numFmtId="3" fontId="0" fillId="0" borderId="3" xfId="0" applyNumberFormat="1" applyBorder="1" applyAlignment="1">
      <alignment horizontal="center" vertical="center" wrapText="1"/>
    </xf>
    <xf numFmtId="3" fontId="0" fillId="0" borderId="0" xfId="0" applyNumberFormat="1" applyAlignment="1">
      <alignment vertical="center" wrapText="1"/>
    </xf>
    <xf numFmtId="168" fontId="0" fillId="0" borderId="3" xfId="0" applyNumberFormat="1" applyBorder="1"/>
    <xf numFmtId="10" fontId="0" fillId="0" borderId="0" xfId="2" applyNumberFormat="1" applyFont="1" applyBorder="1" applyAlignment="1">
      <alignment horizontal="center"/>
    </xf>
    <xf numFmtId="0" fontId="28" fillId="13" borderId="0" xfId="0" applyFont="1" applyFill="1"/>
    <xf numFmtId="43" fontId="9" fillId="0" borderId="0" xfId="1" applyFont="1" applyAlignment="1">
      <alignment horizontal="center"/>
    </xf>
    <xf numFmtId="0" fontId="0" fillId="0" borderId="3" xfId="0" applyBorder="1" applyAlignment="1">
      <alignment horizontal="center" wrapText="1"/>
    </xf>
    <xf numFmtId="43" fontId="0" fillId="0" borderId="0" xfId="1" applyFont="1" applyAlignment="1">
      <alignment horizontal="center"/>
    </xf>
    <xf numFmtId="3" fontId="0" fillId="0" borderId="3" xfId="0" applyNumberFormat="1" applyBorder="1" applyAlignment="1">
      <alignment horizontal="center"/>
    </xf>
    <xf numFmtId="3" fontId="0" fillId="0" borderId="3" xfId="0" applyNumberFormat="1" applyBorder="1"/>
    <xf numFmtId="167" fontId="0" fillId="0" borderId="3" xfId="1" applyNumberFormat="1" applyFont="1" applyBorder="1"/>
    <xf numFmtId="171" fontId="0" fillId="0" borderId="0" xfId="1" applyNumberFormat="1" applyFont="1"/>
    <xf numFmtId="10" fontId="0" fillId="0" borderId="0" xfId="2" applyNumberFormat="1" applyFont="1"/>
    <xf numFmtId="43" fontId="0" fillId="0" borderId="3" xfId="1" applyFont="1" applyFill="1" applyBorder="1"/>
    <xf numFmtId="167" fontId="0" fillId="0" borderId="3" xfId="1" applyNumberFormat="1" applyFont="1" applyFill="1" applyBorder="1"/>
    <xf numFmtId="43" fontId="9" fillId="0" borderId="0" xfId="1" applyFont="1" applyFill="1" applyAlignment="1">
      <alignment horizontal="center"/>
    </xf>
    <xf numFmtId="171" fontId="0" fillId="0" borderId="0" xfId="1" applyNumberFormat="1" applyFont="1" applyFill="1"/>
    <xf numFmtId="10" fontId="0" fillId="0" borderId="0" xfId="2" applyNumberFormat="1" applyFont="1" applyFill="1"/>
    <xf numFmtId="0" fontId="0" fillId="12" borderId="3" xfId="0" applyFill="1" applyBorder="1" applyAlignment="1">
      <alignment horizontal="center"/>
    </xf>
    <xf numFmtId="3" fontId="0" fillId="12" borderId="3" xfId="0" applyNumberFormat="1" applyFill="1" applyBorder="1" applyAlignment="1">
      <alignment horizontal="center" vertical="center" wrapText="1"/>
    </xf>
    <xf numFmtId="3" fontId="0" fillId="12" borderId="3" xfId="0" applyNumberFormat="1" applyFill="1" applyBorder="1" applyAlignment="1">
      <alignment horizontal="center"/>
    </xf>
    <xf numFmtId="3" fontId="0" fillId="12" borderId="3" xfId="0" applyNumberFormat="1" applyFill="1" applyBorder="1"/>
    <xf numFmtId="0" fontId="0" fillId="12" borderId="0" xfId="0" applyFill="1"/>
    <xf numFmtId="167" fontId="0" fillId="12" borderId="3" xfId="1" applyNumberFormat="1" applyFont="1" applyFill="1" applyBorder="1"/>
    <xf numFmtId="43" fontId="9" fillId="12" borderId="0" xfId="1" applyFont="1" applyFill="1" applyAlignment="1">
      <alignment horizontal="center"/>
    </xf>
    <xf numFmtId="171" fontId="0" fillId="12" borderId="0" xfId="1" applyNumberFormat="1" applyFont="1" applyFill="1"/>
    <xf numFmtId="43" fontId="0" fillId="12" borderId="3" xfId="1" applyFont="1" applyFill="1" applyBorder="1"/>
    <xf numFmtId="10" fontId="0" fillId="12" borderId="0" xfId="2" applyNumberFormat="1" applyFont="1" applyFill="1"/>
    <xf numFmtId="0" fontId="2" fillId="0" borderId="0" xfId="0" applyFont="1" applyAlignment="1">
      <alignment horizontal="left"/>
    </xf>
    <xf numFmtId="3" fontId="0" fillId="0" borderId="0" xfId="0" applyNumberFormat="1" applyAlignment="1">
      <alignment horizontal="center" vertical="center" wrapText="1"/>
    </xf>
    <xf numFmtId="3" fontId="0" fillId="0" borderId="0" xfId="0" applyNumberFormat="1"/>
    <xf numFmtId="167" fontId="0" fillId="0" borderId="0" xfId="1" applyNumberFormat="1" applyFont="1" applyBorder="1"/>
    <xf numFmtId="0" fontId="29" fillId="0" borderId="0" xfId="0" applyFont="1"/>
    <xf numFmtId="0" fontId="0" fillId="0" borderId="11" xfId="0" applyBorder="1" applyAlignment="1">
      <alignment horizontal="center" wrapText="1"/>
    </xf>
    <xf numFmtId="172" fontId="0" fillId="0" borderId="0" xfId="0" applyNumberFormat="1"/>
    <xf numFmtId="167" fontId="9" fillId="0" borderId="0" xfId="1" applyNumberFormat="1" applyFont="1" applyAlignment="1">
      <alignment horizontal="center"/>
    </xf>
    <xf numFmtId="166" fontId="0" fillId="0" borderId="0" xfId="2" applyNumberFormat="1" applyFont="1" applyFill="1" applyBorder="1"/>
    <xf numFmtId="43" fontId="0" fillId="12" borderId="0" xfId="0" applyNumberFormat="1" applyFill="1"/>
    <xf numFmtId="166" fontId="0" fillId="12" borderId="0" xfId="2" applyNumberFormat="1" applyFont="1" applyFill="1" applyBorder="1"/>
    <xf numFmtId="3" fontId="14" fillId="0" borderId="3" xfId="0" applyNumberFormat="1" applyFont="1" applyBorder="1" applyAlignment="1">
      <alignment horizontal="center"/>
    </xf>
    <xf numFmtId="0" fontId="14" fillId="0" borderId="3" xfId="0" applyFont="1" applyBorder="1" applyAlignment="1">
      <alignment horizontal="center"/>
    </xf>
    <xf numFmtId="3" fontId="14" fillId="0" borderId="3" xfId="0" applyNumberFormat="1" applyFont="1" applyBorder="1"/>
    <xf numFmtId="0" fontId="15" fillId="0" borderId="0" xfId="0" applyFont="1" applyAlignment="1">
      <alignment horizontal="left"/>
    </xf>
    <xf numFmtId="3" fontId="30" fillId="0" borderId="0" xfId="0" applyNumberFormat="1" applyFont="1" applyAlignment="1">
      <alignment horizontal="left" vertical="center"/>
    </xf>
    <xf numFmtId="3" fontId="31" fillId="0" borderId="0" xfId="0" applyNumberFormat="1" applyFont="1" applyAlignment="1">
      <alignment horizontal="center"/>
    </xf>
    <xf numFmtId="9" fontId="0" fillId="0" borderId="0" xfId="2" applyFont="1" applyBorder="1"/>
    <xf numFmtId="43" fontId="0" fillId="0" borderId="0" xfId="1" applyFont="1" applyFill="1" applyBorder="1"/>
    <xf numFmtId="0" fontId="29" fillId="0" borderId="0" xfId="0" applyFont="1" applyAlignment="1">
      <alignment horizontal="left"/>
    </xf>
    <xf numFmtId="3" fontId="14" fillId="12" borderId="3" xfId="0" applyNumberFormat="1" applyFont="1" applyFill="1" applyBorder="1" applyAlignment="1">
      <alignment horizontal="center"/>
    </xf>
    <xf numFmtId="3" fontId="0" fillId="12" borderId="0" xfId="0" applyNumberFormat="1" applyFill="1"/>
    <xf numFmtId="3" fontId="14" fillId="14" borderId="3" xfId="0" applyNumberFormat="1" applyFont="1" applyFill="1" applyBorder="1" applyAlignment="1">
      <alignment horizontal="center"/>
    </xf>
    <xf numFmtId="3" fontId="14" fillId="0" borderId="0" xfId="0" applyNumberFormat="1" applyFont="1"/>
    <xf numFmtId="0" fontId="32" fillId="0" borderId="0" xfId="0" applyFont="1"/>
    <xf numFmtId="167" fontId="0" fillId="0" borderId="3" xfId="0" applyNumberFormat="1" applyBorder="1"/>
    <xf numFmtId="171" fontId="0" fillId="0" borderId="8" xfId="0" applyNumberFormat="1" applyBorder="1"/>
    <xf numFmtId="173" fontId="0" fillId="0" borderId="3" xfId="0" applyNumberFormat="1" applyBorder="1"/>
    <xf numFmtId="174" fontId="0" fillId="0" borderId="0" xfId="0" applyNumberFormat="1"/>
    <xf numFmtId="0" fontId="30" fillId="0" borderId="0" xfId="0" applyFont="1"/>
    <xf numFmtId="167" fontId="0" fillId="0" borderId="0" xfId="0" applyNumberFormat="1"/>
    <xf numFmtId="0" fontId="16" fillId="8" borderId="5" xfId="0" applyFont="1" applyFill="1" applyBorder="1" applyAlignment="1">
      <alignment horizontal="center"/>
    </xf>
    <xf numFmtId="0" fontId="0" fillId="0" borderId="3" xfId="0"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33" fillId="15" borderId="6" xfId="0" applyFont="1" applyFill="1" applyBorder="1" applyAlignment="1">
      <alignment horizontal="center" wrapText="1"/>
    </xf>
    <xf numFmtId="0" fontId="34" fillId="0" borderId="0" xfId="0" applyFont="1" applyAlignment="1">
      <alignment horizontal="center"/>
    </xf>
  </cellXfs>
  <cellStyles count="22">
    <cellStyle name="Comma" xfId="1" builtinId="3"/>
    <cellStyle name="Comma 11" xfId="15" xr:uid="{062DE8CA-1245-48F2-9005-038129B2940C}"/>
    <cellStyle name="Comma 2" xfId="4" xr:uid="{1DFD6C79-A141-4FFF-AA67-43468110C0DD}"/>
    <cellStyle name="Comma 2 2" xfId="11" xr:uid="{F91A9272-C7E3-47E6-94C2-175A5A803FC4}"/>
    <cellStyle name="Comma 2 3" xfId="21" xr:uid="{C53D709B-020D-4957-9190-D0C5DE9857E4}"/>
    <cellStyle name="Comma 3" xfId="20" xr:uid="{3DC23016-63FA-4307-BD3D-3362237874A4}"/>
    <cellStyle name="Hyperlink" xfId="6" builtinId="8"/>
    <cellStyle name="Hyperlink 15" xfId="16" xr:uid="{017CA809-A7EF-4765-94DF-39DCA88A0885}"/>
    <cellStyle name="Hyperlink 2" xfId="12" xr:uid="{8679742D-2FDB-4AF3-A3BA-88E363DB491C}"/>
    <cellStyle name="Normal" xfId="0" builtinId="0"/>
    <cellStyle name="Normal 108" xfId="13" xr:uid="{8D7BAE3B-A762-48C3-88DB-1E0B67DC19E6}"/>
    <cellStyle name="Normal 128" xfId="18" xr:uid="{E3836682-C9D8-4491-BF09-69B0197D3392}"/>
    <cellStyle name="Normal 2" xfId="3" xr:uid="{F526C84A-AA83-4868-B5F1-1438212AA03A}"/>
    <cellStyle name="Normal 2 2" xfId="14" xr:uid="{B2D5C5BB-F011-4E1C-9BAC-40A5E272F9C1}"/>
    <cellStyle name="Normal 2 2 2 4" xfId="7" xr:uid="{1D40DC6A-498E-4345-BBD2-7A09B8CC0AD0}"/>
    <cellStyle name="Normal 22" xfId="8" xr:uid="{05E56A1C-9C2F-406C-9F4D-1AE74B12C378}"/>
    <cellStyle name="Normal 3" xfId="5" xr:uid="{25923E59-4706-4FEA-A658-B96B3A01FA41}"/>
    <cellStyle name="Normal 4" xfId="10" xr:uid="{66FF9CE4-2442-422E-8B44-8FE06D36ABE7}"/>
    <cellStyle name="Normal_SUMMARY (old)" xfId="19" xr:uid="{D0EDDCFE-A30E-4BD5-AF80-4101E31B2083}"/>
    <cellStyle name="Percent" xfId="2" builtinId="5"/>
    <cellStyle name="Percent 2" xfId="9" xr:uid="{646658BA-C029-4AB7-87FB-C2409314B237}"/>
    <cellStyle name="Percent 7" xfId="17" xr:uid="{BAAA330C-76C1-4F45-A900-36F543C5A103}"/>
  </cellStyles>
  <dxfs count="0"/>
  <tableStyles count="0" defaultTableStyle="TableStyleMedium2" defaultPivotStyle="PivotStyleLight16"/>
  <colors>
    <mruColors>
      <color rgb="FFFCD7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Hawaii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9089602372653935E-2"/>
          <c:y val="0.16241823210682035"/>
          <c:w val="0.88890505006672138"/>
          <c:h val="0.77736111111111106"/>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4.7865266841644792E-2"/>
                  <c:y val="-0.5311836541265675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Landfills!$A$17:$A$34</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xVal>
          <c:yVal>
            <c:numRef>
              <c:f>Landfills!$B$17:$B$34</c:f>
              <c:numCache>
                <c:formatCode>0.00</c:formatCode>
                <c:ptCount val="18"/>
                <c:pt idx="0">
                  <c:v>0.17936410913627931</c:v>
                </c:pt>
                <c:pt idx="2">
                  <c:v>0.17649271739139635</c:v>
                </c:pt>
                <c:pt idx="5">
                  <c:v>0.18413884937786706</c:v>
                </c:pt>
                <c:pt idx="10">
                  <c:v>0.11776964223996779</c:v>
                </c:pt>
                <c:pt idx="11">
                  <c:v>0.11950186632422261</c:v>
                </c:pt>
                <c:pt idx="12">
                  <c:v>0.12124905111660771</c:v>
                </c:pt>
                <c:pt idx="13">
                  <c:v>0.12389864568484836</c:v>
                </c:pt>
                <c:pt idx="14">
                  <c:v>0.12423887791551921</c:v>
                </c:pt>
                <c:pt idx="15">
                  <c:v>0.12056481901015415</c:v>
                </c:pt>
                <c:pt idx="16">
                  <c:v>0.11453725286134202</c:v>
                </c:pt>
                <c:pt idx="17">
                  <c:v>0.10796377234509663</c:v>
                </c:pt>
              </c:numCache>
            </c:numRef>
          </c:yVal>
          <c:smooth val="0"/>
          <c:extLst>
            <c:ext xmlns:c16="http://schemas.microsoft.com/office/drawing/2014/chart" uri="{C3380CC4-5D6E-409C-BE32-E72D297353CC}">
              <c16:uniqueId val="{00000000-904D-458A-8786-3D30D15E578E}"/>
            </c:ext>
          </c:extLst>
        </c:ser>
        <c:dLbls>
          <c:showLegendKey val="0"/>
          <c:showVal val="0"/>
          <c:showCatName val="0"/>
          <c:showSerName val="0"/>
          <c:showPercent val="0"/>
          <c:showBubbleSize val="0"/>
        </c:dLbls>
        <c:axId val="291227296"/>
        <c:axId val="291259456"/>
      </c:scatterChart>
      <c:valAx>
        <c:axId val="291227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1259456"/>
        <c:crosses val="autoZero"/>
        <c:crossBetween val="midCat"/>
      </c:valAx>
      <c:valAx>
        <c:axId val="291259456"/>
        <c:scaling>
          <c:orientation val="minMax"/>
        </c:scaling>
        <c:delete val="0"/>
        <c:axPos val="l"/>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12272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Kauai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3313908335126544E-2"/>
          <c:y val="0.13224883628321943"/>
          <c:w val="0.8889050986646766"/>
          <c:h val="0.78104719970229963"/>
        </c:manualLayout>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forward val="20"/>
            <c:dispRSqr val="1"/>
            <c:dispEq val="1"/>
            <c:trendlineLbl>
              <c:layout>
                <c:manualLayout>
                  <c:x val="-4.0475943404985545E-2"/>
                  <c:y val="-0.720681248991676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cat>
            <c:numRef>
              <c:f>Landfills!$A$27:$A$34</c:f>
              <c:numCache>
                <c:formatCode>General</c:formatCode>
                <c:ptCount val="8"/>
                <c:pt idx="0">
                  <c:v>2015</c:v>
                </c:pt>
                <c:pt idx="1">
                  <c:v>2016</c:v>
                </c:pt>
                <c:pt idx="2">
                  <c:v>2017</c:v>
                </c:pt>
                <c:pt idx="3">
                  <c:v>2018</c:v>
                </c:pt>
                <c:pt idx="4">
                  <c:v>2019</c:v>
                </c:pt>
                <c:pt idx="5">
                  <c:v>2020</c:v>
                </c:pt>
                <c:pt idx="6">
                  <c:v>2021</c:v>
                </c:pt>
                <c:pt idx="7">
                  <c:v>2022</c:v>
                </c:pt>
              </c:numCache>
            </c:numRef>
          </c:cat>
          <c:val>
            <c:numRef>
              <c:f>Landfills!$D$27:$D$34</c:f>
              <c:numCache>
                <c:formatCode>0.00</c:formatCode>
                <c:ptCount val="8"/>
                <c:pt idx="0">
                  <c:v>8.6173002393342468E-2</c:v>
                </c:pt>
                <c:pt idx="1">
                  <c:v>3.2126847168728087E-2</c:v>
                </c:pt>
                <c:pt idx="2">
                  <c:v>3.0223908907556787E-2</c:v>
                </c:pt>
                <c:pt idx="3">
                  <c:v>1.1354471468770876E-2</c:v>
                </c:pt>
                <c:pt idx="4">
                  <c:v>1.9499244064550593E-2</c:v>
                </c:pt>
                <c:pt idx="5">
                  <c:v>1.5591883819971267E-2</c:v>
                </c:pt>
                <c:pt idx="6">
                  <c:v>1.7454994135860151E-2</c:v>
                </c:pt>
                <c:pt idx="7">
                  <c:v>1.369131711518322E-2</c:v>
                </c:pt>
              </c:numCache>
            </c:numRef>
          </c:val>
          <c:smooth val="0"/>
          <c:extLst>
            <c:ext xmlns:c16="http://schemas.microsoft.com/office/drawing/2014/chart" uri="{C3380CC4-5D6E-409C-BE32-E72D297353CC}">
              <c16:uniqueId val="{00000001-A2B7-4873-A9F5-134ECC198FB9}"/>
            </c:ext>
          </c:extLst>
        </c:ser>
        <c:dLbls>
          <c:showLegendKey val="0"/>
          <c:showVal val="0"/>
          <c:showCatName val="0"/>
          <c:showSerName val="0"/>
          <c:showPercent val="0"/>
          <c:showBubbleSize val="0"/>
        </c:dLbls>
        <c:marker val="1"/>
        <c:smooth val="0"/>
        <c:axId val="291227296"/>
        <c:axId val="291259456"/>
      </c:lineChart>
      <c:catAx>
        <c:axId val="291227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1259456"/>
        <c:crosses val="autoZero"/>
        <c:auto val="1"/>
        <c:lblAlgn val="ctr"/>
        <c:lblOffset val="100"/>
        <c:noMultiLvlLbl val="0"/>
      </c:catAx>
      <c:valAx>
        <c:axId val="291259456"/>
        <c:scaling>
          <c:orientation val="minMax"/>
        </c:scaling>
        <c:delete val="0"/>
        <c:axPos val="l"/>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12272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Honolulu</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6.3985126859142606E-3"/>
                  <c:y val="-0.5084288422280548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cat>
            <c:numRef>
              <c:f>Landfills!$A$17:$A$34</c:f>
              <c:numCache>
                <c:formatCode>General</c:formatCode>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numCache>
            </c:numRef>
          </c:cat>
          <c:val>
            <c:numRef>
              <c:f>Landfills!$C$22:$C$34</c:f>
              <c:numCache>
                <c:formatCode>0.00</c:formatCode>
                <c:ptCount val="13"/>
                <c:pt idx="0">
                  <c:v>0.19462911999999999</c:v>
                </c:pt>
                <c:pt idx="5">
                  <c:v>0.11901904000000001</c:v>
                </c:pt>
                <c:pt idx="6">
                  <c:v>0.11506012</c:v>
                </c:pt>
                <c:pt idx="7">
                  <c:v>7.8992760000000009E-2</c:v>
                </c:pt>
                <c:pt idx="8">
                  <c:v>8.1589200000000001E-2</c:v>
                </c:pt>
                <c:pt idx="9">
                  <c:v>7.2196599999999986E-2</c:v>
                </c:pt>
                <c:pt idx="10">
                  <c:v>4.7622400000000009E-2</c:v>
                </c:pt>
                <c:pt idx="11">
                  <c:v>7.2368799999999997E-2</c:v>
                </c:pt>
                <c:pt idx="12">
                  <c:v>7.8074640000000001E-2</c:v>
                </c:pt>
              </c:numCache>
            </c:numRef>
          </c:val>
          <c:smooth val="0"/>
          <c:extLst>
            <c:ext xmlns:c16="http://schemas.microsoft.com/office/drawing/2014/chart" uri="{C3380CC4-5D6E-409C-BE32-E72D297353CC}">
              <c16:uniqueId val="{00000000-8795-473D-B66A-C4AB41F66FFD}"/>
            </c:ext>
          </c:extLst>
        </c:ser>
        <c:dLbls>
          <c:showLegendKey val="0"/>
          <c:showVal val="0"/>
          <c:showCatName val="0"/>
          <c:showSerName val="0"/>
          <c:showPercent val="0"/>
          <c:showBubbleSize val="0"/>
        </c:dLbls>
        <c:marker val="1"/>
        <c:smooth val="0"/>
        <c:axId val="1699776272"/>
        <c:axId val="1699776752"/>
      </c:lineChart>
      <c:catAx>
        <c:axId val="1699776272"/>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9776752"/>
        <c:crosses val="autoZero"/>
        <c:auto val="1"/>
        <c:lblAlgn val="ctr"/>
        <c:lblOffset val="100"/>
        <c:noMultiLvlLbl val="0"/>
      </c:catAx>
      <c:valAx>
        <c:axId val="1699776752"/>
        <c:scaling>
          <c:orientation val="minMax"/>
        </c:scaling>
        <c:delete val="0"/>
        <c:axPos val="l"/>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97762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483208064900999E-2"/>
          <c:y val="4.4806531682579878E-2"/>
          <c:w val="0.88568345860176556"/>
          <c:h val="0.76752177542915001"/>
        </c:manualLayout>
      </c:layout>
      <c:lineChart>
        <c:grouping val="standard"/>
        <c:varyColors val="0"/>
        <c:ser>
          <c:idx val="0"/>
          <c:order val="0"/>
          <c:tx>
            <c:strRef>
              <c:f>Wastewater!$B$2</c:f>
              <c:strCache>
                <c:ptCount val="1"/>
                <c:pt idx="0">
                  <c:v>Hawaii</c:v>
                </c:pt>
              </c:strCache>
            </c:strRef>
          </c:tx>
          <c:spPr>
            <a:ln w="28575" cap="rnd">
              <a:solidFill>
                <a:schemeClr val="accent1"/>
              </a:solidFill>
              <a:round/>
            </a:ln>
            <a:effectLst/>
          </c:spPr>
          <c:marker>
            <c:symbol val="none"/>
          </c:marker>
          <c:cat>
            <c:numRef>
              <c:f>Wastewater!$A$3:$A$11</c:f>
              <c:numCache>
                <c:formatCode>General</c:formatCode>
                <c:ptCount val="9"/>
                <c:pt idx="0">
                  <c:v>2022</c:v>
                </c:pt>
                <c:pt idx="1">
                  <c:v>2023</c:v>
                </c:pt>
                <c:pt idx="2">
                  <c:v>2024</c:v>
                </c:pt>
                <c:pt idx="3">
                  <c:v>2025</c:v>
                </c:pt>
                <c:pt idx="4">
                  <c:v>2026</c:v>
                </c:pt>
                <c:pt idx="5">
                  <c:v>2027</c:v>
                </c:pt>
                <c:pt idx="6">
                  <c:v>2028</c:v>
                </c:pt>
                <c:pt idx="7">
                  <c:v>2029</c:v>
                </c:pt>
                <c:pt idx="8">
                  <c:v>2030</c:v>
                </c:pt>
              </c:numCache>
            </c:numRef>
          </c:cat>
          <c:val>
            <c:numRef>
              <c:f>Wastewater!$B$3:$B$11</c:f>
              <c:numCache>
                <c:formatCode>0.00</c:formatCode>
                <c:ptCount val="9"/>
                <c:pt idx="0">
                  <c:v>6.29939085207933E-3</c:v>
                </c:pt>
                <c:pt idx="1">
                  <c:v>6.3144544294356283E-3</c:v>
                </c:pt>
                <c:pt idx="2">
                  <c:v>6.3290933537512384E-3</c:v>
                </c:pt>
                <c:pt idx="3">
                  <c:v>6.3435839204600943E-3</c:v>
                </c:pt>
                <c:pt idx="4">
                  <c:v>6.4544926629285741E-3</c:v>
                </c:pt>
                <c:pt idx="5">
                  <c:v>6.5673404905120551E-3</c:v>
                </c:pt>
                <c:pt idx="6">
                  <c:v>6.6821613054169815E-3</c:v>
                </c:pt>
                <c:pt idx="7">
                  <c:v>6.7989896025827208E-3</c:v>
                </c:pt>
                <c:pt idx="8">
                  <c:v>6.9178604800446851E-3</c:v>
                </c:pt>
              </c:numCache>
            </c:numRef>
          </c:val>
          <c:smooth val="0"/>
          <c:extLst>
            <c:ext xmlns:c16="http://schemas.microsoft.com/office/drawing/2014/chart" uri="{C3380CC4-5D6E-409C-BE32-E72D297353CC}">
              <c16:uniqueId val="{00000000-1FC6-460E-BA8F-CE76FCB15930}"/>
            </c:ext>
          </c:extLst>
        </c:ser>
        <c:ser>
          <c:idx val="1"/>
          <c:order val="1"/>
          <c:tx>
            <c:strRef>
              <c:f>Wastewater!$C$2</c:f>
              <c:strCache>
                <c:ptCount val="1"/>
                <c:pt idx="0">
                  <c:v>Honolulu</c:v>
                </c:pt>
              </c:strCache>
            </c:strRef>
          </c:tx>
          <c:spPr>
            <a:ln w="28575" cap="rnd">
              <a:solidFill>
                <a:schemeClr val="accent2"/>
              </a:solidFill>
              <a:round/>
            </a:ln>
            <a:effectLst/>
          </c:spPr>
          <c:marker>
            <c:symbol val="none"/>
          </c:marker>
          <c:cat>
            <c:numRef>
              <c:f>Wastewater!$A$3:$A$11</c:f>
              <c:numCache>
                <c:formatCode>General</c:formatCode>
                <c:ptCount val="9"/>
                <c:pt idx="0">
                  <c:v>2022</c:v>
                </c:pt>
                <c:pt idx="1">
                  <c:v>2023</c:v>
                </c:pt>
                <c:pt idx="2">
                  <c:v>2024</c:v>
                </c:pt>
                <c:pt idx="3">
                  <c:v>2025</c:v>
                </c:pt>
                <c:pt idx="4">
                  <c:v>2026</c:v>
                </c:pt>
                <c:pt idx="5">
                  <c:v>2027</c:v>
                </c:pt>
                <c:pt idx="6">
                  <c:v>2028</c:v>
                </c:pt>
                <c:pt idx="7">
                  <c:v>2029</c:v>
                </c:pt>
                <c:pt idx="8">
                  <c:v>2030</c:v>
                </c:pt>
              </c:numCache>
            </c:numRef>
          </c:cat>
          <c:val>
            <c:numRef>
              <c:f>Wastewater!$C$3:$C$11</c:f>
              <c:numCache>
                <c:formatCode>0.00</c:formatCode>
                <c:ptCount val="9"/>
                <c:pt idx="0">
                  <c:v>3.8690548454441809E-2</c:v>
                </c:pt>
                <c:pt idx="1">
                  <c:v>3.8900319449682481E-2</c:v>
                </c:pt>
                <c:pt idx="2">
                  <c:v>3.9108381201239988E-2</c:v>
                </c:pt>
                <c:pt idx="3">
                  <c:v>3.9316425954685048E-2</c:v>
                </c:pt>
                <c:pt idx="4">
                  <c:v>3.9621732634029051E-2</c:v>
                </c:pt>
                <c:pt idx="5">
                  <c:v>3.9929410133359586E-2</c:v>
                </c:pt>
                <c:pt idx="6">
                  <c:v>4.0239476862976145E-2</c:v>
                </c:pt>
                <c:pt idx="7">
                  <c:v>4.0551951376141079E-2</c:v>
                </c:pt>
                <c:pt idx="8">
                  <c:v>4.0866852370189707E-2</c:v>
                </c:pt>
              </c:numCache>
            </c:numRef>
          </c:val>
          <c:smooth val="0"/>
          <c:extLst>
            <c:ext xmlns:c16="http://schemas.microsoft.com/office/drawing/2014/chart" uri="{C3380CC4-5D6E-409C-BE32-E72D297353CC}">
              <c16:uniqueId val="{00000001-1FC6-460E-BA8F-CE76FCB15930}"/>
            </c:ext>
          </c:extLst>
        </c:ser>
        <c:ser>
          <c:idx val="2"/>
          <c:order val="2"/>
          <c:tx>
            <c:strRef>
              <c:f>Wastewater!$D$2</c:f>
              <c:strCache>
                <c:ptCount val="1"/>
                <c:pt idx="0">
                  <c:v>Kauai</c:v>
                </c:pt>
              </c:strCache>
            </c:strRef>
          </c:tx>
          <c:spPr>
            <a:ln w="28575" cap="rnd">
              <a:solidFill>
                <a:schemeClr val="accent3"/>
              </a:solidFill>
              <a:round/>
            </a:ln>
            <a:effectLst/>
          </c:spPr>
          <c:marker>
            <c:symbol val="none"/>
          </c:marker>
          <c:cat>
            <c:numRef>
              <c:f>Wastewater!$A$3:$A$11</c:f>
              <c:numCache>
                <c:formatCode>General</c:formatCode>
                <c:ptCount val="9"/>
                <c:pt idx="0">
                  <c:v>2022</c:v>
                </c:pt>
                <c:pt idx="1">
                  <c:v>2023</c:v>
                </c:pt>
                <c:pt idx="2">
                  <c:v>2024</c:v>
                </c:pt>
                <c:pt idx="3">
                  <c:v>2025</c:v>
                </c:pt>
                <c:pt idx="4">
                  <c:v>2026</c:v>
                </c:pt>
                <c:pt idx="5">
                  <c:v>2027</c:v>
                </c:pt>
                <c:pt idx="6">
                  <c:v>2028</c:v>
                </c:pt>
                <c:pt idx="7">
                  <c:v>2029</c:v>
                </c:pt>
                <c:pt idx="8">
                  <c:v>2030</c:v>
                </c:pt>
              </c:numCache>
            </c:numRef>
          </c:cat>
          <c:val>
            <c:numRef>
              <c:f>Wastewater!$D$3:$D$11</c:f>
              <c:numCache>
                <c:formatCode>0.00</c:formatCode>
                <c:ptCount val="9"/>
                <c:pt idx="0">
                  <c:v>2.668712828597217E-3</c:v>
                </c:pt>
                <c:pt idx="1">
                  <c:v>2.6846283823281896E-3</c:v>
                </c:pt>
                <c:pt idx="2">
                  <c:v>2.700442296101847E-3</c:v>
                </c:pt>
                <c:pt idx="3">
                  <c:v>2.7162713050058987E-3</c:v>
                </c:pt>
                <c:pt idx="4">
                  <c:v>2.7970937222219394E-3</c:v>
                </c:pt>
                <c:pt idx="5">
                  <c:v>2.8803210034560197E-3</c:v>
                </c:pt>
                <c:pt idx="6">
                  <c:v>2.9660247052285282E-3</c:v>
                </c:pt>
                <c:pt idx="7">
                  <c:v>3.0542785132179114E-3</c:v>
                </c:pt>
                <c:pt idx="8">
                  <c:v>3.1451583056135947E-3</c:v>
                </c:pt>
              </c:numCache>
            </c:numRef>
          </c:val>
          <c:smooth val="0"/>
          <c:extLst>
            <c:ext xmlns:c16="http://schemas.microsoft.com/office/drawing/2014/chart" uri="{C3380CC4-5D6E-409C-BE32-E72D297353CC}">
              <c16:uniqueId val="{00000002-1FC6-460E-BA8F-CE76FCB15930}"/>
            </c:ext>
          </c:extLst>
        </c:ser>
        <c:ser>
          <c:idx val="3"/>
          <c:order val="3"/>
          <c:tx>
            <c:strRef>
              <c:f>Wastewater!$E$2</c:f>
              <c:strCache>
                <c:ptCount val="1"/>
                <c:pt idx="0">
                  <c:v>Maui</c:v>
                </c:pt>
              </c:strCache>
            </c:strRef>
          </c:tx>
          <c:spPr>
            <a:ln w="28575" cap="rnd">
              <a:solidFill>
                <a:schemeClr val="accent4"/>
              </a:solidFill>
              <a:round/>
            </a:ln>
            <a:effectLst/>
          </c:spPr>
          <c:marker>
            <c:symbol val="none"/>
          </c:marker>
          <c:cat>
            <c:numRef>
              <c:f>Wastewater!$A$3:$A$11</c:f>
              <c:numCache>
                <c:formatCode>General</c:formatCode>
                <c:ptCount val="9"/>
                <c:pt idx="0">
                  <c:v>2022</c:v>
                </c:pt>
                <c:pt idx="1">
                  <c:v>2023</c:v>
                </c:pt>
                <c:pt idx="2">
                  <c:v>2024</c:v>
                </c:pt>
                <c:pt idx="3">
                  <c:v>2025</c:v>
                </c:pt>
                <c:pt idx="4">
                  <c:v>2026</c:v>
                </c:pt>
                <c:pt idx="5">
                  <c:v>2027</c:v>
                </c:pt>
                <c:pt idx="6">
                  <c:v>2028</c:v>
                </c:pt>
                <c:pt idx="7">
                  <c:v>2029</c:v>
                </c:pt>
                <c:pt idx="8">
                  <c:v>2030</c:v>
                </c:pt>
              </c:numCache>
            </c:numRef>
          </c:cat>
          <c:val>
            <c:numRef>
              <c:f>Wastewater!$E$3:$E$11</c:f>
              <c:numCache>
                <c:formatCode>0.00</c:formatCode>
                <c:ptCount val="9"/>
                <c:pt idx="0">
                  <c:v>6.1167781479619125E-3</c:v>
                </c:pt>
                <c:pt idx="1">
                  <c:v>6.0520586129235894E-3</c:v>
                </c:pt>
                <c:pt idx="2">
                  <c:v>5.9875880359892995E-3</c:v>
                </c:pt>
                <c:pt idx="3">
                  <c:v>5.9236340155383021E-3</c:v>
                </c:pt>
                <c:pt idx="4">
                  <c:v>6.0674811760741184E-3</c:v>
                </c:pt>
                <c:pt idx="5">
                  <c:v>6.2148214635553084E-3</c:v>
                </c:pt>
                <c:pt idx="6">
                  <c:v>6.3657397036802855E-3</c:v>
                </c:pt>
                <c:pt idx="7">
                  <c:v>6.5203227820208026E-3</c:v>
                </c:pt>
                <c:pt idx="8">
                  <c:v>6.6786596940431146E-3</c:v>
                </c:pt>
              </c:numCache>
            </c:numRef>
          </c:val>
          <c:smooth val="0"/>
          <c:extLst>
            <c:ext xmlns:c16="http://schemas.microsoft.com/office/drawing/2014/chart" uri="{C3380CC4-5D6E-409C-BE32-E72D297353CC}">
              <c16:uniqueId val="{00000003-1FC6-460E-BA8F-CE76FCB15930}"/>
            </c:ext>
          </c:extLst>
        </c:ser>
        <c:dLbls>
          <c:showLegendKey val="0"/>
          <c:showVal val="0"/>
          <c:showCatName val="0"/>
          <c:showSerName val="0"/>
          <c:showPercent val="0"/>
          <c:showBubbleSize val="0"/>
        </c:dLbls>
        <c:smooth val="0"/>
        <c:axId val="595382736"/>
        <c:axId val="595378256"/>
      </c:lineChart>
      <c:catAx>
        <c:axId val="595382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378256"/>
        <c:crosses val="autoZero"/>
        <c:auto val="1"/>
        <c:lblAlgn val="ctr"/>
        <c:lblOffset val="100"/>
        <c:noMultiLvlLbl val="0"/>
      </c:catAx>
      <c:valAx>
        <c:axId val="595378256"/>
        <c:scaling>
          <c:orientation val="minMax"/>
        </c:scaling>
        <c:delete val="0"/>
        <c:axPos val="l"/>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382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154823994884636E-2"/>
          <c:y val="4.238921001926782E-2"/>
          <c:w val="0.89472906818046172"/>
          <c:h val="0.78006402378893391"/>
        </c:manualLayout>
      </c:layout>
      <c:lineChart>
        <c:grouping val="standard"/>
        <c:varyColors val="0"/>
        <c:ser>
          <c:idx val="0"/>
          <c:order val="0"/>
          <c:tx>
            <c:strRef>
              <c:f>Composting!$B$2</c:f>
              <c:strCache>
                <c:ptCount val="1"/>
                <c:pt idx="0">
                  <c:v>Hawaii</c:v>
                </c:pt>
              </c:strCache>
            </c:strRef>
          </c:tx>
          <c:spPr>
            <a:ln w="28575" cap="rnd">
              <a:solidFill>
                <a:schemeClr val="accent5"/>
              </a:solidFill>
              <a:round/>
            </a:ln>
            <a:effectLst/>
          </c:spPr>
          <c:marker>
            <c:symbol val="none"/>
          </c:marker>
          <c:cat>
            <c:numRef>
              <c:f>Composting!$A$3:$A$26</c:f>
              <c:numCache>
                <c:formatCode>General</c:formatCode>
                <c:ptCount val="24"/>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pt idx="22">
                  <c:v>2044</c:v>
                </c:pt>
                <c:pt idx="23">
                  <c:v>2045</c:v>
                </c:pt>
              </c:numCache>
            </c:numRef>
          </c:cat>
          <c:val>
            <c:numRef>
              <c:f>Composting!$B$3:$B$26</c:f>
              <c:numCache>
                <c:formatCode>0.000</c:formatCode>
                <c:ptCount val="24"/>
                <c:pt idx="0">
                  <c:v>6.0504039886480005E-3</c:v>
                </c:pt>
                <c:pt idx="1">
                  <c:v>6.0648721698832973E-3</c:v>
                </c:pt>
                <c:pt idx="2">
                  <c:v>6.0789324827212358E-3</c:v>
                </c:pt>
                <c:pt idx="3">
                  <c:v>6.0928503018678436E-3</c:v>
                </c:pt>
                <c:pt idx="4">
                  <c:v>6.1993753157246548E-3</c:v>
                </c:pt>
                <c:pt idx="5">
                  <c:v>6.3077627712983921E-3</c:v>
                </c:pt>
                <c:pt idx="6">
                  <c:v>6.4180452307922757E-3</c:v>
                </c:pt>
                <c:pt idx="7">
                  <c:v>6.5302558257143576E-3</c:v>
                </c:pt>
                <c:pt idx="8">
                  <c:v>6.6444282668310338E-3</c:v>
                </c:pt>
                <c:pt idx="9">
                  <c:v>6.6780040497262938E-3</c:v>
                </c:pt>
                <c:pt idx="10">
                  <c:v>6.7117494985659727E-3</c:v>
                </c:pt>
                <c:pt idx="11">
                  <c:v>6.7456654707100574E-3</c:v>
                </c:pt>
                <c:pt idx="12">
                  <c:v>6.7797528278509623E-3</c:v>
                </c:pt>
                <c:pt idx="13">
                  <c:v>6.814012436035433E-3</c:v>
                </c:pt>
                <c:pt idx="14">
                  <c:v>6.8484451656865321E-3</c:v>
                </c:pt>
                <c:pt idx="15">
                  <c:v>6.8830518916257735E-3</c:v>
                </c:pt>
                <c:pt idx="16">
                  <c:v>6.9178334930953388E-3</c:v>
                </c:pt>
                <c:pt idx="17">
                  <c:v>6.9527908537804113E-3</c:v>
                </c:pt>
                <c:pt idx="18">
                  <c:v>6.9879248618316446E-3</c:v>
                </c:pt>
                <c:pt idx="19">
                  <c:v>7.0140885033733993E-3</c:v>
                </c:pt>
                <c:pt idx="20">
                  <c:v>7.0403501047748051E-3</c:v>
                </c:pt>
                <c:pt idx="21">
                  <c:v>7.0667100328095072E-3</c:v>
                </c:pt>
                <c:pt idx="22">
                  <c:v>7.0931686556243902E-3</c:v>
                </c:pt>
                <c:pt idx="23">
                  <c:v>7.11972634274473E-3</c:v>
                </c:pt>
              </c:numCache>
            </c:numRef>
          </c:val>
          <c:smooth val="0"/>
          <c:extLst>
            <c:ext xmlns:c16="http://schemas.microsoft.com/office/drawing/2014/chart" uri="{C3380CC4-5D6E-409C-BE32-E72D297353CC}">
              <c16:uniqueId val="{00000000-4505-4B2D-A80C-270302CF8143}"/>
            </c:ext>
          </c:extLst>
        </c:ser>
        <c:ser>
          <c:idx val="1"/>
          <c:order val="1"/>
          <c:tx>
            <c:strRef>
              <c:f>Composting!$C$2</c:f>
              <c:strCache>
                <c:ptCount val="1"/>
                <c:pt idx="0">
                  <c:v>Honolulu</c:v>
                </c:pt>
              </c:strCache>
            </c:strRef>
          </c:tx>
          <c:spPr>
            <a:ln w="28575" cap="rnd">
              <a:solidFill>
                <a:schemeClr val="accent2"/>
              </a:solidFill>
              <a:round/>
            </a:ln>
            <a:effectLst/>
          </c:spPr>
          <c:marker>
            <c:symbol val="none"/>
          </c:marker>
          <c:cat>
            <c:numRef>
              <c:f>Composting!$A$3:$A$26</c:f>
              <c:numCache>
                <c:formatCode>General</c:formatCode>
                <c:ptCount val="24"/>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pt idx="22">
                  <c:v>2044</c:v>
                </c:pt>
                <c:pt idx="23">
                  <c:v>2045</c:v>
                </c:pt>
              </c:numCache>
            </c:numRef>
          </c:cat>
          <c:val>
            <c:numRef>
              <c:f>Composting!$C$3:$C$26</c:f>
              <c:numCache>
                <c:formatCode>0.000</c:formatCode>
                <c:ptCount val="24"/>
                <c:pt idx="0">
                  <c:v>1.4580006452199999E-2</c:v>
                </c:pt>
                <c:pt idx="1">
                  <c:v>1.4659055795935582E-2</c:v>
                </c:pt>
                <c:pt idx="2">
                  <c:v>1.4737461034458797E-2</c:v>
                </c:pt>
                <c:pt idx="3">
                  <c:v>1.4815859867474747E-2</c:v>
                </c:pt>
                <c:pt idx="4">
                  <c:v>1.4930910533142536E-2</c:v>
                </c:pt>
                <c:pt idx="5">
                  <c:v>1.504685461004592E-2</c:v>
                </c:pt>
                <c:pt idx="6">
                  <c:v>1.516369903585563E-2</c:v>
                </c:pt>
                <c:pt idx="7">
                  <c:v>1.5281450802115997E-2</c:v>
                </c:pt>
                <c:pt idx="8">
                  <c:v>1.5400116954663288E-2</c:v>
                </c:pt>
                <c:pt idx="9">
                  <c:v>1.5433600989259099E-2</c:v>
                </c:pt>
                <c:pt idx="10">
                  <c:v>1.5467157827235307E-2</c:v>
                </c:pt>
                <c:pt idx="11">
                  <c:v>1.5500787626886224E-2</c:v>
                </c:pt>
                <c:pt idx="12">
                  <c:v>1.5534490546850334E-2</c:v>
                </c:pt>
                <c:pt idx="13">
                  <c:v>1.556826674611105E-2</c:v>
                </c:pt>
                <c:pt idx="14">
                  <c:v>1.5602116383997456E-2</c:v>
                </c:pt>
                <c:pt idx="15">
                  <c:v>1.563603962018505E-2</c:v>
                </c:pt>
                <c:pt idx="16">
                  <c:v>1.5670036614696525E-2</c:v>
                </c:pt>
                <c:pt idx="17">
                  <c:v>1.5704107527902494E-2</c:v>
                </c:pt>
                <c:pt idx="18">
                  <c:v>1.5738252520522269E-2</c:v>
                </c:pt>
                <c:pt idx="19">
                  <c:v>1.5751522549105147E-2</c:v>
                </c:pt>
                <c:pt idx="20">
                  <c:v>1.576480376658326E-2</c:v>
                </c:pt>
                <c:pt idx="21">
                  <c:v>1.577809618239075E-2</c:v>
                </c:pt>
                <c:pt idx="22">
                  <c:v>1.5791399805969723E-2</c:v>
                </c:pt>
                <c:pt idx="23">
                  <c:v>1.5804714646770225E-2</c:v>
                </c:pt>
              </c:numCache>
            </c:numRef>
          </c:val>
          <c:smooth val="0"/>
          <c:extLst>
            <c:ext xmlns:c16="http://schemas.microsoft.com/office/drawing/2014/chart" uri="{C3380CC4-5D6E-409C-BE32-E72D297353CC}">
              <c16:uniqueId val="{00000001-4505-4B2D-A80C-270302CF8143}"/>
            </c:ext>
          </c:extLst>
        </c:ser>
        <c:ser>
          <c:idx val="2"/>
          <c:order val="2"/>
          <c:tx>
            <c:strRef>
              <c:f>Composting!$D$2</c:f>
              <c:strCache>
                <c:ptCount val="1"/>
                <c:pt idx="0">
                  <c:v>Kauai</c:v>
                </c:pt>
              </c:strCache>
            </c:strRef>
          </c:tx>
          <c:spPr>
            <a:ln w="28575" cap="rnd">
              <a:solidFill>
                <a:schemeClr val="accent3"/>
              </a:solidFill>
              <a:round/>
            </a:ln>
            <a:effectLst/>
          </c:spPr>
          <c:marker>
            <c:symbol val="none"/>
          </c:marker>
          <c:cat>
            <c:numRef>
              <c:f>Composting!$A$3:$A$26</c:f>
              <c:numCache>
                <c:formatCode>General</c:formatCode>
                <c:ptCount val="24"/>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pt idx="22">
                  <c:v>2044</c:v>
                </c:pt>
                <c:pt idx="23">
                  <c:v>2045</c:v>
                </c:pt>
              </c:numCache>
            </c:numRef>
          </c:cat>
          <c:val>
            <c:numRef>
              <c:f>Composting!$D$3:$D$26</c:f>
              <c:numCache>
                <c:formatCode>0.000</c:formatCode>
                <c:ptCount val="24"/>
                <c:pt idx="0">
                  <c:v>4.0054595163519996E-3</c:v>
                </c:pt>
                <c:pt idx="1">
                  <c:v>4.0293471019575465E-3</c:v>
                </c:pt>
                <c:pt idx="2">
                  <c:v>4.0530821365917374E-3</c:v>
                </c:pt>
                <c:pt idx="3">
                  <c:v>4.0768398274417051E-3</c:v>
                </c:pt>
                <c:pt idx="4">
                  <c:v>4.1981458430997206E-3</c:v>
                </c:pt>
                <c:pt idx="5">
                  <c:v>4.3230613087380304E-3</c:v>
                </c:pt>
                <c:pt idx="6">
                  <c:v>4.4516936232279073E-3</c:v>
                </c:pt>
                <c:pt idx="7">
                  <c:v>4.5841533810847277E-3</c:v>
                </c:pt>
                <c:pt idx="8">
                  <c:v>4.7205544675540893E-3</c:v>
                </c:pt>
                <c:pt idx="9">
                  <c:v>4.7525195590653827E-3</c:v>
                </c:pt>
                <c:pt idx="10">
                  <c:v>4.7847011012250792E-3</c:v>
                </c:pt>
                <c:pt idx="11">
                  <c:v>4.8171005597221848E-3</c:v>
                </c:pt>
                <c:pt idx="12">
                  <c:v>4.8497194101705735E-3</c:v>
                </c:pt>
                <c:pt idx="13">
                  <c:v>4.8825591381761943E-3</c:v>
                </c:pt>
                <c:pt idx="14">
                  <c:v>4.9156212394047332E-3</c:v>
                </c:pt>
                <c:pt idx="15">
                  <c:v>4.948907219649727E-3</c:v>
                </c:pt>
                <c:pt idx="16">
                  <c:v>4.9824185949011533E-3</c:v>
                </c:pt>
                <c:pt idx="17">
                  <c:v>5.0161568914144665E-3</c:v>
                </c:pt>
                <c:pt idx="18">
                  <c:v>5.0501236457801144E-3</c:v>
                </c:pt>
                <c:pt idx="19">
                  <c:v>5.0772000582587759E-3</c:v>
                </c:pt>
                <c:pt idx="20">
                  <c:v>5.1044216418588079E-3</c:v>
                </c:pt>
                <c:pt idx="21">
                  <c:v>5.1317891749201941E-3</c:v>
                </c:pt>
                <c:pt idx="22">
                  <c:v>5.1593034399560174E-3</c:v>
                </c:pt>
                <c:pt idx="23">
                  <c:v>5.1869652236748295E-3</c:v>
                </c:pt>
              </c:numCache>
            </c:numRef>
          </c:val>
          <c:smooth val="0"/>
          <c:extLst>
            <c:ext xmlns:c16="http://schemas.microsoft.com/office/drawing/2014/chart" uri="{C3380CC4-5D6E-409C-BE32-E72D297353CC}">
              <c16:uniqueId val="{00000002-4505-4B2D-A80C-270302CF8143}"/>
            </c:ext>
          </c:extLst>
        </c:ser>
        <c:ser>
          <c:idx val="3"/>
          <c:order val="3"/>
          <c:tx>
            <c:strRef>
              <c:f>Composting!$E$2</c:f>
              <c:strCache>
                <c:ptCount val="1"/>
                <c:pt idx="0">
                  <c:v>Maui</c:v>
                </c:pt>
              </c:strCache>
            </c:strRef>
          </c:tx>
          <c:spPr>
            <a:ln w="28575" cap="rnd">
              <a:solidFill>
                <a:schemeClr val="accent4"/>
              </a:solidFill>
              <a:round/>
            </a:ln>
            <a:effectLst/>
          </c:spPr>
          <c:marker>
            <c:symbol val="none"/>
          </c:marker>
          <c:cat>
            <c:numRef>
              <c:f>Composting!$A$3:$A$26</c:f>
              <c:numCache>
                <c:formatCode>General</c:formatCode>
                <c:ptCount val="24"/>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pt idx="22">
                  <c:v>2044</c:v>
                </c:pt>
                <c:pt idx="23">
                  <c:v>2045</c:v>
                </c:pt>
              </c:numCache>
            </c:numRef>
          </c:cat>
          <c:val>
            <c:numRef>
              <c:f>Composting!$E$3:$E$26</c:f>
              <c:numCache>
                <c:formatCode>0.000</c:formatCode>
                <c:ptCount val="24"/>
                <c:pt idx="0">
                  <c:v>1.9090608830719998E-3</c:v>
                </c:pt>
                <c:pt idx="1">
                  <c:v>1.88886176358073E-3</c:v>
                </c:pt>
                <c:pt idx="2">
                  <c:v>1.8687403445007613E-3</c:v>
                </c:pt>
                <c:pt idx="3">
                  <c:v>1.8487801439172455E-3</c:v>
                </c:pt>
                <c:pt idx="4">
                  <c:v>1.8936751819057338E-3</c:v>
                </c:pt>
                <c:pt idx="5">
                  <c:v>1.9396604330505125E-3</c:v>
                </c:pt>
                <c:pt idx="6">
                  <c:v>1.9867623716520715E-3</c:v>
                </c:pt>
                <c:pt idx="7">
                  <c:v>2.035008114902228E-3</c:v>
                </c:pt>
                <c:pt idx="8">
                  <c:v>2.0844254384958464E-3</c:v>
                </c:pt>
                <c:pt idx="9">
                  <c:v>2.0972822426767457E-3</c:v>
                </c:pt>
                <c:pt idx="10">
                  <c:v>2.1102183480457295E-3</c:v>
                </c:pt>
                <c:pt idx="11">
                  <c:v>2.1232342437351153E-3</c:v>
                </c:pt>
                <c:pt idx="12">
                  <c:v>2.1363304218942059E-3</c:v>
                </c:pt>
                <c:pt idx="13">
                  <c:v>2.1495073777078959E-3</c:v>
                </c:pt>
                <c:pt idx="14">
                  <c:v>2.162765609415398E-3</c:v>
                </c:pt>
                <c:pt idx="15">
                  <c:v>2.1761056183290783E-3</c:v>
                </c:pt>
                <c:pt idx="16">
                  <c:v>2.1895279088534158E-3</c:v>
                </c:pt>
                <c:pt idx="17">
                  <c:v>2.2030329885040726E-3</c:v>
                </c:pt>
                <c:pt idx="18">
                  <c:v>2.2166213679270844E-3</c:v>
                </c:pt>
                <c:pt idx="19">
                  <c:v>2.2262087346658489E-3</c:v>
                </c:pt>
                <c:pt idx="20">
                  <c:v>2.2358375688389313E-3</c:v>
                </c:pt>
                <c:pt idx="21">
                  <c:v>2.2455080498019536E-3</c:v>
                </c:pt>
                <c:pt idx="22">
                  <c:v>2.2552203576862865E-3</c:v>
                </c:pt>
                <c:pt idx="23">
                  <c:v>2.2649746734024088E-3</c:v>
                </c:pt>
              </c:numCache>
            </c:numRef>
          </c:val>
          <c:smooth val="0"/>
          <c:extLst>
            <c:ext xmlns:c16="http://schemas.microsoft.com/office/drawing/2014/chart" uri="{C3380CC4-5D6E-409C-BE32-E72D297353CC}">
              <c16:uniqueId val="{00000003-4505-4B2D-A80C-270302CF8143}"/>
            </c:ext>
          </c:extLst>
        </c:ser>
        <c:dLbls>
          <c:showLegendKey val="0"/>
          <c:showVal val="0"/>
          <c:showCatName val="0"/>
          <c:showSerName val="0"/>
          <c:showPercent val="0"/>
          <c:showBubbleSize val="0"/>
        </c:dLbls>
        <c:smooth val="0"/>
        <c:axId val="595373776"/>
        <c:axId val="410890992"/>
      </c:lineChart>
      <c:catAx>
        <c:axId val="595373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890992"/>
        <c:crosses val="autoZero"/>
        <c:auto val="1"/>
        <c:lblAlgn val="ctr"/>
        <c:lblOffset val="100"/>
        <c:noMultiLvlLbl val="0"/>
      </c:catAx>
      <c:valAx>
        <c:axId val="410890992"/>
        <c:scaling>
          <c:orientation val="minMax"/>
        </c:scaling>
        <c:delete val="0"/>
        <c:axPos val="l"/>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3737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9</xdr:col>
      <xdr:colOff>499849</xdr:colOff>
      <xdr:row>5</xdr:row>
      <xdr:rowOff>164351</xdr:rowOff>
    </xdr:from>
    <xdr:to>
      <xdr:col>18</xdr:col>
      <xdr:colOff>193215</xdr:colOff>
      <xdr:row>26</xdr:row>
      <xdr:rowOff>35315</xdr:rowOff>
    </xdr:to>
    <xdr:graphicFrame macro="">
      <xdr:nvGraphicFramePr>
        <xdr:cNvPr id="7" name="Chart 6">
          <a:extLst>
            <a:ext uri="{FF2B5EF4-FFF2-40B4-BE49-F238E27FC236}">
              <a16:creationId xmlns:a16="http://schemas.microsoft.com/office/drawing/2014/main" id="{8E6ACF2D-7C9F-41EB-D276-8567CCBE6F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577952</xdr:colOff>
      <xdr:row>7</xdr:row>
      <xdr:rowOff>136507</xdr:rowOff>
    </xdr:from>
    <xdr:to>
      <xdr:col>27</xdr:col>
      <xdr:colOff>254681</xdr:colOff>
      <xdr:row>23</xdr:row>
      <xdr:rowOff>179292</xdr:rowOff>
    </xdr:to>
    <xdr:graphicFrame macro="">
      <xdr:nvGraphicFramePr>
        <xdr:cNvPr id="8" name="Chart 7">
          <a:extLst>
            <a:ext uri="{FF2B5EF4-FFF2-40B4-BE49-F238E27FC236}">
              <a16:creationId xmlns:a16="http://schemas.microsoft.com/office/drawing/2014/main" id="{8FD428EC-0AAD-40E6-A935-B5B9598472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186766</xdr:colOff>
      <xdr:row>34</xdr:row>
      <xdr:rowOff>6724</xdr:rowOff>
    </xdr:from>
    <xdr:to>
      <xdr:col>17</xdr:col>
      <xdr:colOff>522941</xdr:colOff>
      <xdr:row>46</xdr:row>
      <xdr:rowOff>171824</xdr:rowOff>
    </xdr:to>
    <xdr:graphicFrame macro="">
      <xdr:nvGraphicFramePr>
        <xdr:cNvPr id="3" name="Chart 2">
          <a:extLst>
            <a:ext uri="{FF2B5EF4-FFF2-40B4-BE49-F238E27FC236}">
              <a16:creationId xmlns:a16="http://schemas.microsoft.com/office/drawing/2014/main" id="{825EAD2B-E449-9487-FD77-F1C69B1C7E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478065</xdr:colOff>
      <xdr:row>2</xdr:row>
      <xdr:rowOff>0</xdr:rowOff>
    </xdr:from>
    <xdr:to>
      <xdr:col>14</xdr:col>
      <xdr:colOff>136071</xdr:colOff>
      <xdr:row>15</xdr:row>
      <xdr:rowOff>63954</xdr:rowOff>
    </xdr:to>
    <xdr:graphicFrame macro="">
      <xdr:nvGraphicFramePr>
        <xdr:cNvPr id="2" name="Chart 1">
          <a:extLst>
            <a:ext uri="{FF2B5EF4-FFF2-40B4-BE49-F238E27FC236}">
              <a16:creationId xmlns:a16="http://schemas.microsoft.com/office/drawing/2014/main" id="{8328E711-0D86-439E-9B85-1D8085684C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364897</xdr:colOff>
      <xdr:row>1</xdr:row>
      <xdr:rowOff>136072</xdr:rowOff>
    </xdr:from>
    <xdr:to>
      <xdr:col>16</xdr:col>
      <xdr:colOff>585560</xdr:colOff>
      <xdr:row>14</xdr:row>
      <xdr:rowOff>2722</xdr:rowOff>
    </xdr:to>
    <xdr:graphicFrame macro="">
      <xdr:nvGraphicFramePr>
        <xdr:cNvPr id="2" name="Chart 1">
          <a:extLst>
            <a:ext uri="{FF2B5EF4-FFF2-40B4-BE49-F238E27FC236}">
              <a16:creationId xmlns:a16="http://schemas.microsoft.com/office/drawing/2014/main" id="{5C2621A6-AD4C-440C-BB91-6AD0AE7286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P B" id="{858C9488-B8B8-419D-AE7F-17748AA06064}" userId="289d009e283c8649" providerId="Windows Live"/>
</personList>
</file>

<file path=xl/theme/theme1.xml><?xml version="1.0" encoding="utf-8"?>
<a:theme xmlns:a="http://schemas.openxmlformats.org/drawingml/2006/main" name="Office Theme">
  <a:themeElements>
    <a:clrScheme name="Violet">
      <a:dk1>
        <a:sysClr val="windowText" lastClr="000000"/>
      </a:dk1>
      <a:lt1>
        <a:sysClr val="window" lastClr="FFFFFF"/>
      </a:lt1>
      <a:dk2>
        <a:srgbClr val="373545"/>
      </a:dk2>
      <a:lt2>
        <a:srgbClr val="DCD8DC"/>
      </a:lt2>
      <a:accent1>
        <a:srgbClr val="AD84C6"/>
      </a:accent1>
      <a:accent2>
        <a:srgbClr val="8784C7"/>
      </a:accent2>
      <a:accent3>
        <a:srgbClr val="5D739A"/>
      </a:accent3>
      <a:accent4>
        <a:srgbClr val="6997AF"/>
      </a:accent4>
      <a:accent5>
        <a:srgbClr val="84ACB6"/>
      </a:accent5>
      <a:accent6>
        <a:srgbClr val="6F8183"/>
      </a:accent6>
      <a:hlink>
        <a:srgbClr val="69A020"/>
      </a:hlink>
      <a:folHlink>
        <a:srgbClr val="8C8C8C"/>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24" dT="2024-09-27T17:02:10.42" personId="{858C9488-B8B8-419D-AE7F-17748AA06064}" id="{F8EDA393-B622-4DF1-B337-6E752358DC1B}">
    <text xml:space="preserve">Using long-run forecast value, which differs greatly from short-run.  Question about population forecast number to use
</text>
  </threadedComment>
  <threadedComment ref="A148" dT="2024-09-27T17:10:31.10" personId="{858C9488-B8B8-419D-AE7F-17748AA06064}" id="{EFF843A4-A9DD-4329-98F9-9EFD20CE780F}">
    <text>Note:  that state visitors is simply the total of the visits and is an over count of the actual number of visitors to the state since some visitors go to multiple counties.</text>
  </threadedComment>
</ThreadedComment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338B5-9D6A-4B89-B7D1-81DE59E3AB08}">
  <dimension ref="A1:B2"/>
  <sheetViews>
    <sheetView workbookViewId="0">
      <selection activeCell="A15" sqref="A15"/>
    </sheetView>
  </sheetViews>
  <sheetFormatPr defaultRowHeight="15"/>
  <cols>
    <col min="1" max="1" width="46.42578125" style="85" customWidth="1"/>
  </cols>
  <sheetData>
    <row r="1" spans="1:2">
      <c r="A1" s="86" t="s">
        <v>32</v>
      </c>
      <c r="B1" s="87" t="s">
        <v>34</v>
      </c>
    </row>
    <row r="2" spans="1:2" ht="30">
      <c r="A2" s="85" t="s">
        <v>33</v>
      </c>
      <c r="B2" t="s">
        <v>35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9E7F1-BA7A-41E5-A979-8EE1B8BA2A25}">
  <sheetPr>
    <tabColor rgb="FFFFC000"/>
  </sheetPr>
  <dimension ref="A1:BK14"/>
  <sheetViews>
    <sheetView tabSelected="1" topLeftCell="F1" zoomScale="120" zoomScaleNormal="120" workbookViewId="0">
      <selection activeCell="G3" sqref="G3"/>
    </sheetView>
  </sheetViews>
  <sheetFormatPr defaultColWidth="8.7109375" defaultRowHeight="15"/>
  <cols>
    <col min="1" max="1" width="8.7109375" style="71"/>
    <col min="2" max="2" width="30.28515625" style="76" bestFit="1" customWidth="1"/>
    <col min="3" max="17" width="10.42578125" style="71" customWidth="1"/>
    <col min="18" max="16384" width="8.7109375" style="71"/>
  </cols>
  <sheetData>
    <row r="1" spans="1:63" s="52" customFormat="1">
      <c r="A1" s="67"/>
      <c r="C1" s="63" t="s">
        <v>28</v>
      </c>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row>
    <row r="2" spans="1:63" s="72" customFormat="1">
      <c r="A2" s="69"/>
      <c r="B2" s="65"/>
      <c r="C2" s="53">
        <v>2022</v>
      </c>
      <c r="D2" s="53">
        <v>2022</v>
      </c>
      <c r="E2" s="53">
        <v>2022</v>
      </c>
      <c r="F2" s="53">
        <v>2022</v>
      </c>
      <c r="G2" s="53">
        <v>2022</v>
      </c>
      <c r="H2" s="55">
        <v>2025</v>
      </c>
      <c r="I2" s="55">
        <v>2025</v>
      </c>
      <c r="J2" s="55">
        <v>2025</v>
      </c>
      <c r="K2" s="55">
        <v>2025</v>
      </c>
      <c r="L2" s="55">
        <v>2025</v>
      </c>
      <c r="M2" s="54">
        <v>2030</v>
      </c>
      <c r="N2" s="54">
        <v>2030</v>
      </c>
      <c r="O2" s="54">
        <v>2030</v>
      </c>
      <c r="P2" s="54">
        <v>2030</v>
      </c>
      <c r="Q2" s="54">
        <v>2030</v>
      </c>
      <c r="R2" s="55">
        <v>2035</v>
      </c>
      <c r="S2" s="55">
        <v>2035</v>
      </c>
      <c r="T2" s="55">
        <v>2035</v>
      </c>
      <c r="U2" s="55">
        <v>2035</v>
      </c>
      <c r="V2" s="55">
        <v>2035</v>
      </c>
      <c r="W2" s="54">
        <v>2040</v>
      </c>
      <c r="X2" s="54">
        <v>2040</v>
      </c>
      <c r="Y2" s="54">
        <v>2040</v>
      </c>
      <c r="Z2" s="54">
        <v>2040</v>
      </c>
      <c r="AA2" s="54">
        <v>2040</v>
      </c>
      <c r="AB2" s="54">
        <v>2045</v>
      </c>
      <c r="AC2" s="54">
        <v>2045</v>
      </c>
      <c r="AD2" s="54">
        <v>2045</v>
      </c>
      <c r="AE2" s="54">
        <v>2045</v>
      </c>
      <c r="AF2" s="54">
        <v>2045</v>
      </c>
      <c r="AG2" s="70"/>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row>
    <row r="3" spans="1:63" s="72" customFormat="1">
      <c r="A3" s="69"/>
      <c r="B3" s="157" t="s">
        <v>1</v>
      </c>
      <c r="C3" s="158" t="s">
        <v>70</v>
      </c>
      <c r="D3" s="158" t="s">
        <v>71</v>
      </c>
      <c r="E3" s="158" t="s">
        <v>72</v>
      </c>
      <c r="F3" s="158" t="s">
        <v>73</v>
      </c>
      <c r="G3" s="158" t="s">
        <v>74</v>
      </c>
      <c r="H3" s="158" t="s">
        <v>75</v>
      </c>
      <c r="I3" s="158" t="s">
        <v>76</v>
      </c>
      <c r="J3" s="158" t="s">
        <v>77</v>
      </c>
      <c r="K3" s="158" t="s">
        <v>78</v>
      </c>
      <c r="L3" s="158" t="s">
        <v>79</v>
      </c>
      <c r="M3" s="158" t="s">
        <v>80</v>
      </c>
      <c r="N3" s="158" t="s">
        <v>81</v>
      </c>
      <c r="O3" s="158" t="s">
        <v>82</v>
      </c>
      <c r="P3" s="158" t="s">
        <v>83</v>
      </c>
      <c r="Q3" s="158" t="s">
        <v>84</v>
      </c>
      <c r="R3" s="158" t="s">
        <v>85</v>
      </c>
      <c r="S3" s="158" t="s">
        <v>86</v>
      </c>
      <c r="T3" s="158" t="s">
        <v>87</v>
      </c>
      <c r="U3" s="158" t="s">
        <v>88</v>
      </c>
      <c r="V3" s="158" t="s">
        <v>89</v>
      </c>
      <c r="W3" s="158" t="s">
        <v>90</v>
      </c>
      <c r="X3" s="158" t="s">
        <v>91</v>
      </c>
      <c r="Y3" s="158" t="s">
        <v>92</v>
      </c>
      <c r="Z3" s="158" t="s">
        <v>93</v>
      </c>
      <c r="AA3" s="158" t="s">
        <v>94</v>
      </c>
      <c r="AB3" s="158" t="s">
        <v>95</v>
      </c>
      <c r="AC3" s="158" t="s">
        <v>96</v>
      </c>
      <c r="AD3" s="158" t="s">
        <v>97</v>
      </c>
      <c r="AE3" s="158" t="s">
        <v>98</v>
      </c>
      <c r="AF3" s="158" t="s">
        <v>99</v>
      </c>
      <c r="AG3" s="70"/>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row>
    <row r="4" spans="1:63" s="73" customFormat="1" ht="18.75" customHeight="1">
      <c r="A4" s="69"/>
      <c r="B4" s="66" t="s">
        <v>1</v>
      </c>
      <c r="C4" s="61" t="s">
        <v>5</v>
      </c>
      <c r="D4" s="61" t="s">
        <v>6</v>
      </c>
      <c r="E4" s="61" t="s">
        <v>7</v>
      </c>
      <c r="F4" s="61" t="s">
        <v>8</v>
      </c>
      <c r="G4" s="62" t="s">
        <v>2</v>
      </c>
      <c r="H4" s="61" t="s">
        <v>5</v>
      </c>
      <c r="I4" s="61" t="s">
        <v>6</v>
      </c>
      <c r="J4" s="61" t="s">
        <v>7</v>
      </c>
      <c r="K4" s="61" t="s">
        <v>8</v>
      </c>
      <c r="L4" s="62" t="s">
        <v>2</v>
      </c>
      <c r="M4" s="61" t="s">
        <v>5</v>
      </c>
      <c r="N4" s="61" t="s">
        <v>6</v>
      </c>
      <c r="O4" s="61" t="s">
        <v>7</v>
      </c>
      <c r="P4" s="61" t="s">
        <v>8</v>
      </c>
      <c r="Q4" s="62" t="s">
        <v>2</v>
      </c>
      <c r="R4" s="61" t="s">
        <v>5</v>
      </c>
      <c r="S4" s="61" t="s">
        <v>6</v>
      </c>
      <c r="T4" s="61" t="s">
        <v>7</v>
      </c>
      <c r="U4" s="61" t="s">
        <v>8</v>
      </c>
      <c r="V4" s="62" t="s">
        <v>2</v>
      </c>
      <c r="W4" s="61" t="s">
        <v>5</v>
      </c>
      <c r="X4" s="61" t="s">
        <v>6</v>
      </c>
      <c r="Y4" s="61" t="s">
        <v>7</v>
      </c>
      <c r="Z4" s="61" t="s">
        <v>8</v>
      </c>
      <c r="AA4" s="62" t="s">
        <v>2</v>
      </c>
      <c r="AB4" s="61" t="s">
        <v>5</v>
      </c>
      <c r="AC4" s="61" t="s">
        <v>6</v>
      </c>
      <c r="AD4" s="61" t="s">
        <v>7</v>
      </c>
      <c r="AE4" s="61" t="s">
        <v>8</v>
      </c>
      <c r="AF4" s="61" t="s">
        <v>2</v>
      </c>
      <c r="AG4" s="70"/>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row>
    <row r="5" spans="1:63" s="75" customFormat="1">
      <c r="A5" s="71"/>
      <c r="B5" s="79" t="s">
        <v>29</v>
      </c>
      <c r="C5" s="80">
        <v>0.10796377234509663</v>
      </c>
      <c r="D5" s="80">
        <v>7.8074640000000001E-2</v>
      </c>
      <c r="E5" s="80">
        <v>1.369131711518322E-2</v>
      </c>
      <c r="F5" s="80">
        <v>6.7366426636742069E-2</v>
      </c>
      <c r="G5" s="80">
        <f>SUM(C5:F5)</f>
        <v>0.26709615609702192</v>
      </c>
      <c r="H5" s="80">
        <f>_xlfn.XLOOKUP(H2, Landfills!$A:$A, Landfills!$B:$B)</f>
        <v>0.11902948413577573</v>
      </c>
      <c r="I5" s="80">
        <f>_xlfn.XLOOKUP(I2, Landfills!$A:$A, Landfills!$C:$C)</f>
        <v>6.3468289738473724E-2</v>
      </c>
      <c r="J5" s="80">
        <f>_xlfn.XLOOKUP(J2, Landfills!$A:$A, Landfills!$D:$D)</f>
        <v>1.0114553035198369E-2</v>
      </c>
      <c r="K5" s="80">
        <f>_xlfn.XLOOKUP(K2, Landfills!$A:$A, Landfills!$F:$F)</f>
        <v>4.0845782018620345E-2</v>
      </c>
      <c r="L5" s="80">
        <f>SUM(H5:K5)</f>
        <v>0.23345810892806818</v>
      </c>
      <c r="M5" s="80">
        <f>_xlfn.XLOOKUP(M2, Landfills!$A:$A, Landfills!$B:$B)</f>
        <v>0.11263317173915148</v>
      </c>
      <c r="N5" s="80">
        <f>_xlfn.XLOOKUP(N2, Landfills!$A:$A, Landfills!$C:$C)</f>
        <v>5.3258082421738899E-2</v>
      </c>
      <c r="O5" s="80">
        <f>_xlfn.XLOOKUP(O2, Landfills!$A:$A, Landfills!$D:$D)</f>
        <v>7.2388804983335485E-3</v>
      </c>
      <c r="P5" s="80">
        <f>_xlfn.XLOOKUP(P2, Landfills!$A:$A, Landfills!$F:$F)</f>
        <v>3.865084364874978E-2</v>
      </c>
      <c r="Q5" s="80">
        <f>SUM(M5:P5)</f>
        <v>0.21178097830797371</v>
      </c>
      <c r="R5" s="80">
        <f>_xlfn.XLOOKUP(R2, Landfills!$A:$A, Landfills!$B:$B)</f>
        <v>0.10790947794679565</v>
      </c>
      <c r="S5" s="80">
        <f>_xlfn.XLOOKUP(S2, Landfills!$A:$A, Landfills!$C:$C)</f>
        <v>4.6147594311692547E-2</v>
      </c>
      <c r="T5" s="80">
        <f>_xlfn.XLOOKUP(T2, Landfills!$A:$A, Landfills!$D:$D)</f>
        <v>5.7094851736313873E-3</v>
      </c>
      <c r="U5" s="80">
        <f>_xlfn.XLOOKUP(U2, Landfills!$A:$A, Landfills!$F:$F)</f>
        <v>3.7029875798925381E-2</v>
      </c>
      <c r="V5" s="80">
        <f>SUM(R5:U5)</f>
        <v>0.19679643323104498</v>
      </c>
      <c r="W5" s="80">
        <f>_xlfn.XLOOKUP(W2, Landfills!$A:$A, Landfills!$B:$B)</f>
        <v>0.10419737839043902</v>
      </c>
      <c r="X5" s="80">
        <f>_xlfn.XLOOKUP(X2, Landfills!$A:$A, Landfills!$C:$C)</f>
        <v>4.0881694583064981E-2</v>
      </c>
      <c r="Y5" s="80">
        <f>_xlfn.XLOOKUP(Y2, Landfills!$A:$A, Landfills!$D:$D)</f>
        <v>4.7494813733740598E-3</v>
      </c>
      <c r="Z5" s="80">
        <f>_xlfn.XLOOKUP(Z2, Landfills!$A:$A, Landfills!$F:$F)</f>
        <v>3.5756043433682119E-2</v>
      </c>
      <c r="AA5" s="80">
        <f>SUM(W5:Z5)</f>
        <v>0.18558459778056019</v>
      </c>
      <c r="AB5" s="80">
        <f>_xlfn.XLOOKUP(AB2, Landfills!$A:$A, Landfills!$B:$B)</f>
        <v>0.10115864621243467</v>
      </c>
      <c r="AC5" s="80">
        <f>_xlfn.XLOOKUP(AC2, Landfills!$A:$A, Landfills!$C:$C)</f>
        <v>3.6808423669853228E-2</v>
      </c>
      <c r="AD5" s="80">
        <f>_xlfn.XLOOKUP(AD2, Landfills!$A:$A, Landfills!$D:$D)</f>
        <v>4.086219206631922E-3</v>
      </c>
      <c r="AE5" s="80">
        <f>_xlfn.XLOOKUP(AE2, Landfills!$A:$A, Landfills!$F:$F)</f>
        <v>3.4713281692279031E-2</v>
      </c>
      <c r="AF5" s="80">
        <f>SUM(AB5:AE5)</f>
        <v>0.17676657078119887</v>
      </c>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row>
    <row r="6" spans="1:63" s="75" customFormat="1">
      <c r="A6" s="71"/>
      <c r="B6" s="79" t="s">
        <v>27</v>
      </c>
      <c r="C6" s="80">
        <v>0</v>
      </c>
      <c r="D6" s="80">
        <v>0</v>
      </c>
      <c r="E6" s="80">
        <v>0</v>
      </c>
      <c r="F6" s="80">
        <v>4.8573559999999995E-2</v>
      </c>
      <c r="G6" s="80">
        <f t="shared" ref="G6:G7" si="0">SUM(C6:F6)</f>
        <v>4.8573559999999995E-2</v>
      </c>
      <c r="H6" s="80">
        <f>_xlfn.XLOOKUP(H2, Industrial_Landfills!$A:$A, Industrial_Landfills!$B:$B)</f>
        <v>0</v>
      </c>
      <c r="I6" s="80">
        <f>_xlfn.XLOOKUP(I2, Industrial_Landfills!$A:$A, Industrial_Landfills!$C:$C)</f>
        <v>0</v>
      </c>
      <c r="J6" s="80">
        <f>_xlfn.XLOOKUP(J2, Industrial_Landfills!$A:$A, Industrial_Landfills!$D:$D)</f>
        <v>0</v>
      </c>
      <c r="K6" s="80">
        <f>_xlfn.XLOOKUP(K2, Industrial_Landfills!$A:$A, Industrial_Landfills!$E:$E)</f>
        <v>4.7039795348415868E-2</v>
      </c>
      <c r="L6" s="80">
        <f t="shared" ref="L6" si="1">SUM(H6:K6)</f>
        <v>4.7039795348415868E-2</v>
      </c>
      <c r="M6" s="80">
        <f>_xlfn.XLOOKUP(M2, Industrial_Landfills!$A:$A, Industrial_Landfills!$B:$B)</f>
        <v>0</v>
      </c>
      <c r="N6" s="80">
        <f>_xlfn.XLOOKUP(N2, Industrial_Landfills!$A:$A, Industrial_Landfills!$C:$C)</f>
        <v>0</v>
      </c>
      <c r="O6" s="80">
        <f>_xlfn.XLOOKUP(O2, Industrial_Landfills!$A:$A, Industrial_Landfills!$D:$D)</f>
        <v>0</v>
      </c>
      <c r="P6" s="80">
        <f>_xlfn.XLOOKUP(P2, Industrial_Landfills!$A:$A, Industrial_Landfills!$E:$E)</f>
        <v>5.3035482000646991E-2</v>
      </c>
      <c r="Q6" s="80">
        <f t="shared" ref="Q6" si="2">SUM(M6:P6)</f>
        <v>5.3035482000646991E-2</v>
      </c>
      <c r="R6" s="80">
        <f>_xlfn.XLOOKUP(R2, Industrial_Landfills!$A:$A, Industrial_Landfills!$B:$B)</f>
        <v>0</v>
      </c>
      <c r="S6" s="80">
        <f>_xlfn.XLOOKUP(S2, Industrial_Landfills!$A:$A, Industrial_Landfills!$C:$C)</f>
        <v>0</v>
      </c>
      <c r="T6" s="80">
        <f>_xlfn.XLOOKUP(T2, Industrial_Landfills!$A:$A, Industrial_Landfills!$D:$D)</f>
        <v>0</v>
      </c>
      <c r="U6" s="80">
        <f>_xlfn.XLOOKUP(U2, Industrial_Landfills!$A:$A, Industrial_Landfills!$E:$E)</f>
        <v>5.4691406914967086E-2</v>
      </c>
      <c r="V6" s="80">
        <f t="shared" ref="V6" si="3">SUM(R6:U6)</f>
        <v>5.4691406914967086E-2</v>
      </c>
      <c r="W6" s="80">
        <f>_xlfn.XLOOKUP(W2, Industrial_Landfills!$A:$A, Industrial_Landfills!$B:$B)</f>
        <v>0</v>
      </c>
      <c r="X6" s="80">
        <f>_xlfn.XLOOKUP(X2, Industrial_Landfills!$A:$A, Industrial_Landfills!$C:$C)</f>
        <v>0</v>
      </c>
      <c r="Y6" s="80">
        <f>_xlfn.XLOOKUP(Y2, Industrial_Landfills!$A:$A, Industrial_Landfills!$D:$D)</f>
        <v>0</v>
      </c>
      <c r="Z6" s="80">
        <f>_xlfn.XLOOKUP(Z2, Industrial_Landfills!$A:$A, Industrial_Landfills!$E:$E)</f>
        <v>5.6399034712308636E-2</v>
      </c>
      <c r="AA6" s="80">
        <f t="shared" ref="AA6" si="4">SUM(W6:Z6)</f>
        <v>5.6399034712308636E-2</v>
      </c>
      <c r="AB6" s="80">
        <f>_xlfn.XLOOKUP(AB2, Industrial_Landfills!$A:$A, Industrial_Landfills!$B:$B)</f>
        <v>0</v>
      </c>
      <c r="AC6" s="80">
        <f>_xlfn.XLOOKUP(AC2, Industrial_Landfills!$A:$A, Industrial_Landfills!$C:$C)</f>
        <v>0</v>
      </c>
      <c r="AD6" s="80">
        <f>_xlfn.XLOOKUP(AD2, Industrial_Landfills!$A:$A, Industrial_Landfills!$D:$D)</f>
        <v>0</v>
      </c>
      <c r="AE6" s="80">
        <f>_xlfn.XLOOKUP(AE2, Industrial_Landfills!$A:$A, Industrial_Landfills!$E:$E)</f>
        <v>5.7629321396997585E-2</v>
      </c>
      <c r="AF6" s="80">
        <f t="shared" ref="AF6" si="5">SUM(AB6:AE6)</f>
        <v>5.7629321396997585E-2</v>
      </c>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row>
    <row r="7" spans="1:63" s="75" customFormat="1">
      <c r="A7" s="71"/>
      <c r="B7" s="79" t="s">
        <v>3</v>
      </c>
      <c r="C7" s="80">
        <v>6.0504039886480005E-3</v>
      </c>
      <c r="D7" s="80">
        <v>1.4580006452199999E-2</v>
      </c>
      <c r="E7" s="80">
        <v>4.0054595163519996E-3</v>
      </c>
      <c r="F7" s="80">
        <v>1.9090608830719998E-3</v>
      </c>
      <c r="G7" s="80">
        <f t="shared" si="0"/>
        <v>2.6544930840271999E-2</v>
      </c>
      <c r="H7" s="80">
        <f>_xlfn.XLOOKUP(H2, Composting!$A:$A, Composting!$B:$B)</f>
        <v>6.0928503018678436E-3</v>
      </c>
      <c r="I7" s="80">
        <f>_xlfn.XLOOKUP(I2, Composting!$A:$A, Composting!$C:$C)</f>
        <v>1.4815859867474747E-2</v>
      </c>
      <c r="J7" s="80">
        <f>_xlfn.XLOOKUP(J2, Composting!$A:$A, Composting!$D:$D)</f>
        <v>4.0768398274417051E-3</v>
      </c>
      <c r="K7" s="80">
        <f>_xlfn.XLOOKUP(K2, Composting!$A:$A, Composting!$E:$E)</f>
        <v>1.8487801439172455E-3</v>
      </c>
      <c r="L7" s="80">
        <f t="shared" ref="L7" si="6">SUM(H7:K7)</f>
        <v>2.6834330140701541E-2</v>
      </c>
      <c r="M7" s="80">
        <f>_xlfn.XLOOKUP(M2, Composting!$A:$A, Composting!$B:$B)</f>
        <v>6.6444282668310338E-3</v>
      </c>
      <c r="N7" s="80">
        <f>_xlfn.XLOOKUP(N2, Composting!$A:$A, Composting!$C:$C)</f>
        <v>1.5400116954663288E-2</v>
      </c>
      <c r="O7" s="80">
        <f>_xlfn.XLOOKUP(O2, Composting!$A:$A, Composting!$D:$D)</f>
        <v>4.7205544675540893E-3</v>
      </c>
      <c r="P7" s="80">
        <f>_xlfn.XLOOKUP(P2, Composting!$A:$A, Composting!$E:$E)</f>
        <v>2.0844254384958464E-3</v>
      </c>
      <c r="Q7" s="80">
        <f t="shared" ref="Q7:Q8" si="7">SUM(M7:P7)</f>
        <v>2.8849525127544254E-2</v>
      </c>
      <c r="R7" s="80">
        <f>_xlfn.XLOOKUP(R2, Composting!$A:$A, Composting!$B:$B)</f>
        <v>6.814012436035433E-3</v>
      </c>
      <c r="S7" s="80">
        <f>_xlfn.XLOOKUP(S2, Composting!$A:$A, Composting!$C:$C)</f>
        <v>1.556826674611105E-2</v>
      </c>
      <c r="T7" s="80">
        <f>_xlfn.XLOOKUP(T2, Composting!$A:$A, Composting!$D:$D)</f>
        <v>4.8825591381761943E-3</v>
      </c>
      <c r="U7" s="80">
        <f>_xlfn.XLOOKUP(U2, Composting!$A:$A, Composting!$E:$E)</f>
        <v>2.1495073777078959E-3</v>
      </c>
      <c r="V7" s="80">
        <f t="shared" ref="V7:V8" si="8">SUM(R7:U7)</f>
        <v>2.9414345698030572E-2</v>
      </c>
      <c r="W7" s="80">
        <f>_xlfn.XLOOKUP(W2, Composting!$A:$A, Composting!$B:$B)</f>
        <v>6.9879248618316446E-3</v>
      </c>
      <c r="X7" s="80">
        <f>_xlfn.XLOOKUP(X2, Composting!$A:$A, Composting!$C:$C)</f>
        <v>1.5738252520522269E-2</v>
      </c>
      <c r="Y7" s="80">
        <f>_xlfn.XLOOKUP(Y2, Composting!$A:$A, Composting!$D:$D)</f>
        <v>5.0501236457801144E-3</v>
      </c>
      <c r="Z7" s="80">
        <f>_xlfn.XLOOKUP(Z2, Composting!$A:$A, Composting!$E:$E)</f>
        <v>2.2166213679270844E-3</v>
      </c>
      <c r="AA7" s="80">
        <f t="shared" ref="AA7:AA8" si="9">SUM(W7:Z7)</f>
        <v>2.9992922396061109E-2</v>
      </c>
      <c r="AB7" s="80">
        <f>_xlfn.XLOOKUP(AB2, Composting!$A:$A, Composting!$B:$B)</f>
        <v>7.11972634274473E-3</v>
      </c>
      <c r="AC7" s="80">
        <f>_xlfn.XLOOKUP(AC2, Composting!$A:$A, Composting!$C:$C)</f>
        <v>1.5804714646770225E-2</v>
      </c>
      <c r="AD7" s="80">
        <f>_xlfn.XLOOKUP(AD2, Composting!$A:$A, Composting!$D:$D)</f>
        <v>5.1869652236748295E-3</v>
      </c>
      <c r="AE7" s="80">
        <f>_xlfn.XLOOKUP(AE2, Composting!$A:$A, Composting!$E:$E)</f>
        <v>2.2649746734024088E-3</v>
      </c>
      <c r="AF7" s="80">
        <f t="shared" ref="AF7:AF8" si="10">SUM(AB7:AE7)</f>
        <v>3.0376380886592193E-2</v>
      </c>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row>
    <row r="8" spans="1:63" s="75" customFormat="1">
      <c r="A8" s="71"/>
      <c r="B8" s="79" t="s">
        <v>30</v>
      </c>
      <c r="C8" s="80">
        <v>6.29939085207933E-3</v>
      </c>
      <c r="D8" s="80">
        <v>3.8690548454441809E-2</v>
      </c>
      <c r="E8" s="80">
        <v>2.668712828597217E-3</v>
      </c>
      <c r="F8" s="80">
        <v>6.1167781479619125E-3</v>
      </c>
      <c r="G8" s="80">
        <f>SUM(C8:F8)</f>
        <v>5.3775430283080267E-2</v>
      </c>
      <c r="H8" s="80">
        <f>_xlfn.XLOOKUP(H2, Wastewater!$A:$A, Wastewater!$B:$B)</f>
        <v>6.3435839204600943E-3</v>
      </c>
      <c r="I8" s="80">
        <f>_xlfn.XLOOKUP(I2, Wastewater!$A:$A, Wastewater!$C:$C)</f>
        <v>3.9316425954685048E-2</v>
      </c>
      <c r="J8" s="80">
        <f>_xlfn.XLOOKUP(J2, Wastewater!$A:$A, Wastewater!$D:$D)</f>
        <v>2.7162713050058987E-3</v>
      </c>
      <c r="K8" s="80">
        <f>_xlfn.XLOOKUP(K2, Wastewater!$A:$A, Wastewater!$E:$E)</f>
        <v>5.9236340155383021E-3</v>
      </c>
      <c r="L8" s="80">
        <f t="shared" ref="L8" si="11">SUM(H8:K8)</f>
        <v>5.4299915195689351E-2</v>
      </c>
      <c r="M8" s="80">
        <f>_xlfn.XLOOKUP(M2, Wastewater!$A:$A, Wastewater!$B:$B)</f>
        <v>6.9178604800446851E-3</v>
      </c>
      <c r="N8" s="80">
        <f>_xlfn.XLOOKUP(N2, Wastewater!$A:$A, Wastewater!$C:$C)</f>
        <v>4.0866852370189707E-2</v>
      </c>
      <c r="O8" s="80">
        <f>_xlfn.XLOOKUP(O2, Wastewater!$A:$A, Wastewater!$D:$D)</f>
        <v>3.1451583056135947E-3</v>
      </c>
      <c r="P8" s="80">
        <f>_xlfn.XLOOKUP(P2, Wastewater!$A:$A, Wastewater!$E:$E)</f>
        <v>6.6786596940431146E-3</v>
      </c>
      <c r="Q8" s="80">
        <f t="shared" si="7"/>
        <v>5.7608530849891093E-2</v>
      </c>
      <c r="R8" s="80">
        <f>_xlfn.XLOOKUP(R2, Wastewater!$A:$A, Wastewater!$B:$B)</f>
        <v>7.0944233948761586E-3</v>
      </c>
      <c r="S8" s="80">
        <f>_xlfn.XLOOKUP(S2, Wastewater!$A:$A, Wastewater!$C:$C)</f>
        <v>4.1313066689431813E-2</v>
      </c>
      <c r="T8" s="80">
        <f>_xlfn.XLOOKUP(T2, Wastewater!$A:$A, Wastewater!$D:$D)</f>
        <v>3.2530969680858689E-3</v>
      </c>
      <c r="U8" s="80">
        <f>_xlfn.XLOOKUP(U2, Wastewater!$A:$A, Wastewater!$E:$E)</f>
        <v>6.8871872413461916E-3</v>
      </c>
      <c r="V8" s="80">
        <f t="shared" si="8"/>
        <v>5.8547774293740036E-2</v>
      </c>
      <c r="W8" s="80">
        <f>_xlfn.XLOOKUP(W2, Wastewater!$A:$A, Wastewater!$B:$B)</f>
        <v>7.2754926831714653E-3</v>
      </c>
      <c r="X8" s="80">
        <f>_xlfn.XLOOKUP(X2, Wastewater!$A:$A, Wastewater!$C:$C)</f>
        <v>4.176415310444713E-2</v>
      </c>
      <c r="Y8" s="80">
        <f>_xlfn.XLOOKUP(Y2, Wastewater!$A:$A, Wastewater!$D:$D)</f>
        <v>3.3647399766432071E-3</v>
      </c>
      <c r="Z8" s="80">
        <f>_xlfn.XLOOKUP(Z2, Wastewater!$A:$A, Wastewater!$E:$E)</f>
        <v>7.1022256366301923E-3</v>
      </c>
      <c r="AA8" s="80">
        <f t="shared" si="9"/>
        <v>5.9506611400891994E-2</v>
      </c>
      <c r="AB8" s="80">
        <f>_xlfn.XLOOKUP(AB2, Wastewater!$A:$A, Wastewater!$B:$B)</f>
        <v>7.4127180725359083E-3</v>
      </c>
      <c r="AC8" s="80">
        <f>_xlfn.XLOOKUP(AC2, Wastewater!$A:$A, Wastewater!$C:$C)</f>
        <v>4.1940521758632041E-2</v>
      </c>
      <c r="AD8" s="80">
        <f>_xlfn.XLOOKUP(AD2, Wastewater!$A:$A, Wastewater!$D:$D)</f>
        <v>3.4559132547458188E-3</v>
      </c>
      <c r="AE8" s="80">
        <f>_xlfn.XLOOKUP(AE2, Wastewater!$A:$A, Wastewater!$E:$E)</f>
        <v>7.2571533526270002E-3</v>
      </c>
      <c r="AF8" s="80">
        <f t="shared" si="10"/>
        <v>6.0066306438540766E-2</v>
      </c>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row>
    <row r="9" spans="1:63" s="2" customFormat="1">
      <c r="B9" s="81" t="s">
        <v>4</v>
      </c>
      <c r="C9" s="82">
        <f>SUM(C5:C8)</f>
        <v>0.12031356718582396</v>
      </c>
      <c r="D9" s="82">
        <f t="shared" ref="D9:AF9" si="12">SUM(D5:D8)</f>
        <v>0.13134519490664182</v>
      </c>
      <c r="E9" s="82">
        <f t="shared" si="12"/>
        <v>2.036548946013244E-2</v>
      </c>
      <c r="F9" s="82">
        <f t="shared" si="12"/>
        <v>0.12396582566777598</v>
      </c>
      <c r="G9" s="82">
        <f>SUM(G5:G8)</f>
        <v>0.39599007722037416</v>
      </c>
      <c r="H9" s="82">
        <f>SUM(H5:H8)</f>
        <v>0.13146591835810365</v>
      </c>
      <c r="I9" s="82">
        <f t="shared" si="12"/>
        <v>0.11760057556063352</v>
      </c>
      <c r="J9" s="82">
        <f t="shared" si="12"/>
        <v>1.6907664167645973E-2</v>
      </c>
      <c r="K9" s="82">
        <f t="shared" si="12"/>
        <v>9.5657991526491765E-2</v>
      </c>
      <c r="L9" s="82">
        <f t="shared" si="12"/>
        <v>0.36163214961287488</v>
      </c>
      <c r="M9" s="82">
        <f t="shared" si="12"/>
        <v>0.1261954604860272</v>
      </c>
      <c r="N9" s="82">
        <f t="shared" si="12"/>
        <v>0.1095250517465919</v>
      </c>
      <c r="O9" s="82">
        <f t="shared" si="12"/>
        <v>1.5104593271501234E-2</v>
      </c>
      <c r="P9" s="82">
        <f t="shared" si="12"/>
        <v>0.10044941078193574</v>
      </c>
      <c r="Q9" s="82">
        <f t="shared" si="12"/>
        <v>0.35127451628605605</v>
      </c>
      <c r="R9" s="82">
        <f t="shared" si="12"/>
        <v>0.12181791377770725</v>
      </c>
      <c r="S9" s="82">
        <f t="shared" si="12"/>
        <v>0.1030289277472354</v>
      </c>
      <c r="T9" s="82">
        <f t="shared" si="12"/>
        <v>1.384514127989345E-2</v>
      </c>
      <c r="U9" s="82">
        <f t="shared" si="12"/>
        <v>0.10075797733294656</v>
      </c>
      <c r="V9" s="82">
        <f t="shared" si="12"/>
        <v>0.33944996013778267</v>
      </c>
      <c r="W9" s="82">
        <f t="shared" si="12"/>
        <v>0.11846079593544212</v>
      </c>
      <c r="X9" s="82">
        <f t="shared" si="12"/>
        <v>9.8384100208034383E-2</v>
      </c>
      <c r="Y9" s="82">
        <f t="shared" si="12"/>
        <v>1.3164344995797382E-2</v>
      </c>
      <c r="Z9" s="82">
        <f t="shared" si="12"/>
        <v>0.10147392515054802</v>
      </c>
      <c r="AA9" s="82">
        <f t="shared" si="12"/>
        <v>0.33148316628982194</v>
      </c>
      <c r="AB9" s="82">
        <f t="shared" si="12"/>
        <v>0.11569109062771531</v>
      </c>
      <c r="AC9" s="82">
        <f t="shared" si="12"/>
        <v>9.4553660075255494E-2</v>
      </c>
      <c r="AD9" s="82">
        <f t="shared" si="12"/>
        <v>1.2729097685052572E-2</v>
      </c>
      <c r="AE9" s="82">
        <f t="shared" si="12"/>
        <v>0.10186473111530601</v>
      </c>
      <c r="AF9" s="82">
        <f t="shared" si="12"/>
        <v>0.32483857950332939</v>
      </c>
    </row>
    <row r="10" spans="1:63">
      <c r="F10" s="77"/>
      <c r="G10" s="78"/>
    </row>
    <row r="11" spans="1:63">
      <c r="E11" s="74"/>
    </row>
    <row r="12" spans="1:63">
      <c r="C12" s="74"/>
    </row>
    <row r="13" spans="1:63">
      <c r="C13" s="74"/>
    </row>
    <row r="14" spans="1:63">
      <c r="C14" s="74"/>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65B58-EBFE-4E6C-B37A-011BD56ACED7}">
  <sheetPr>
    <tabColor rgb="FF7030A0"/>
  </sheetPr>
  <dimension ref="A1:H39"/>
  <sheetViews>
    <sheetView zoomScale="85" zoomScaleNormal="85" workbookViewId="0">
      <pane xSplit="1" ySplit="1" topLeftCell="B2" activePane="bottomRight" state="frozen"/>
      <selection pane="topRight" activeCell="B1" sqref="B1"/>
      <selection pane="bottomLeft" activeCell="A2" sqref="A2"/>
      <selection pane="bottomRight" activeCell="H41" sqref="H41"/>
    </sheetView>
  </sheetViews>
  <sheetFormatPr defaultColWidth="8.85546875" defaultRowHeight="15"/>
  <cols>
    <col min="1" max="1" width="8.7109375" style="42"/>
    <col min="2" max="3" width="10.5703125" bestFit="1" customWidth="1"/>
    <col min="4" max="5" width="11.85546875" customWidth="1"/>
    <col min="6" max="6" width="10.42578125" customWidth="1"/>
  </cols>
  <sheetData>
    <row r="1" spans="1:8" s="59" customFormat="1">
      <c r="A1" s="59" t="s">
        <v>31</v>
      </c>
      <c r="B1" s="59" t="s">
        <v>5</v>
      </c>
      <c r="C1" s="59" t="s">
        <v>6</v>
      </c>
      <c r="D1" s="59" t="s">
        <v>7</v>
      </c>
      <c r="F1" s="59" t="s">
        <v>8</v>
      </c>
      <c r="G1" s="59" t="s">
        <v>2</v>
      </c>
    </row>
    <row r="2" spans="1:8">
      <c r="A2" s="42">
        <v>1990</v>
      </c>
      <c r="B2" s="68">
        <v>0.120275943905674</v>
      </c>
      <c r="C2" s="68">
        <v>0.60572355263110755</v>
      </c>
      <c r="D2" s="68">
        <v>0.13726863339940196</v>
      </c>
      <c r="E2" s="68"/>
      <c r="F2" s="68">
        <v>2.6263534762531116E-2</v>
      </c>
      <c r="G2" s="83">
        <f>SUM(B2:F2)</f>
        <v>0.88953166469871459</v>
      </c>
      <c r="H2" s="68"/>
    </row>
    <row r="3" spans="1:8">
      <c r="A3" s="42">
        <v>1991</v>
      </c>
      <c r="B3" s="68"/>
      <c r="C3" s="68"/>
      <c r="D3" s="68"/>
      <c r="E3" s="68"/>
      <c r="F3" s="68"/>
      <c r="G3" s="83"/>
      <c r="H3" s="68"/>
    </row>
    <row r="4" spans="1:8">
      <c r="A4" s="42">
        <v>1992</v>
      </c>
      <c r="G4" s="83"/>
      <c r="H4" s="68"/>
    </row>
    <row r="5" spans="1:8">
      <c r="A5" s="42">
        <v>1993</v>
      </c>
      <c r="B5" s="68"/>
      <c r="C5" s="68"/>
      <c r="D5" s="68"/>
      <c r="E5" s="68"/>
      <c r="F5" s="68"/>
      <c r="G5" s="83"/>
      <c r="H5" s="68"/>
    </row>
    <row r="6" spans="1:8">
      <c r="A6" s="42">
        <v>1994</v>
      </c>
      <c r="B6" s="68"/>
      <c r="C6" s="68"/>
      <c r="D6" s="68"/>
      <c r="E6" s="68"/>
      <c r="F6" s="68"/>
      <c r="G6" s="83"/>
      <c r="H6" s="68"/>
    </row>
    <row r="7" spans="1:8">
      <c r="A7" s="42">
        <v>1995</v>
      </c>
      <c r="B7" s="68"/>
      <c r="C7" s="68"/>
      <c r="D7" s="68"/>
      <c r="E7" s="68"/>
      <c r="F7" s="68"/>
      <c r="G7" s="83"/>
      <c r="H7" s="68"/>
    </row>
    <row r="8" spans="1:8">
      <c r="A8" s="42">
        <v>1996</v>
      </c>
      <c r="B8" s="68"/>
      <c r="C8" s="68"/>
      <c r="D8" s="68"/>
      <c r="E8" s="68"/>
      <c r="F8" s="68"/>
      <c r="G8" s="83"/>
      <c r="H8" s="68"/>
    </row>
    <row r="9" spans="1:8">
      <c r="A9" s="42">
        <v>1997</v>
      </c>
      <c r="B9" s="68"/>
      <c r="C9" s="68"/>
      <c r="D9" s="68"/>
      <c r="E9" s="68"/>
      <c r="F9" s="68"/>
      <c r="G9" s="83"/>
      <c r="H9" s="68"/>
    </row>
    <row r="10" spans="1:8">
      <c r="A10" s="42">
        <v>1998</v>
      </c>
      <c r="B10" s="68"/>
      <c r="C10" s="68"/>
      <c r="D10" s="68"/>
      <c r="E10" s="68"/>
      <c r="F10" s="68"/>
      <c r="G10" s="83"/>
      <c r="H10" s="68"/>
    </row>
    <row r="11" spans="1:8">
      <c r="A11" s="42">
        <v>1999</v>
      </c>
      <c r="B11" s="68"/>
      <c r="C11" s="68"/>
      <c r="D11" s="68"/>
      <c r="E11" s="68"/>
      <c r="F11" s="68"/>
      <c r="G11" s="83"/>
      <c r="H11" s="68"/>
    </row>
    <row r="12" spans="1:8">
      <c r="A12" s="42">
        <v>2000</v>
      </c>
      <c r="B12" s="68"/>
      <c r="C12" s="68"/>
      <c r="D12" s="68"/>
      <c r="E12" s="68"/>
      <c r="F12" s="68"/>
      <c r="G12" s="83"/>
      <c r="H12" s="68"/>
    </row>
    <row r="13" spans="1:8">
      <c r="A13" s="42">
        <v>2001</v>
      </c>
      <c r="B13" s="68"/>
      <c r="C13" s="68"/>
      <c r="D13" s="68"/>
      <c r="E13" s="68"/>
      <c r="F13" s="68"/>
      <c r="G13" s="83"/>
      <c r="H13" s="68"/>
    </row>
    <row r="14" spans="1:8">
      <c r="A14" s="42">
        <v>2002</v>
      </c>
      <c r="B14" s="68"/>
      <c r="C14" s="68"/>
      <c r="D14" s="68"/>
      <c r="E14" s="68"/>
      <c r="F14" s="68"/>
      <c r="G14" s="83"/>
      <c r="H14" s="68"/>
    </row>
    <row r="15" spans="1:8">
      <c r="A15" s="42">
        <v>2003</v>
      </c>
      <c r="B15" s="68"/>
      <c r="C15" s="68"/>
      <c r="D15" s="68"/>
      <c r="E15" s="68"/>
      <c r="F15" s="68"/>
      <c r="G15" s="83"/>
      <c r="H15" s="68"/>
    </row>
    <row r="16" spans="1:8">
      <c r="A16" s="42">
        <v>2004</v>
      </c>
      <c r="B16" s="68"/>
      <c r="C16" s="68"/>
      <c r="D16" s="68"/>
      <c r="E16" s="68"/>
      <c r="F16" s="68"/>
      <c r="G16" s="83"/>
      <c r="H16" s="68"/>
    </row>
    <row r="17" spans="1:8">
      <c r="A17" s="42">
        <v>2005</v>
      </c>
      <c r="B17" s="68">
        <v>0.17936410913627931</v>
      </c>
      <c r="C17" s="68">
        <v>0.49991740084774977</v>
      </c>
      <c r="D17" s="68">
        <v>9.9792989600088949E-2</v>
      </c>
      <c r="E17" s="68"/>
      <c r="F17" s="68">
        <v>6.5020552469704673E-2</v>
      </c>
      <c r="G17" s="83">
        <f>SUM(B17:F17)</f>
        <v>0.84409505205382263</v>
      </c>
      <c r="H17" s="68"/>
    </row>
    <row r="18" spans="1:8">
      <c r="A18" s="42">
        <v>2006</v>
      </c>
      <c r="B18" s="68"/>
      <c r="C18" s="68"/>
      <c r="D18" s="68"/>
      <c r="E18" s="68"/>
      <c r="F18" s="68"/>
      <c r="G18" s="83"/>
      <c r="H18" s="68"/>
    </row>
    <row r="19" spans="1:8">
      <c r="A19" s="42">
        <v>2007</v>
      </c>
      <c r="B19" s="68">
        <v>0.17649271739139635</v>
      </c>
      <c r="C19" s="68">
        <v>0.39604568651869287</v>
      </c>
      <c r="D19" s="68">
        <v>9.4528972843100106E-2</v>
      </c>
      <c r="E19" s="68"/>
      <c r="F19" s="68">
        <v>7.2507599849053916E-2</v>
      </c>
      <c r="G19" s="83">
        <f>SUM(B19:F19)</f>
        <v>0.73957497660224325</v>
      </c>
      <c r="H19" s="68"/>
    </row>
    <row r="20" spans="1:8">
      <c r="A20" s="42">
        <v>2008</v>
      </c>
      <c r="B20" s="68"/>
      <c r="C20" s="68"/>
      <c r="D20" s="68"/>
      <c r="E20" s="68"/>
      <c r="F20" s="68"/>
      <c r="G20" s="83"/>
      <c r="H20" s="68"/>
    </row>
    <row r="21" spans="1:8">
      <c r="A21" s="42">
        <v>2009</v>
      </c>
      <c r="B21" s="68"/>
      <c r="C21" s="68"/>
      <c r="D21" s="68"/>
      <c r="E21" s="68"/>
      <c r="F21" s="68"/>
      <c r="G21" s="83"/>
      <c r="H21" s="68"/>
    </row>
    <row r="22" spans="1:8">
      <c r="A22" s="42">
        <v>2010</v>
      </c>
      <c r="B22" s="68">
        <v>0.18413884937786706</v>
      </c>
      <c r="C22" s="68">
        <v>0.19462911999999999</v>
      </c>
      <c r="D22" s="68">
        <v>9.0681198843560323E-2</v>
      </c>
      <c r="E22" s="68"/>
      <c r="F22" s="148">
        <v>3.187270968925706E-2</v>
      </c>
      <c r="G22" s="83">
        <f>SUM(B22:F22)</f>
        <v>0.50132187791068439</v>
      </c>
      <c r="H22" s="68"/>
    </row>
    <row r="23" spans="1:8">
      <c r="A23" s="42">
        <v>2011</v>
      </c>
      <c r="B23" s="68"/>
      <c r="C23" s="68"/>
      <c r="D23" s="68"/>
      <c r="E23" s="68"/>
      <c r="F23" s="68"/>
      <c r="G23" s="83"/>
      <c r="H23" s="68"/>
    </row>
    <row r="24" spans="1:8">
      <c r="A24" s="42">
        <v>2012</v>
      </c>
      <c r="B24" s="68"/>
      <c r="C24" s="68"/>
      <c r="D24" s="68"/>
      <c r="E24" s="68"/>
      <c r="F24" s="68"/>
      <c r="G24" s="83"/>
      <c r="H24" s="68"/>
    </row>
    <row r="25" spans="1:8">
      <c r="A25" s="42">
        <v>2013</v>
      </c>
      <c r="B25" s="68"/>
      <c r="C25" s="68"/>
      <c r="D25" s="68"/>
      <c r="E25" s="68"/>
      <c r="F25" s="68"/>
      <c r="G25" s="83"/>
      <c r="H25" s="68"/>
    </row>
    <row r="26" spans="1:8">
      <c r="A26" s="42">
        <v>2014</v>
      </c>
      <c r="D26" s="68"/>
      <c r="E26" s="68"/>
      <c r="F26" s="68"/>
      <c r="G26" s="83"/>
      <c r="H26" s="68"/>
    </row>
    <row r="27" spans="1:8">
      <c r="A27" s="42">
        <v>2015</v>
      </c>
      <c r="B27" s="68">
        <v>0.11776964223996779</v>
      </c>
      <c r="C27" s="68">
        <v>0.11901904000000001</v>
      </c>
      <c r="D27" s="68">
        <v>8.6173002393342468E-2</v>
      </c>
      <c r="E27" s="68"/>
      <c r="F27" s="68">
        <v>3.3399668789674729E-2</v>
      </c>
      <c r="G27" s="83">
        <f t="shared" ref="G27:G39" si="0">SUM(B27:F27)</f>
        <v>0.35636135342298497</v>
      </c>
      <c r="H27" s="68"/>
    </row>
    <row r="28" spans="1:8">
      <c r="A28" s="42">
        <v>2016</v>
      </c>
      <c r="B28" s="68">
        <v>0.11950186632422261</v>
      </c>
      <c r="C28" s="68">
        <v>0.11506012</v>
      </c>
      <c r="D28" s="68">
        <v>3.2126847168728087E-2</v>
      </c>
      <c r="E28" s="68"/>
      <c r="F28" s="68">
        <v>3.8704525208831837E-2</v>
      </c>
      <c r="G28" s="83">
        <f t="shared" si="0"/>
        <v>0.30539335870178252</v>
      </c>
      <c r="H28" s="68"/>
    </row>
    <row r="29" spans="1:8">
      <c r="A29" s="42">
        <v>2017</v>
      </c>
      <c r="B29" s="68">
        <v>0.12124905111660771</v>
      </c>
      <c r="C29" s="68">
        <v>7.8992760000000009E-2</v>
      </c>
      <c r="D29" s="68">
        <v>3.0223908907556787E-2</v>
      </c>
      <c r="E29" s="68"/>
      <c r="F29" s="68">
        <v>3.550003582831341E-2</v>
      </c>
      <c r="G29" s="83">
        <f t="shared" si="0"/>
        <v>0.26596575585247789</v>
      </c>
      <c r="H29" s="68"/>
    </row>
    <row r="30" spans="1:8">
      <c r="A30" s="42">
        <v>2018</v>
      </c>
      <c r="B30" s="68">
        <v>0.12389864568484836</v>
      </c>
      <c r="C30" s="68">
        <v>8.1589200000000001E-2</v>
      </c>
      <c r="D30" s="68">
        <v>1.1354471468770876E-2</v>
      </c>
      <c r="E30" s="68"/>
      <c r="F30" s="68">
        <v>4.0852620527308085E-2</v>
      </c>
      <c r="G30" s="83">
        <f t="shared" si="0"/>
        <v>0.25769493768092733</v>
      </c>
      <c r="H30" s="68"/>
    </row>
    <row r="31" spans="1:8">
      <c r="A31" s="42">
        <v>2019</v>
      </c>
      <c r="B31" s="68">
        <v>0.12423887791551921</v>
      </c>
      <c r="C31" s="68">
        <v>7.2196599999999986E-2</v>
      </c>
      <c r="D31" s="68">
        <v>1.9499244064550593E-2</v>
      </c>
      <c r="E31" s="68"/>
      <c r="F31" s="68">
        <v>7.2464621809501681E-2</v>
      </c>
      <c r="G31" s="83">
        <f t="shared" si="0"/>
        <v>0.28839934378957144</v>
      </c>
      <c r="H31" s="68"/>
    </row>
    <row r="32" spans="1:8">
      <c r="A32" s="42">
        <v>2020</v>
      </c>
      <c r="B32" s="68">
        <v>0.12056481901015415</v>
      </c>
      <c r="C32" s="68">
        <v>4.7622400000000009E-2</v>
      </c>
      <c r="D32" s="68">
        <v>1.5591883819971267E-2</v>
      </c>
      <c r="E32" s="68"/>
      <c r="F32" s="68">
        <v>8.1664007169417657E-2</v>
      </c>
      <c r="G32" s="83">
        <f t="shared" si="0"/>
        <v>0.26544310999954307</v>
      </c>
      <c r="H32" s="68"/>
    </row>
    <row r="33" spans="1:8">
      <c r="A33" s="42">
        <v>2021</v>
      </c>
      <c r="B33" s="68">
        <v>0.11453725286134202</v>
      </c>
      <c r="C33" s="68">
        <v>7.2368799999999997E-2</v>
      </c>
      <c r="D33" s="68">
        <v>1.7454994135860151E-2</v>
      </c>
      <c r="E33" s="68"/>
      <c r="F33" s="68">
        <v>7.845557434311419E-2</v>
      </c>
      <c r="G33" s="83">
        <f t="shared" si="0"/>
        <v>0.28281662134031638</v>
      </c>
      <c r="H33" s="68"/>
    </row>
    <row r="34" spans="1:8">
      <c r="A34" s="42">
        <v>2022</v>
      </c>
      <c r="B34" s="68">
        <v>0.10796377234509663</v>
      </c>
      <c r="C34" s="68">
        <v>7.8074640000000001E-2</v>
      </c>
      <c r="D34" s="68">
        <v>1.369131711518322E-2</v>
      </c>
      <c r="E34" s="68"/>
      <c r="F34" s="68">
        <v>6.7366426636742069E-2</v>
      </c>
      <c r="G34" s="83">
        <f t="shared" si="0"/>
        <v>0.26709615609702192</v>
      </c>
    </row>
    <row r="35" spans="1:8">
      <c r="A35" s="42">
        <v>2025</v>
      </c>
      <c r="B35" s="84">
        <f>0.2002*(A35-$A$22)^-0.192</f>
        <v>0.11902948413577573</v>
      </c>
      <c r="C35" s="84">
        <f>0.6686*(A35-A$17)^-0.786</f>
        <v>6.3468289738473724E-2</v>
      </c>
      <c r="D35" s="84">
        <f t="shared" ref="D35:D39" si="1">0.0676*(A35-A$27)^-0.825</f>
        <v>1.0114553035198369E-2</v>
      </c>
      <c r="E35" s="84"/>
      <c r="F35" s="84">
        <f>0.0687*(A35-$A$22)^-0.192</f>
        <v>4.0845782018620345E-2</v>
      </c>
      <c r="G35" s="83">
        <f t="shared" si="0"/>
        <v>0.23345810892806818</v>
      </c>
    </row>
    <row r="36" spans="1:8">
      <c r="A36" s="42">
        <v>2030</v>
      </c>
      <c r="B36" s="84">
        <f t="shared" ref="B36:B39" si="2">0.2002*(A36-$A$22)^-0.192</f>
        <v>0.11263317173915148</v>
      </c>
      <c r="C36" s="84">
        <f t="shared" ref="C36:C39" si="3">0.6686*(A36-A$17)^-0.786</f>
        <v>5.3258082421738899E-2</v>
      </c>
      <c r="D36" s="84">
        <f t="shared" si="1"/>
        <v>7.2388804983335485E-3</v>
      </c>
      <c r="E36" s="84"/>
      <c r="F36" s="84">
        <f t="shared" ref="F36:F39" si="4">0.0687*(A36-$A$22)^-0.192</f>
        <v>3.865084364874978E-2</v>
      </c>
      <c r="G36" s="83">
        <f t="shared" si="0"/>
        <v>0.21178097830797371</v>
      </c>
    </row>
    <row r="37" spans="1:8">
      <c r="A37" s="42">
        <v>2035</v>
      </c>
      <c r="B37" s="84">
        <f t="shared" si="2"/>
        <v>0.10790947794679565</v>
      </c>
      <c r="C37" s="84">
        <f t="shared" si="3"/>
        <v>4.6147594311692547E-2</v>
      </c>
      <c r="D37" s="84">
        <f t="shared" si="1"/>
        <v>5.7094851736313873E-3</v>
      </c>
      <c r="E37" s="84"/>
      <c r="F37" s="84">
        <f t="shared" si="4"/>
        <v>3.7029875798925381E-2</v>
      </c>
      <c r="G37" s="83">
        <f t="shared" si="0"/>
        <v>0.19679643323104498</v>
      </c>
    </row>
    <row r="38" spans="1:8">
      <c r="A38" s="42">
        <v>2040</v>
      </c>
      <c r="B38" s="84">
        <f t="shared" si="2"/>
        <v>0.10419737839043902</v>
      </c>
      <c r="C38" s="84">
        <f t="shared" si="3"/>
        <v>4.0881694583064981E-2</v>
      </c>
      <c r="D38" s="84">
        <f t="shared" si="1"/>
        <v>4.7494813733740598E-3</v>
      </c>
      <c r="E38" s="84"/>
      <c r="F38" s="84">
        <f t="shared" si="4"/>
        <v>3.5756043433682119E-2</v>
      </c>
      <c r="G38" s="83">
        <f t="shared" si="0"/>
        <v>0.18558459778056019</v>
      </c>
    </row>
    <row r="39" spans="1:8">
      <c r="A39" s="42">
        <v>2045</v>
      </c>
      <c r="B39" s="84">
        <f t="shared" si="2"/>
        <v>0.10115864621243467</v>
      </c>
      <c r="C39" s="84">
        <f t="shared" si="3"/>
        <v>3.6808423669853228E-2</v>
      </c>
      <c r="D39" s="84">
        <f t="shared" si="1"/>
        <v>4.086219206631922E-3</v>
      </c>
      <c r="E39" s="84"/>
      <c r="F39" s="84">
        <f t="shared" si="4"/>
        <v>3.4713281692279031E-2</v>
      </c>
      <c r="G39" s="83">
        <f t="shared" si="0"/>
        <v>0.17676657078119887</v>
      </c>
    </row>
  </sheetData>
  <sortState xmlns:xlrd2="http://schemas.microsoft.com/office/spreadsheetml/2017/richdata2" ref="A22:B107">
    <sortCondition ref="A22:A107"/>
  </sortState>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ED68C-944A-4D0A-99EB-B50AAE745A91}">
  <sheetPr>
    <tabColor rgb="FF7030A0"/>
  </sheetPr>
  <dimension ref="A1:F28"/>
  <sheetViews>
    <sheetView workbookViewId="0">
      <selection activeCell="J13" sqref="J13"/>
    </sheetView>
  </sheetViews>
  <sheetFormatPr defaultColWidth="8.7109375" defaultRowHeight="15"/>
  <cols>
    <col min="1" max="1" width="8.7109375" style="48"/>
    <col min="2" max="4" width="10.28515625" style="48" bestFit="1" customWidth="1"/>
    <col min="5" max="5" width="11.42578125" style="48" bestFit="1" customWidth="1"/>
    <col min="6" max="40" width="10.28515625" style="48" bestFit="1" customWidth="1"/>
    <col min="41" max="16384" width="8.7109375" style="48"/>
  </cols>
  <sheetData>
    <row r="1" spans="1:6" s="45" customFormat="1">
      <c r="A1" s="45" t="s">
        <v>26</v>
      </c>
    </row>
    <row r="2" spans="1:6" s="47" customFormat="1">
      <c r="A2" s="46" t="s">
        <v>12</v>
      </c>
      <c r="B2" s="46" t="s">
        <v>5</v>
      </c>
      <c r="C2" s="46" t="s">
        <v>6</v>
      </c>
      <c r="D2" s="46" t="s">
        <v>7</v>
      </c>
      <c r="E2" s="46" t="s">
        <v>8</v>
      </c>
      <c r="F2" s="47" t="s">
        <v>2</v>
      </c>
    </row>
    <row r="3" spans="1:6">
      <c r="A3" s="46">
        <v>2022</v>
      </c>
      <c r="B3" s="50">
        <v>0</v>
      </c>
      <c r="C3" s="50">
        <v>0</v>
      </c>
      <c r="D3" s="50">
        <v>0</v>
      </c>
      <c r="E3" s="51">
        <v>4.8573559999999995E-2</v>
      </c>
      <c r="F3" s="51">
        <f t="shared" ref="F3:F26" si="0">SUM(B3:E3)</f>
        <v>4.8573559999999995E-2</v>
      </c>
    </row>
    <row r="4" spans="1:6">
      <c r="A4" s="46">
        <v>2023</v>
      </c>
      <c r="B4" s="50">
        <v>0</v>
      </c>
      <c r="C4" s="50">
        <v>0</v>
      </c>
      <c r="D4" s="50">
        <v>0</v>
      </c>
      <c r="E4" s="51">
        <f>E$3*Macro!R88</f>
        <v>4.8059619794500873E-2</v>
      </c>
      <c r="F4" s="51">
        <f t="shared" si="0"/>
        <v>4.8059619794500873E-2</v>
      </c>
    </row>
    <row r="5" spans="1:6">
      <c r="A5" s="47">
        <v>2024</v>
      </c>
      <c r="B5" s="50">
        <v>0</v>
      </c>
      <c r="C5" s="50">
        <v>0</v>
      </c>
      <c r="D5" s="50">
        <v>0</v>
      </c>
      <c r="E5" s="51">
        <f>E$3*Macro!R89</f>
        <v>4.7547656574452458E-2</v>
      </c>
      <c r="F5" s="51">
        <f t="shared" si="0"/>
        <v>4.7547656574452458E-2</v>
      </c>
    </row>
    <row r="6" spans="1:6">
      <c r="A6" s="46">
        <v>2025</v>
      </c>
      <c r="B6" s="50">
        <v>0</v>
      </c>
      <c r="C6" s="50">
        <v>0</v>
      </c>
      <c r="D6" s="50">
        <v>0</v>
      </c>
      <c r="E6" s="51">
        <f>E$3*Macro!R90</f>
        <v>4.7039795348415868E-2</v>
      </c>
      <c r="F6" s="51">
        <f t="shared" si="0"/>
        <v>4.7039795348415868E-2</v>
      </c>
    </row>
    <row r="7" spans="1:6">
      <c r="A7" s="46">
        <v>2026</v>
      </c>
      <c r="B7" s="49">
        <v>0</v>
      </c>
      <c r="C7" s="49">
        <v>0</v>
      </c>
      <c r="D7" s="49">
        <v>0</v>
      </c>
      <c r="E7" s="51">
        <f>E$3*Macro!R91</f>
        <v>4.8182090935095637E-2</v>
      </c>
      <c r="F7" s="51">
        <f t="shared" si="0"/>
        <v>4.8182090935095637E-2</v>
      </c>
    </row>
    <row r="8" spans="1:6">
      <c r="A8" s="47">
        <v>2027</v>
      </c>
      <c r="B8" s="49">
        <v>0</v>
      </c>
      <c r="C8" s="49">
        <v>0</v>
      </c>
      <c r="D8" s="49">
        <v>0</v>
      </c>
      <c r="E8" s="51">
        <f>E$3*Macro!R92</f>
        <v>4.9352125571184152E-2</v>
      </c>
      <c r="F8" s="51">
        <f t="shared" si="0"/>
        <v>4.9352125571184152E-2</v>
      </c>
    </row>
    <row r="9" spans="1:6">
      <c r="A9" s="46">
        <v>2028</v>
      </c>
      <c r="B9" s="50">
        <v>0</v>
      </c>
      <c r="C9" s="50">
        <v>0</v>
      </c>
      <c r="D9" s="50">
        <v>0</v>
      </c>
      <c r="E9" s="51">
        <f>E$3*Macro!R93</f>
        <v>5.0550572860668982E-2</v>
      </c>
      <c r="F9" s="51">
        <f t="shared" si="0"/>
        <v>5.0550572860668982E-2</v>
      </c>
    </row>
    <row r="10" spans="1:6">
      <c r="A10" s="46">
        <v>2029</v>
      </c>
      <c r="B10" s="50">
        <v>0</v>
      </c>
      <c r="C10" s="50">
        <v>0</v>
      </c>
      <c r="D10" s="50">
        <v>0</v>
      </c>
      <c r="E10" s="51">
        <f>E$3*Macro!R94</f>
        <v>5.1778122765067533E-2</v>
      </c>
      <c r="F10" s="51">
        <f t="shared" si="0"/>
        <v>5.1778122765067533E-2</v>
      </c>
    </row>
    <row r="11" spans="1:6">
      <c r="A11" s="47">
        <v>2030</v>
      </c>
      <c r="B11" s="50">
        <v>0</v>
      </c>
      <c r="C11" s="50">
        <v>0</v>
      </c>
      <c r="D11" s="50">
        <v>0</v>
      </c>
      <c r="E11" s="51">
        <f>E$3*Macro!R95</f>
        <v>5.3035482000646991E-2</v>
      </c>
      <c r="F11" s="51">
        <f t="shared" si="0"/>
        <v>5.3035482000646991E-2</v>
      </c>
    </row>
    <row r="12" spans="1:6">
      <c r="A12" s="46">
        <v>2031</v>
      </c>
      <c r="B12" s="50">
        <v>0</v>
      </c>
      <c r="C12" s="50">
        <v>0</v>
      </c>
      <c r="D12" s="50">
        <v>0</v>
      </c>
      <c r="E12" s="51">
        <f>E$3*Macro!R96</f>
        <v>5.3362606585738395E-2</v>
      </c>
      <c r="F12" s="51">
        <f t="shared" si="0"/>
        <v>5.3362606585738395E-2</v>
      </c>
    </row>
    <row r="13" spans="1:6">
      <c r="A13" s="46">
        <v>2032</v>
      </c>
      <c r="B13" s="50">
        <v>0</v>
      </c>
      <c r="C13" s="50">
        <v>0</v>
      </c>
      <c r="D13" s="50">
        <v>0</v>
      </c>
      <c r="E13" s="51">
        <f>E$3*Macro!R97</f>
        <v>5.3691748885954363E-2</v>
      </c>
      <c r="F13" s="51">
        <f t="shared" si="0"/>
        <v>5.3691748885954363E-2</v>
      </c>
    </row>
    <row r="14" spans="1:6">
      <c r="A14" s="47">
        <v>2033</v>
      </c>
      <c r="B14" s="49">
        <v>0</v>
      </c>
      <c r="C14" s="49">
        <v>0</v>
      </c>
      <c r="D14" s="49">
        <v>0</v>
      </c>
      <c r="E14" s="51">
        <f>E$3*Macro!R98</f>
        <v>5.4022921346627679E-2</v>
      </c>
      <c r="F14" s="51">
        <f t="shared" si="0"/>
        <v>5.4022921346627679E-2</v>
      </c>
    </row>
    <row r="15" spans="1:6">
      <c r="A15" s="46">
        <v>2034</v>
      </c>
      <c r="B15" s="49">
        <v>0</v>
      </c>
      <c r="C15" s="49">
        <v>0</v>
      </c>
      <c r="D15" s="49">
        <v>0</v>
      </c>
      <c r="E15" s="51">
        <f>E$3*Macro!R99</f>
        <v>5.4356136489854351E-2</v>
      </c>
      <c r="F15" s="51">
        <f t="shared" si="0"/>
        <v>5.4356136489854351E-2</v>
      </c>
    </row>
    <row r="16" spans="1:6">
      <c r="A16" s="46">
        <v>2035</v>
      </c>
      <c r="B16" s="50">
        <v>0</v>
      </c>
      <c r="C16" s="50">
        <v>0</v>
      </c>
      <c r="D16" s="50">
        <v>0</v>
      </c>
      <c r="E16" s="51">
        <f>E$3*Macro!R100</f>
        <v>5.4691406914967086E-2</v>
      </c>
      <c r="F16" s="51">
        <f t="shared" si="0"/>
        <v>5.4691406914967086E-2</v>
      </c>
    </row>
    <row r="17" spans="1:6">
      <c r="A17" s="47">
        <v>2036</v>
      </c>
      <c r="B17" s="50">
        <v>0</v>
      </c>
      <c r="C17" s="50">
        <v>0</v>
      </c>
      <c r="D17" s="50">
        <v>0</v>
      </c>
      <c r="E17" s="51">
        <f>E$3*Macro!R101</f>
        <v>5.5028745299011673E-2</v>
      </c>
      <c r="F17" s="51">
        <f t="shared" si="0"/>
        <v>5.5028745299011673E-2</v>
      </c>
    </row>
    <row r="18" spans="1:6">
      <c r="A18" s="46">
        <v>2037</v>
      </c>
      <c r="B18" s="50">
        <v>0</v>
      </c>
      <c r="C18" s="50">
        <v>0</v>
      </c>
      <c r="D18" s="50">
        <v>0</v>
      </c>
      <c r="E18" s="51">
        <f>E$3*Macro!R102</f>
        <v>5.5368164397226333E-2</v>
      </c>
      <c r="F18" s="51">
        <f t="shared" si="0"/>
        <v>5.5368164397226333E-2</v>
      </c>
    </row>
    <row r="19" spans="1:6">
      <c r="A19" s="46">
        <v>2038</v>
      </c>
      <c r="B19" s="50">
        <v>0</v>
      </c>
      <c r="C19" s="50">
        <v>0</v>
      </c>
      <c r="D19" s="50">
        <v>0</v>
      </c>
      <c r="E19" s="51">
        <f>E$3*Macro!R103</f>
        <v>5.5709677043524045E-2</v>
      </c>
      <c r="F19" s="51">
        <f t="shared" si="0"/>
        <v>5.5709677043524045E-2</v>
      </c>
    </row>
    <row r="20" spans="1:6">
      <c r="A20" s="47">
        <v>2039</v>
      </c>
      <c r="B20" s="50">
        <v>0</v>
      </c>
      <c r="C20" s="50">
        <v>0</v>
      </c>
      <c r="D20" s="50">
        <v>0</v>
      </c>
      <c r="E20" s="51">
        <f>E$3*Macro!R104</f>
        <v>5.6053296150977733E-2</v>
      </c>
      <c r="F20" s="51">
        <f t="shared" si="0"/>
        <v>5.6053296150977733E-2</v>
      </c>
    </row>
    <row r="21" spans="1:6">
      <c r="A21" s="46">
        <v>2040</v>
      </c>
      <c r="B21" s="49">
        <v>0</v>
      </c>
      <c r="C21" s="49">
        <v>0</v>
      </c>
      <c r="D21" s="49">
        <v>0</v>
      </c>
      <c r="E21" s="51">
        <f>E$3*Macro!R105</f>
        <v>5.6399034712308636E-2</v>
      </c>
      <c r="F21" s="51">
        <f t="shared" si="0"/>
        <v>5.6399034712308636E-2</v>
      </c>
    </row>
    <row r="22" spans="1:6">
      <c r="A22" s="46">
        <v>2041</v>
      </c>
      <c r="B22" s="49">
        <v>0</v>
      </c>
      <c r="C22" s="49">
        <v>0</v>
      </c>
      <c r="D22" s="49">
        <v>0</v>
      </c>
      <c r="E22" s="51">
        <f>E$3*Macro!R106</f>
        <v>5.6642972733173647E-2</v>
      </c>
      <c r="F22" s="51">
        <f t="shared" si="0"/>
        <v>5.6642972733173647E-2</v>
      </c>
    </row>
    <row r="23" spans="1:6">
      <c r="A23" s="47">
        <v>2042</v>
      </c>
      <c r="B23" s="50">
        <v>0</v>
      </c>
      <c r="C23" s="50">
        <v>0</v>
      </c>
      <c r="D23" s="50">
        <v>0</v>
      </c>
      <c r="E23" s="51">
        <f>E$3*Macro!R107</f>
        <v>5.6887965838728065E-2</v>
      </c>
      <c r="F23" s="51">
        <f t="shared" si="0"/>
        <v>5.6887965838728065E-2</v>
      </c>
    </row>
    <row r="24" spans="1:6">
      <c r="A24" s="46">
        <v>2043</v>
      </c>
      <c r="B24" s="50">
        <v>0</v>
      </c>
      <c r="C24" s="50">
        <v>0</v>
      </c>
      <c r="D24" s="50">
        <v>0</v>
      </c>
      <c r="E24" s="51">
        <f>E$3*Macro!R108</f>
        <v>5.7134018592441362E-2</v>
      </c>
      <c r="F24" s="51">
        <f t="shared" si="0"/>
        <v>5.7134018592441362E-2</v>
      </c>
    </row>
    <row r="25" spans="1:6">
      <c r="A25" s="46">
        <v>2044</v>
      </c>
      <c r="B25" s="50">
        <v>0</v>
      </c>
      <c r="C25" s="50">
        <v>0</v>
      </c>
      <c r="D25" s="50">
        <v>0</v>
      </c>
      <c r="E25" s="51">
        <f>E$3*Macro!R109</f>
        <v>5.7381135577520954E-2</v>
      </c>
      <c r="F25" s="51">
        <f t="shared" si="0"/>
        <v>5.7381135577520954E-2</v>
      </c>
    </row>
    <row r="26" spans="1:6">
      <c r="A26" s="47">
        <v>2045</v>
      </c>
      <c r="B26" s="50">
        <v>0</v>
      </c>
      <c r="C26" s="50">
        <v>0</v>
      </c>
      <c r="D26" s="50">
        <v>0</v>
      </c>
      <c r="E26" s="51">
        <f>E$3*Macro!R110</f>
        <v>5.7629321396997585E-2</v>
      </c>
      <c r="F26" s="51">
        <f t="shared" si="0"/>
        <v>5.7629321396997585E-2</v>
      </c>
    </row>
    <row r="28" spans="1:6">
      <c r="A28" s="60"/>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76A4E-0318-4A33-976F-B88BA9CAC516}">
  <sheetPr>
    <tabColor rgb="FF7030A0"/>
  </sheetPr>
  <dimension ref="A1:M26"/>
  <sheetViews>
    <sheetView topLeftCell="B1" workbookViewId="0">
      <selection activeCell="B4" sqref="B4"/>
    </sheetView>
  </sheetViews>
  <sheetFormatPr defaultColWidth="8.85546875" defaultRowHeight="15"/>
  <cols>
    <col min="2" max="5" width="9.7109375" customWidth="1"/>
    <col min="8" max="8" width="14.5703125" bestFit="1" customWidth="1"/>
    <col min="9" max="9" width="10.42578125" bestFit="1" customWidth="1"/>
    <col min="11" max="11" width="26.7109375" bestFit="1" customWidth="1"/>
    <col min="12" max="12" width="10.42578125" bestFit="1" customWidth="1"/>
    <col min="18" max="18" width="10.28515625" customWidth="1"/>
  </cols>
  <sheetData>
    <row r="1" spans="1:13" s="12" customFormat="1">
      <c r="A1" s="12" t="s">
        <v>23</v>
      </c>
    </row>
    <row r="2" spans="1:13">
      <c r="A2" s="1" t="s">
        <v>0</v>
      </c>
      <c r="B2" s="4" t="s">
        <v>5</v>
      </c>
      <c r="C2" s="4" t="s">
        <v>6</v>
      </c>
      <c r="D2" s="4" t="s">
        <v>7</v>
      </c>
      <c r="E2" s="4" t="s">
        <v>8</v>
      </c>
      <c r="F2" s="4" t="s">
        <v>2</v>
      </c>
    </row>
    <row r="3" spans="1:13">
      <c r="A3" s="3">
        <v>2022</v>
      </c>
      <c r="B3" s="68">
        <v>6.29939085207933E-3</v>
      </c>
      <c r="C3" s="68">
        <v>3.8690548454441809E-2</v>
      </c>
      <c r="D3" s="68">
        <v>2.668712828597217E-3</v>
      </c>
      <c r="E3" s="68">
        <v>6.1167781479619125E-3</v>
      </c>
      <c r="F3" s="13">
        <f t="shared" ref="F3:F26" si="0">SUM(B3:E3)</f>
        <v>5.3775430283080267E-2</v>
      </c>
      <c r="H3" s="8"/>
      <c r="I3" s="7"/>
      <c r="K3" s="5"/>
      <c r="L3" s="10"/>
      <c r="M3" s="6"/>
    </row>
    <row r="4" spans="1:13">
      <c r="A4" s="3">
        <v>2023</v>
      </c>
      <c r="B4" s="68">
        <f>B$3*Macro!O88</f>
        <v>6.3144544294356283E-3</v>
      </c>
      <c r="C4" s="68">
        <f>C$3*Macro!P88</f>
        <v>3.8900319449682481E-2</v>
      </c>
      <c r="D4" s="68">
        <f>D$3*Macro!Q88</f>
        <v>2.6846283823281896E-3</v>
      </c>
      <c r="E4" s="68">
        <f>E$3*Macro!R88</f>
        <v>6.0520586129235894E-3</v>
      </c>
      <c r="F4" s="13">
        <f t="shared" si="0"/>
        <v>5.3951460874369889E-2</v>
      </c>
      <c r="H4" s="8"/>
      <c r="I4" s="7"/>
      <c r="K4" s="5"/>
      <c r="L4" s="5"/>
    </row>
    <row r="5" spans="1:13">
      <c r="A5" s="3">
        <v>2024</v>
      </c>
      <c r="B5" s="68">
        <f>B$3*Macro!O89</f>
        <v>6.3290933537512384E-3</v>
      </c>
      <c r="C5" s="68">
        <f>C$3*Macro!P89</f>
        <v>3.9108381201239988E-2</v>
      </c>
      <c r="D5" s="68">
        <f>D$3*Macro!Q89</f>
        <v>2.700442296101847E-3</v>
      </c>
      <c r="E5" s="68">
        <f>E$3*Macro!R89</f>
        <v>5.9875880359892995E-3</v>
      </c>
      <c r="F5" s="13">
        <f t="shared" si="0"/>
        <v>5.4125504887082371E-2</v>
      </c>
      <c r="H5" s="8"/>
      <c r="I5" s="7"/>
      <c r="K5" s="5"/>
      <c r="L5" s="5"/>
    </row>
    <row r="6" spans="1:13">
      <c r="A6" s="3">
        <v>2025</v>
      </c>
      <c r="B6" s="68">
        <f>B$3*Macro!O90</f>
        <v>6.3435839204600943E-3</v>
      </c>
      <c r="C6" s="68">
        <f>C$3*Macro!P90</f>
        <v>3.9316425954685048E-2</v>
      </c>
      <c r="D6" s="68">
        <f>D$3*Macro!Q90</f>
        <v>2.7162713050058987E-3</v>
      </c>
      <c r="E6" s="68">
        <f>E$3*Macro!R90</f>
        <v>5.9236340155383021E-3</v>
      </c>
      <c r="F6" s="13">
        <f t="shared" si="0"/>
        <v>5.4299915195689351E-2</v>
      </c>
      <c r="H6" s="9"/>
      <c r="I6" s="7"/>
      <c r="K6" s="5"/>
      <c r="L6" s="5"/>
    </row>
    <row r="7" spans="1:13">
      <c r="A7" s="3">
        <v>2026</v>
      </c>
      <c r="B7" s="68">
        <f>B$3*Macro!O91</f>
        <v>6.4544926629285741E-3</v>
      </c>
      <c r="C7" s="68">
        <f>C$3*Macro!P91</f>
        <v>3.9621732634029051E-2</v>
      </c>
      <c r="D7" s="68">
        <f>D$3*Macro!Q91</f>
        <v>2.7970937222219394E-3</v>
      </c>
      <c r="E7" s="68">
        <f>E$3*Macro!R91</f>
        <v>6.0674811760741184E-3</v>
      </c>
      <c r="F7" s="13">
        <f t="shared" si="0"/>
        <v>5.4940800195253686E-2</v>
      </c>
    </row>
    <row r="8" spans="1:13">
      <c r="A8" s="3">
        <v>2027</v>
      </c>
      <c r="B8" s="68">
        <f>B$3*Macro!O92</f>
        <v>6.5673404905120551E-3</v>
      </c>
      <c r="C8" s="68">
        <f>C$3*Macro!P92</f>
        <v>3.9929410133359586E-2</v>
      </c>
      <c r="D8" s="68">
        <f>D$3*Macro!Q92</f>
        <v>2.8803210034560197E-3</v>
      </c>
      <c r="E8" s="68">
        <f>E$3*Macro!R92</f>
        <v>6.2148214635553084E-3</v>
      </c>
      <c r="F8" s="13">
        <f t="shared" si="0"/>
        <v>5.5591893090882964E-2</v>
      </c>
    </row>
    <row r="9" spans="1:13">
      <c r="A9" s="3">
        <v>2028</v>
      </c>
      <c r="B9" s="68">
        <f>B$3*Macro!O93</f>
        <v>6.6821613054169815E-3</v>
      </c>
      <c r="C9" s="68">
        <f>C$3*Macro!P93</f>
        <v>4.0239476862976145E-2</v>
      </c>
      <c r="D9" s="68">
        <f>D$3*Macro!Q93</f>
        <v>2.9660247052285282E-3</v>
      </c>
      <c r="E9" s="68">
        <f>E$3*Macro!R93</f>
        <v>6.3657397036802855E-3</v>
      </c>
      <c r="F9" s="13">
        <f t="shared" si="0"/>
        <v>5.6253402577301936E-2</v>
      </c>
    </row>
    <row r="10" spans="1:13">
      <c r="A10" s="3">
        <v>2029</v>
      </c>
      <c r="B10" s="68">
        <f>B$3*Macro!O94</f>
        <v>6.7989896025827208E-3</v>
      </c>
      <c r="C10" s="68">
        <f>C$3*Macro!P94</f>
        <v>4.0551951376141079E-2</v>
      </c>
      <c r="D10" s="68">
        <f>D$3*Macro!Q94</f>
        <v>3.0542785132179114E-3</v>
      </c>
      <c r="E10" s="68">
        <f>E$3*Macro!R94</f>
        <v>6.5203227820208026E-3</v>
      </c>
      <c r="F10" s="13">
        <f t="shared" si="0"/>
        <v>5.6925542273962515E-2</v>
      </c>
    </row>
    <row r="11" spans="1:13">
      <c r="A11" s="3">
        <v>2030</v>
      </c>
      <c r="B11" s="68">
        <f>B$3*Macro!O95</f>
        <v>6.9178604800446851E-3</v>
      </c>
      <c r="C11" s="68">
        <f>C$3*Macro!P95</f>
        <v>4.0866852370189707E-2</v>
      </c>
      <c r="D11" s="68">
        <f>D$3*Macro!Q95</f>
        <v>3.1451583056135947E-3</v>
      </c>
      <c r="E11" s="68">
        <f>E$3*Macro!R95</f>
        <v>6.6786596940431146E-3</v>
      </c>
      <c r="F11" s="13">
        <f t="shared" si="0"/>
        <v>5.7608530849891093E-2</v>
      </c>
    </row>
    <row r="12" spans="1:13">
      <c r="A12" s="3">
        <v>2031</v>
      </c>
      <c r="B12" s="68">
        <f>B$3*Macro!O96</f>
        <v>6.9528179771008551E-3</v>
      </c>
      <c r="C12" s="68">
        <f>C$3*Macro!P96</f>
        <v>4.095570800048224E-2</v>
      </c>
      <c r="D12" s="68">
        <f>D$3*Macro!Q96</f>
        <v>3.1664556497598075E-3</v>
      </c>
      <c r="E12" s="68">
        <f>E$3*Macro!R96</f>
        <v>6.7198538851575441E-3</v>
      </c>
      <c r="F12" s="13">
        <f t="shared" si="0"/>
        <v>5.7794835512500441E-2</v>
      </c>
    </row>
    <row r="13" spans="1:13">
      <c r="A13" s="3">
        <v>2032</v>
      </c>
      <c r="B13" s="68">
        <f>B$3*Macro!O97</f>
        <v>6.9879521222122936E-3</v>
      </c>
      <c r="C13" s="68">
        <f>C$3*Macro!P97</f>
        <v>4.1044756827034741E-2</v>
      </c>
      <c r="D13" s="68">
        <f>D$3*Macro!Q97</f>
        <v>3.1878972082264485E-3</v>
      </c>
      <c r="E13" s="68">
        <f>E$3*Macro!R97</f>
        <v>6.7613021633881488E-3</v>
      </c>
      <c r="F13" s="13">
        <f t="shared" si="0"/>
        <v>5.7981908320861628E-2</v>
      </c>
    </row>
    <row r="14" spans="1:13">
      <c r="A14" s="3">
        <v>2033</v>
      </c>
      <c r="B14" s="68">
        <f>B$3*Macro!O98</f>
        <v>7.0232638080211553E-3</v>
      </c>
      <c r="C14" s="68">
        <f>C$3*Macro!P98</f>
        <v>4.1133999269908329E-2</v>
      </c>
      <c r="D14" s="68">
        <f>D$3*Macro!Q98</f>
        <v>3.2094839575564174E-3</v>
      </c>
      <c r="E14" s="68">
        <f>E$3*Macro!R98</f>
        <v>6.8030060959525587E-3</v>
      </c>
      <c r="F14" s="13">
        <f t="shared" si="0"/>
        <v>5.8169753131438462E-2</v>
      </c>
    </row>
    <row r="15" spans="1:13">
      <c r="A15" s="3">
        <v>2034</v>
      </c>
      <c r="B15" s="68">
        <f>B$3*Macro!O99</f>
        <v>7.0587539316803128E-3</v>
      </c>
      <c r="C15" s="68">
        <f>C$3*Macro!P99</f>
        <v>4.1223435750077433E-2</v>
      </c>
      <c r="D15" s="68">
        <f>D$3*Macro!Q99</f>
        <v>3.2312168809052444E-3</v>
      </c>
      <c r="E15" s="68">
        <f>E$3*Macro!R99</f>
        <v>6.8449672597350551E-3</v>
      </c>
      <c r="F15" s="13">
        <f t="shared" si="0"/>
        <v>5.8358373822398044E-2</v>
      </c>
    </row>
    <row r="16" spans="1:13">
      <c r="A16" s="3">
        <v>2035</v>
      </c>
      <c r="B16" s="68">
        <f>B$3*Macro!O100</f>
        <v>7.0944233948761586E-3</v>
      </c>
      <c r="C16" s="68">
        <f>C$3*Macro!P100</f>
        <v>4.1313066689431813E-2</v>
      </c>
      <c r="D16" s="68">
        <f>D$3*Macro!Q100</f>
        <v>3.2530969680858689E-3</v>
      </c>
      <c r="E16" s="68">
        <f>E$3*Macro!R100</f>
        <v>6.8871872413461916E-3</v>
      </c>
      <c r="F16" s="13">
        <f t="shared" si="0"/>
        <v>5.8547774293740036E-2</v>
      </c>
    </row>
    <row r="17" spans="1:6">
      <c r="A17" s="3">
        <v>2036</v>
      </c>
      <c r="B17" s="68">
        <f>B$3*Macro!O101</f>
        <v>7.1302731038514963E-3</v>
      </c>
      <c r="C17" s="68">
        <f>C$3*Macro!P101</f>
        <v>4.1402892510778527E-2</v>
      </c>
      <c r="D17" s="68">
        <f>D$3*Macro!Q101</f>
        <v>3.2751252156137181E-3</v>
      </c>
      <c r="E17" s="68">
        <f>E$3*Macro!R101</f>
        <v>6.9296676371827896E-3</v>
      </c>
      <c r="F17" s="13">
        <f t="shared" si="0"/>
        <v>5.8737958467426535E-2</v>
      </c>
    </row>
    <row r="18" spans="1:6">
      <c r="A18" s="3">
        <v>2037</v>
      </c>
      <c r="B18" s="68">
        <f>B$3*Macro!O102</f>
        <v>7.1663039694285875E-3</v>
      </c>
      <c r="C18" s="68">
        <f>C$3*Macro!P102</f>
        <v>4.1492913637843916E-2</v>
      </c>
      <c r="D18" s="68">
        <f>D$3*Macro!Q102</f>
        <v>3.2973026267520923E-3</v>
      </c>
      <c r="E18" s="68">
        <f>E$3*Macro!R102</f>
        <v>6.9724100534882929E-3</v>
      </c>
      <c r="F18" s="13">
        <f t="shared" si="0"/>
        <v>5.8928930287512886E-2</v>
      </c>
    </row>
    <row r="19" spans="1:6">
      <c r="A19" s="3">
        <v>2038</v>
      </c>
      <c r="B19" s="68">
        <f>B$3*Macro!O103</f>
        <v>7.2025169070322808E-3</v>
      </c>
      <c r="C19" s="68">
        <f>C$3*Macro!P103</f>
        <v>4.1583130495275629E-2</v>
      </c>
      <c r="D19" s="68">
        <f>D$3*Macro!Q103</f>
        <v>3.3196302115578594E-3</v>
      </c>
      <c r="E19" s="68">
        <f>E$3*Macro!R103</f>
        <v>7.015416106413516E-3</v>
      </c>
      <c r="F19" s="13">
        <f t="shared" si="0"/>
        <v>5.9120693720279283E-2</v>
      </c>
    </row>
    <row r="20" spans="1:6">
      <c r="A20" s="3">
        <v>2039</v>
      </c>
      <c r="B20" s="68">
        <f>B$3*Macro!O104</f>
        <v>7.2389128367132665E-3</v>
      </c>
      <c r="C20" s="68">
        <f>C$3*Macro!P104</f>
        <v>4.1673543508644613E-2</v>
      </c>
      <c r="D20" s="68">
        <f>D$3*Macro!Q104</f>
        <v>3.3421089869274576E-3</v>
      </c>
      <c r="E20" s="68">
        <f>E$3*Macro!R104</f>
        <v>7.0586874220777357E-3</v>
      </c>
      <c r="F20" s="13">
        <f t="shared" si="0"/>
        <v>5.9313252754363076E-2</v>
      </c>
    </row>
    <row r="21" spans="1:6">
      <c r="A21" s="3">
        <v>2040</v>
      </c>
      <c r="B21" s="68">
        <f>B$3*Macro!O105</f>
        <v>7.2754926831714653E-3</v>
      </c>
      <c r="C21" s="68">
        <f>C$3*Macro!P105</f>
        <v>4.176415310444713E-2</v>
      </c>
      <c r="D21" s="68">
        <f>D$3*Macro!Q105</f>
        <v>3.3647399766432071E-3</v>
      </c>
      <c r="E21" s="68">
        <f>E$3*Macro!R105</f>
        <v>7.1022256366301923E-3</v>
      </c>
      <c r="F21" s="13">
        <f t="shared" si="0"/>
        <v>5.9506611400891994E-2</v>
      </c>
    </row>
    <row r="22" spans="1:6">
      <c r="A22" s="3">
        <v>2041</v>
      </c>
      <c r="B22" s="68">
        <f>B$3*Macro!O106</f>
        <v>7.3027330136509585E-3</v>
      </c>
      <c r="C22" s="68">
        <f>C$3*Macro!P106</f>
        <v>4.1799367401886639E-2</v>
      </c>
      <c r="D22" s="68">
        <f>D$3*Macro!Q106</f>
        <v>3.3827801463264108E-3</v>
      </c>
      <c r="E22" s="68">
        <f>E$3*Macro!R106</f>
        <v>7.132944298294773E-3</v>
      </c>
      <c r="F22" s="13">
        <f t="shared" si="0"/>
        <v>5.9617824860158784E-2</v>
      </c>
    </row>
    <row r="23" spans="1:6">
      <c r="A23" s="3">
        <v>2042</v>
      </c>
      <c r="B23" s="68">
        <f>B$3*Macro!O107</f>
        <v>7.330075335244584E-3</v>
      </c>
      <c r="C23" s="68">
        <f>C$3*Macro!P107</f>
        <v>4.1834611390979201E-2</v>
      </c>
      <c r="D23" s="68">
        <f>D$3*Macro!Q107</f>
        <v>3.4009170390029101E-3</v>
      </c>
      <c r="E23" s="68">
        <f>E$3*Macro!R107</f>
        <v>7.1637958248136563E-3</v>
      </c>
      <c r="F23" s="13">
        <f t="shared" si="0"/>
        <v>5.9729399590040352E-2</v>
      </c>
    </row>
    <row r="24" spans="1:6">
      <c r="A24" s="3">
        <v>2043</v>
      </c>
      <c r="B24" s="68">
        <f>B$3*Macro!O108</f>
        <v>7.357520029819496E-3</v>
      </c>
      <c r="C24" s="68">
        <f>C$3*Macro!P108</f>
        <v>4.1869885096759943E-2</v>
      </c>
      <c r="D24" s="68">
        <f>D$3*Macro!Q108</f>
        <v>3.4191511732563746E-3</v>
      </c>
      <c r="E24" s="68">
        <f>E$3*Macro!R108</f>
        <v>7.1947807908560747E-3</v>
      </c>
      <c r="F24" s="13">
        <f t="shared" si="0"/>
        <v>5.9841337090691886E-2</v>
      </c>
    </row>
    <row r="25" spans="1:6">
      <c r="A25" s="3">
        <v>2044</v>
      </c>
      <c r="B25" s="68">
        <f>B$3*Macro!O109</f>
        <v>7.3850674806725967E-3</v>
      </c>
      <c r="C25" s="68">
        <f>C$3*Macro!P109</f>
        <v>4.190518854428512E-2</v>
      </c>
      <c r="D25" s="68">
        <f>D$3*Macro!Q109</f>
        <v>3.4374830704508815E-3</v>
      </c>
      <c r="E25" s="68">
        <f>E$3*Macro!R109</f>
        <v>7.225899773576819E-3</v>
      </c>
      <c r="F25" s="13">
        <f t="shared" si="0"/>
        <v>5.9953638868985415E-2</v>
      </c>
    </row>
    <row r="26" spans="1:6">
      <c r="A26" s="3">
        <v>2045</v>
      </c>
      <c r="B26" s="68">
        <f>B$3*Macro!O110</f>
        <v>7.4127180725359083E-3</v>
      </c>
      <c r="C26" s="68">
        <f>C$3*Macro!P110</f>
        <v>4.1940521758632041E-2</v>
      </c>
      <c r="D26" s="68">
        <f>D$3*Macro!Q110</f>
        <v>3.4559132547458188E-3</v>
      </c>
      <c r="E26" s="68">
        <f>E$3*Macro!R110</f>
        <v>7.2571533526270002E-3</v>
      </c>
      <c r="F26" s="13">
        <f t="shared" si="0"/>
        <v>6.0066306438540766E-2</v>
      </c>
    </row>
  </sheetData>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DADD2-D35A-47D0-960C-75FA7842D2E3}">
  <sheetPr>
    <tabColor rgb="FF7030A0"/>
  </sheetPr>
  <dimension ref="A1:F30"/>
  <sheetViews>
    <sheetView workbookViewId="0">
      <selection activeCell="E4" sqref="E4"/>
    </sheetView>
  </sheetViews>
  <sheetFormatPr defaultColWidth="8.85546875" defaultRowHeight="15"/>
  <cols>
    <col min="1" max="1" width="8.7109375" style="2"/>
    <col min="2" max="2" width="11.42578125" bestFit="1" customWidth="1"/>
  </cols>
  <sheetData>
    <row r="1" spans="1:6" s="11" customFormat="1">
      <c r="A1" s="14" t="s">
        <v>24</v>
      </c>
    </row>
    <row r="2" spans="1:6">
      <c r="A2" s="1" t="s">
        <v>0</v>
      </c>
      <c r="B2" s="1" t="s">
        <v>5</v>
      </c>
      <c r="C2" s="1" t="s">
        <v>6</v>
      </c>
      <c r="D2" s="1" t="s">
        <v>7</v>
      </c>
      <c r="E2" s="1" t="s">
        <v>8</v>
      </c>
      <c r="F2" s="1" t="s">
        <v>2</v>
      </c>
    </row>
    <row r="3" spans="1:6">
      <c r="A3" s="3">
        <v>2022</v>
      </c>
      <c r="B3" s="13">
        <v>6.0504039886480005E-3</v>
      </c>
      <c r="C3" s="13">
        <v>1.4580006452199999E-2</v>
      </c>
      <c r="D3" s="13">
        <v>4.0054595163519996E-3</v>
      </c>
      <c r="E3" s="13">
        <v>1.9090608830719998E-3</v>
      </c>
      <c r="F3" s="13">
        <f t="shared" ref="F3:F26" si="0">SUM(B3:E3)</f>
        <v>2.6544930840271999E-2</v>
      </c>
    </row>
    <row r="4" spans="1:6">
      <c r="A4" s="3">
        <v>2023</v>
      </c>
      <c r="B4" s="13">
        <f>B$3*Macro!O88</f>
        <v>6.0648721698832973E-3</v>
      </c>
      <c r="C4" s="13">
        <f>C$3*Macro!P88</f>
        <v>1.4659055795935582E-2</v>
      </c>
      <c r="D4" s="13">
        <f>D$3*Macro!Q88</f>
        <v>4.0293471019575465E-3</v>
      </c>
      <c r="E4" s="13">
        <f>E$3*Macro!R88</f>
        <v>1.88886176358073E-3</v>
      </c>
      <c r="F4" s="13">
        <f t="shared" si="0"/>
        <v>2.6642136831357154E-2</v>
      </c>
    </row>
    <row r="5" spans="1:6">
      <c r="A5" s="3">
        <v>2024</v>
      </c>
      <c r="B5" s="13">
        <f>B$3*Macro!O89</f>
        <v>6.0789324827212358E-3</v>
      </c>
      <c r="C5" s="13">
        <f>C$3*Macro!P89</f>
        <v>1.4737461034458797E-2</v>
      </c>
      <c r="D5" s="13">
        <f>D$3*Macro!Q89</f>
        <v>4.0530821365917374E-3</v>
      </c>
      <c r="E5" s="13">
        <f>E$3*Macro!R89</f>
        <v>1.8687403445007613E-3</v>
      </c>
      <c r="F5" s="13">
        <f t="shared" si="0"/>
        <v>2.6738215998272533E-2</v>
      </c>
    </row>
    <row r="6" spans="1:6">
      <c r="A6" s="3">
        <v>2025</v>
      </c>
      <c r="B6" s="13">
        <f>B$3*Macro!O90</f>
        <v>6.0928503018678436E-3</v>
      </c>
      <c r="C6" s="13">
        <f>C$3*Macro!P90</f>
        <v>1.4815859867474747E-2</v>
      </c>
      <c r="D6" s="13">
        <f>D$3*Macro!Q90</f>
        <v>4.0768398274417051E-3</v>
      </c>
      <c r="E6" s="13">
        <f>E$3*Macro!R90</f>
        <v>1.8487801439172455E-3</v>
      </c>
      <c r="F6" s="13">
        <f t="shared" si="0"/>
        <v>2.6834330140701541E-2</v>
      </c>
    </row>
    <row r="7" spans="1:6">
      <c r="A7" s="3">
        <v>2026</v>
      </c>
      <c r="B7" s="13">
        <f>B$3*Macro!O91</f>
        <v>6.1993753157246548E-3</v>
      </c>
      <c r="C7" s="13">
        <f>C$3*Macro!P91</f>
        <v>1.4930910533142536E-2</v>
      </c>
      <c r="D7" s="13">
        <f>D$3*Macro!Q91</f>
        <v>4.1981458430997206E-3</v>
      </c>
      <c r="E7" s="13">
        <f>E$3*Macro!R91</f>
        <v>1.8936751819057338E-3</v>
      </c>
      <c r="F7" s="13">
        <f t="shared" si="0"/>
        <v>2.7222106873872647E-2</v>
      </c>
    </row>
    <row r="8" spans="1:6">
      <c r="A8" s="3">
        <v>2027</v>
      </c>
      <c r="B8" s="13">
        <f>B$3*Macro!O92</f>
        <v>6.3077627712983921E-3</v>
      </c>
      <c r="C8" s="13">
        <f>C$3*Macro!P92</f>
        <v>1.504685461004592E-2</v>
      </c>
      <c r="D8" s="13">
        <f>D$3*Macro!Q92</f>
        <v>4.3230613087380304E-3</v>
      </c>
      <c r="E8" s="13">
        <f>E$3*Macro!R92</f>
        <v>1.9396604330505125E-3</v>
      </c>
      <c r="F8" s="13">
        <f t="shared" si="0"/>
        <v>2.7617339123132856E-2</v>
      </c>
    </row>
    <row r="9" spans="1:6">
      <c r="A9" s="3">
        <v>2028</v>
      </c>
      <c r="B9" s="13">
        <f>B$3*Macro!O93</f>
        <v>6.4180452307922757E-3</v>
      </c>
      <c r="C9" s="13">
        <f>C$3*Macro!P93</f>
        <v>1.516369903585563E-2</v>
      </c>
      <c r="D9" s="13">
        <f>D$3*Macro!Q93</f>
        <v>4.4516936232279073E-3</v>
      </c>
      <c r="E9" s="13">
        <f>E$3*Macro!R93</f>
        <v>1.9867623716520715E-3</v>
      </c>
      <c r="F9" s="13">
        <f t="shared" si="0"/>
        <v>2.8020200261527885E-2</v>
      </c>
    </row>
    <row r="10" spans="1:6">
      <c r="A10" s="3">
        <v>2029</v>
      </c>
      <c r="B10" s="13">
        <f>B$3*Macro!O94</f>
        <v>6.5302558257143576E-3</v>
      </c>
      <c r="C10" s="13">
        <f>C$3*Macro!P94</f>
        <v>1.5281450802115997E-2</v>
      </c>
      <c r="D10" s="13">
        <f>D$3*Macro!Q94</f>
        <v>4.5841533810847277E-3</v>
      </c>
      <c r="E10" s="13">
        <f>E$3*Macro!R94</f>
        <v>2.035008114902228E-3</v>
      </c>
      <c r="F10" s="13">
        <f t="shared" si="0"/>
        <v>2.8430868123817309E-2</v>
      </c>
    </row>
    <row r="11" spans="1:6">
      <c r="A11" s="3">
        <v>2030</v>
      </c>
      <c r="B11" s="13">
        <f>B$3*Macro!O95</f>
        <v>6.6444282668310338E-3</v>
      </c>
      <c r="C11" s="13">
        <f>C$3*Macro!P95</f>
        <v>1.5400116954663288E-2</v>
      </c>
      <c r="D11" s="13">
        <f>D$3*Macro!Q95</f>
        <v>4.7205544675540893E-3</v>
      </c>
      <c r="E11" s="13">
        <f>E$3*Macro!R95</f>
        <v>2.0844254384958464E-3</v>
      </c>
      <c r="F11" s="13">
        <f t="shared" si="0"/>
        <v>2.8849525127544254E-2</v>
      </c>
    </row>
    <row r="12" spans="1:6">
      <c r="A12" s="3">
        <v>2031</v>
      </c>
      <c r="B12" s="13">
        <f>B$3*Macro!O96</f>
        <v>6.6780040497262938E-3</v>
      </c>
      <c r="C12" s="13">
        <f>C$3*Macro!P96</f>
        <v>1.5433600989259099E-2</v>
      </c>
      <c r="D12" s="13">
        <f>D$3*Macro!Q96</f>
        <v>4.7525195590653827E-3</v>
      </c>
      <c r="E12" s="13">
        <f>E$3*Macro!R96</f>
        <v>2.0972822426767457E-3</v>
      </c>
      <c r="F12" s="13">
        <f t="shared" si="0"/>
        <v>2.8961406840727517E-2</v>
      </c>
    </row>
    <row r="13" spans="1:6">
      <c r="A13" s="3">
        <v>2032</v>
      </c>
      <c r="B13" s="13">
        <f>B$3*Macro!O97</f>
        <v>6.7117494985659727E-3</v>
      </c>
      <c r="C13" s="13">
        <f>C$3*Macro!P97</f>
        <v>1.5467157827235307E-2</v>
      </c>
      <c r="D13" s="13">
        <f>D$3*Macro!Q97</f>
        <v>4.7847011012250792E-3</v>
      </c>
      <c r="E13" s="13">
        <f>E$3*Macro!R97</f>
        <v>2.1102183480457295E-3</v>
      </c>
      <c r="F13" s="13">
        <f t="shared" si="0"/>
        <v>2.9073826775072087E-2</v>
      </c>
    </row>
    <row r="14" spans="1:6">
      <c r="A14" s="3">
        <v>2033</v>
      </c>
      <c r="B14" s="13">
        <f>B$3*Macro!O98</f>
        <v>6.7456654707100574E-3</v>
      </c>
      <c r="C14" s="13">
        <f>C$3*Macro!P98</f>
        <v>1.5500787626886224E-2</v>
      </c>
      <c r="D14" s="13">
        <f>D$3*Macro!Q98</f>
        <v>4.8171005597221848E-3</v>
      </c>
      <c r="E14" s="13">
        <f>E$3*Macro!R98</f>
        <v>2.1232342437351153E-3</v>
      </c>
      <c r="F14" s="13">
        <f t="shared" si="0"/>
        <v>2.9186787901053585E-2</v>
      </c>
    </row>
    <row r="15" spans="1:6">
      <c r="A15" s="3">
        <v>2034</v>
      </c>
      <c r="B15" s="13">
        <f>B$3*Macro!O99</f>
        <v>6.7797528278509623E-3</v>
      </c>
      <c r="C15" s="13">
        <f>C$3*Macro!P99</f>
        <v>1.5534490546850334E-2</v>
      </c>
      <c r="D15" s="13">
        <f>D$3*Macro!Q99</f>
        <v>4.8497194101705735E-3</v>
      </c>
      <c r="E15" s="13">
        <f>E$3*Macro!R99</f>
        <v>2.1363304218942059E-3</v>
      </c>
      <c r="F15" s="13">
        <f t="shared" si="0"/>
        <v>2.9300293206766075E-2</v>
      </c>
    </row>
    <row r="16" spans="1:6">
      <c r="A16" s="3">
        <v>2035</v>
      </c>
      <c r="B16" s="13">
        <f>B$3*Macro!O100</f>
        <v>6.814012436035433E-3</v>
      </c>
      <c r="C16" s="13">
        <f>C$3*Macro!P100</f>
        <v>1.556826674611105E-2</v>
      </c>
      <c r="D16" s="13">
        <f>D$3*Macro!Q100</f>
        <v>4.8825591381761943E-3</v>
      </c>
      <c r="E16" s="13">
        <f>E$3*Macro!R100</f>
        <v>2.1495073777078959E-3</v>
      </c>
      <c r="F16" s="13">
        <f t="shared" si="0"/>
        <v>2.9414345698030572E-2</v>
      </c>
    </row>
    <row r="17" spans="1:6">
      <c r="A17" s="3">
        <v>2036</v>
      </c>
      <c r="B17" s="13">
        <f>B$3*Macro!O101</f>
        <v>6.8484451656865321E-3</v>
      </c>
      <c r="C17" s="13">
        <f>C$3*Macro!P101</f>
        <v>1.5602116383997456E-2</v>
      </c>
      <c r="D17" s="13">
        <f>D$3*Macro!Q101</f>
        <v>4.9156212394047332E-3</v>
      </c>
      <c r="E17" s="13">
        <f>E$3*Macro!R101</f>
        <v>2.162765609415398E-3</v>
      </c>
      <c r="F17" s="13">
        <f t="shared" si="0"/>
        <v>2.9528948398504118E-2</v>
      </c>
    </row>
    <row r="18" spans="1:6">
      <c r="A18" s="3">
        <v>2037</v>
      </c>
      <c r="B18" s="13">
        <f>B$3*Macro!O102</f>
        <v>6.8830518916257735E-3</v>
      </c>
      <c r="C18" s="13">
        <f>C$3*Macro!P102</f>
        <v>1.563603962018505E-2</v>
      </c>
      <c r="D18" s="13">
        <f>D$3*Macro!Q102</f>
        <v>4.948907219649727E-3</v>
      </c>
      <c r="E18" s="13">
        <f>E$3*Macro!R102</f>
        <v>2.1761056183290783E-3</v>
      </c>
      <c r="F18" s="13">
        <f t="shared" si="0"/>
        <v>2.9644104349789632E-2</v>
      </c>
    </row>
    <row r="19" spans="1:6">
      <c r="A19" s="3">
        <v>2038</v>
      </c>
      <c r="B19" s="13">
        <f>B$3*Macro!O103</f>
        <v>6.9178334930953388E-3</v>
      </c>
      <c r="C19" s="13">
        <f>C$3*Macro!P103</f>
        <v>1.5670036614696525E-2</v>
      </c>
      <c r="D19" s="13">
        <f>D$3*Macro!Q103</f>
        <v>4.9824185949011533E-3</v>
      </c>
      <c r="E19" s="13">
        <f>E$3*Macro!R103</f>
        <v>2.1895279088534158E-3</v>
      </c>
      <c r="F19" s="13">
        <f t="shared" si="0"/>
        <v>2.975981661154643E-2</v>
      </c>
    </row>
    <row r="20" spans="1:6">
      <c r="A20" s="3">
        <v>2039</v>
      </c>
      <c r="B20" s="13">
        <f>B$3*Macro!O104</f>
        <v>6.9527908537804113E-3</v>
      </c>
      <c r="C20" s="13">
        <f>C$3*Macro!P104</f>
        <v>1.5704107527902494E-2</v>
      </c>
      <c r="D20" s="13">
        <f>D$3*Macro!Q104</f>
        <v>5.0161568914144665E-3</v>
      </c>
      <c r="E20" s="13">
        <f>E$3*Macro!R104</f>
        <v>2.2030329885040726E-3</v>
      </c>
      <c r="F20" s="13">
        <f t="shared" si="0"/>
        <v>2.9876088261601444E-2</v>
      </c>
    </row>
    <row r="21" spans="1:6">
      <c r="A21" s="3">
        <v>2040</v>
      </c>
      <c r="B21" s="13">
        <f>B$3*Macro!O105</f>
        <v>6.9879248618316446E-3</v>
      </c>
      <c r="C21" s="13">
        <f>C$3*Macro!P105</f>
        <v>1.5738252520522269E-2</v>
      </c>
      <c r="D21" s="13">
        <f>D$3*Macro!Q105</f>
        <v>5.0501236457801144E-3</v>
      </c>
      <c r="E21" s="13">
        <f>E$3*Macro!R105</f>
        <v>2.2166213679270844E-3</v>
      </c>
      <c r="F21" s="13">
        <f t="shared" si="0"/>
        <v>2.9992922396061109E-2</v>
      </c>
    </row>
    <row r="22" spans="1:6">
      <c r="A22" s="3">
        <v>2041</v>
      </c>
      <c r="B22" s="13">
        <f>B$3*Macro!O106</f>
        <v>7.0140885033733993E-3</v>
      </c>
      <c r="C22" s="13">
        <f>C$3*Macro!P106</f>
        <v>1.5751522549105147E-2</v>
      </c>
      <c r="D22" s="13">
        <f>D$3*Macro!Q106</f>
        <v>5.0772000582587759E-3</v>
      </c>
      <c r="E22" s="13">
        <f>E$3*Macro!R106</f>
        <v>2.2262087346658489E-3</v>
      </c>
      <c r="F22" s="13">
        <f t="shared" si="0"/>
        <v>3.0069019845403173E-2</v>
      </c>
    </row>
    <row r="23" spans="1:6">
      <c r="A23" s="3">
        <v>2042</v>
      </c>
      <c r="B23" s="13">
        <f>B$3*Macro!O107</f>
        <v>7.0403501047748051E-3</v>
      </c>
      <c r="C23" s="13">
        <f>C$3*Macro!P107</f>
        <v>1.576480376658326E-2</v>
      </c>
      <c r="D23" s="13">
        <f>D$3*Macro!Q107</f>
        <v>5.1044216418588079E-3</v>
      </c>
      <c r="E23" s="13">
        <f>E$3*Macro!R107</f>
        <v>2.2358375688389313E-3</v>
      </c>
      <c r="F23" s="13">
        <f t="shared" si="0"/>
        <v>3.0145413082055803E-2</v>
      </c>
    </row>
    <row r="24" spans="1:6">
      <c r="A24" s="3">
        <v>2043</v>
      </c>
      <c r="B24" s="13">
        <f>B$3*Macro!O108</f>
        <v>7.0667100328095072E-3</v>
      </c>
      <c r="C24" s="13">
        <f>C$3*Macro!P108</f>
        <v>1.577809618239075E-2</v>
      </c>
      <c r="D24" s="13">
        <f>D$3*Macro!Q108</f>
        <v>5.1317891749201941E-3</v>
      </c>
      <c r="E24" s="13">
        <f>E$3*Macro!R108</f>
        <v>2.2455080498019536E-3</v>
      </c>
      <c r="F24" s="13">
        <f t="shared" si="0"/>
        <v>3.0222103439922404E-2</v>
      </c>
    </row>
    <row r="25" spans="1:6">
      <c r="A25" s="3">
        <v>2044</v>
      </c>
      <c r="B25" s="13">
        <f>B$3*Macro!O109</f>
        <v>7.0931686556243902E-3</v>
      </c>
      <c r="C25" s="13">
        <f>C$3*Macro!P109</f>
        <v>1.5791399805969723E-2</v>
      </c>
      <c r="D25" s="13">
        <f>D$3*Macro!Q109</f>
        <v>5.1593034399560174E-3</v>
      </c>
      <c r="E25" s="13">
        <f>E$3*Macro!R109</f>
        <v>2.2552203576862865E-3</v>
      </c>
      <c r="F25" s="13">
        <f t="shared" si="0"/>
        <v>3.0299092259236413E-2</v>
      </c>
    </row>
    <row r="26" spans="1:6">
      <c r="A26" s="3">
        <v>2045</v>
      </c>
      <c r="B26" s="13">
        <f>B$3*Macro!O110</f>
        <v>7.11972634274473E-3</v>
      </c>
      <c r="C26" s="13">
        <f>C$3*Macro!P110</f>
        <v>1.5804714646770225E-2</v>
      </c>
      <c r="D26" s="13">
        <f>D$3*Macro!Q110</f>
        <v>5.1869652236748295E-3</v>
      </c>
      <c r="E26" s="13">
        <f>E$3*Macro!R110</f>
        <v>2.2649746734024088E-3</v>
      </c>
      <c r="F26" s="13">
        <f t="shared" si="0"/>
        <v>3.0376380886592193E-2</v>
      </c>
    </row>
    <row r="27" spans="1:6">
      <c r="A27"/>
    </row>
    <row r="28" spans="1:6">
      <c r="A28"/>
    </row>
    <row r="29" spans="1:6">
      <c r="A29"/>
    </row>
    <row r="30" spans="1:6">
      <c r="A30"/>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98E47-514C-4223-95F1-720620123F11}">
  <sheetPr>
    <tabColor theme="4" tint="0.59999389629810485"/>
  </sheetPr>
  <dimension ref="A1:AE26"/>
  <sheetViews>
    <sheetView workbookViewId="0">
      <selection activeCell="G29" sqref="G29"/>
    </sheetView>
  </sheetViews>
  <sheetFormatPr defaultColWidth="8.7109375" defaultRowHeight="14.25"/>
  <cols>
    <col min="1" max="1" width="31.28515625" style="33" bestFit="1" customWidth="1"/>
    <col min="2" max="2" width="10.85546875" style="25" customWidth="1"/>
    <col min="3" max="16" width="9.42578125" style="25" customWidth="1"/>
    <col min="17" max="16384" width="8.7109375" style="25"/>
  </cols>
  <sheetData>
    <row r="1" spans="1:31" s="28" customFormat="1" ht="30">
      <c r="A1" s="27" t="s">
        <v>25</v>
      </c>
    </row>
    <row r="2" spans="1:31" s="30" customFormat="1" ht="15">
      <c r="A2" s="29"/>
      <c r="B2" s="151">
        <v>2020</v>
      </c>
      <c r="C2" s="151"/>
      <c r="D2" s="151"/>
      <c r="E2" s="151"/>
      <c r="F2" s="151"/>
      <c r="G2" s="151">
        <v>2025</v>
      </c>
      <c r="H2" s="151"/>
      <c r="I2" s="151"/>
      <c r="J2" s="151"/>
      <c r="K2" s="151"/>
      <c r="L2" s="151">
        <v>2030</v>
      </c>
      <c r="M2" s="151"/>
      <c r="N2" s="151"/>
      <c r="O2" s="151"/>
      <c r="P2" s="151"/>
      <c r="Q2" s="151">
        <v>2035</v>
      </c>
      <c r="R2" s="151"/>
      <c r="S2" s="151"/>
      <c r="T2" s="151"/>
      <c r="U2" s="151"/>
      <c r="V2" s="151">
        <v>2040</v>
      </c>
      <c r="W2" s="151"/>
      <c r="X2" s="151"/>
      <c r="Y2" s="151"/>
      <c r="Z2" s="151"/>
      <c r="AA2" s="151">
        <v>2045</v>
      </c>
      <c r="AB2" s="151"/>
      <c r="AC2" s="151"/>
      <c r="AD2" s="151"/>
      <c r="AE2" s="151"/>
    </row>
    <row r="3" spans="1:31" s="16" customFormat="1" ht="15">
      <c r="A3" s="15"/>
      <c r="B3" s="16" t="s">
        <v>5</v>
      </c>
      <c r="C3" s="16" t="s">
        <v>6</v>
      </c>
      <c r="D3" s="16" t="s">
        <v>7</v>
      </c>
      <c r="E3" s="16" t="s">
        <v>8</v>
      </c>
      <c r="F3" s="16" t="s">
        <v>2</v>
      </c>
      <c r="G3" s="16" t="s">
        <v>5</v>
      </c>
      <c r="H3" s="16" t="s">
        <v>6</v>
      </c>
      <c r="I3" s="16" t="s">
        <v>7</v>
      </c>
      <c r="J3" s="16" t="s">
        <v>8</v>
      </c>
      <c r="K3" s="16" t="s">
        <v>2</v>
      </c>
      <c r="L3" s="16" t="s">
        <v>5</v>
      </c>
      <c r="M3" s="16" t="s">
        <v>6</v>
      </c>
      <c r="N3" s="16" t="s">
        <v>7</v>
      </c>
      <c r="O3" s="16" t="s">
        <v>8</v>
      </c>
      <c r="P3" s="16" t="s">
        <v>2</v>
      </c>
      <c r="Q3" s="16" t="s">
        <v>5</v>
      </c>
      <c r="R3" s="16" t="s">
        <v>6</v>
      </c>
      <c r="S3" s="16" t="s">
        <v>7</v>
      </c>
      <c r="T3" s="16" t="s">
        <v>8</v>
      </c>
      <c r="U3" s="16" t="s">
        <v>2</v>
      </c>
      <c r="V3" s="16" t="s">
        <v>5</v>
      </c>
      <c r="W3" s="16" t="s">
        <v>6</v>
      </c>
      <c r="X3" s="16" t="s">
        <v>7</v>
      </c>
      <c r="Y3" s="16" t="s">
        <v>8</v>
      </c>
      <c r="Z3" s="16" t="s">
        <v>2</v>
      </c>
      <c r="AA3" s="16" t="s">
        <v>5</v>
      </c>
      <c r="AB3" s="16" t="s">
        <v>6</v>
      </c>
      <c r="AC3" s="16" t="s">
        <v>7</v>
      </c>
      <c r="AD3" s="16" t="s">
        <v>8</v>
      </c>
      <c r="AE3" s="16" t="s">
        <v>2</v>
      </c>
    </row>
    <row r="4" spans="1:31" s="31" customFormat="1" ht="15">
      <c r="A4" s="17" t="s">
        <v>19</v>
      </c>
      <c r="B4" s="18" t="e">
        <f>#REF!/1000000</f>
        <v>#REF!</v>
      </c>
      <c r="C4" s="18" t="e">
        <f>(#REF!/10^6)</f>
        <v>#REF!</v>
      </c>
      <c r="D4" s="18" t="e">
        <f>#REF!/1000000</f>
        <v>#REF!</v>
      </c>
      <c r="E4" s="18" t="e">
        <f xml:space="preserve"> SUM(#REF!,#REF!,#REF!)/1000000</f>
        <v>#REF!</v>
      </c>
      <c r="F4" s="19" t="e">
        <f>SUM(B4:E4)</f>
        <v>#REF!</v>
      </c>
      <c r="G4" s="18" t="e">
        <f>((#REF!/10^6))</f>
        <v>#REF!</v>
      </c>
      <c r="H4" s="18" t="e">
        <f>#REF!/1000000</f>
        <v>#REF!</v>
      </c>
      <c r="I4" s="18" t="e">
        <f>#REF!/1000000</f>
        <v>#REF!</v>
      </c>
      <c r="J4" s="18" t="e">
        <f xml:space="preserve"> SUM(#REF!,#REF!,#REF!)/1000000</f>
        <v>#REF!</v>
      </c>
      <c r="K4" s="18" t="e">
        <f>SUM(G4:J4)</f>
        <v>#REF!</v>
      </c>
      <c r="L4" s="18" t="e">
        <f>#REF!/1000000</f>
        <v>#REF!</v>
      </c>
      <c r="M4" s="18" t="e">
        <f>#REF!/1000000</f>
        <v>#REF!</v>
      </c>
      <c r="N4" s="18" t="e">
        <f>#REF!/1000000</f>
        <v>#REF!</v>
      </c>
      <c r="O4" s="18" t="e">
        <f xml:space="preserve"> SUM(#REF!,#REF!,#REF!)/1000000</f>
        <v>#REF!</v>
      </c>
      <c r="P4" s="18" t="e">
        <f>SUM(L4:O4)</f>
        <v>#REF!</v>
      </c>
      <c r="Q4" s="18"/>
      <c r="R4" s="18"/>
      <c r="S4" s="18"/>
      <c r="T4" s="18"/>
      <c r="U4" s="19"/>
      <c r="V4" s="18"/>
      <c r="W4" s="18"/>
      <c r="X4" s="18"/>
      <c r="Y4" s="18"/>
      <c r="Z4" s="18"/>
      <c r="AA4" s="18"/>
      <c r="AB4" s="18"/>
      <c r="AC4" s="18"/>
      <c r="AD4" s="18"/>
      <c r="AE4" s="18"/>
    </row>
    <row r="5" spans="1:31" s="31" customFormat="1" ht="15">
      <c r="A5" s="17" t="s">
        <v>10</v>
      </c>
      <c r="B5" s="20">
        <v>0.1</v>
      </c>
      <c r="C5" s="20">
        <v>0.1</v>
      </c>
      <c r="D5" s="20">
        <v>0.1</v>
      </c>
      <c r="E5" s="20">
        <v>0.1</v>
      </c>
      <c r="F5" s="19" t="s">
        <v>21</v>
      </c>
      <c r="G5" s="20">
        <v>0.1</v>
      </c>
      <c r="H5" s="20">
        <v>0.1</v>
      </c>
      <c r="I5" s="20">
        <v>0.1</v>
      </c>
      <c r="J5" s="20">
        <v>0.1</v>
      </c>
      <c r="K5" s="19" t="s">
        <v>21</v>
      </c>
      <c r="L5" s="20">
        <v>0.1</v>
      </c>
      <c r="M5" s="20">
        <v>0.1</v>
      </c>
      <c r="N5" s="20">
        <v>0.1</v>
      </c>
      <c r="O5" s="20">
        <v>0.1</v>
      </c>
      <c r="P5" s="19" t="s">
        <v>21</v>
      </c>
      <c r="Q5" s="20"/>
      <c r="R5" s="20"/>
      <c r="S5" s="20"/>
      <c r="T5" s="20"/>
      <c r="U5" s="19"/>
      <c r="V5" s="20"/>
      <c r="W5" s="20"/>
      <c r="X5" s="20"/>
      <c r="Y5" s="20"/>
      <c r="Z5" s="19"/>
      <c r="AA5" s="20"/>
      <c r="AB5" s="20"/>
      <c r="AC5" s="20"/>
      <c r="AD5" s="20"/>
      <c r="AE5" s="19"/>
    </row>
    <row r="6" spans="1:31" s="31" customFormat="1" ht="15">
      <c r="A6" s="17" t="s">
        <v>22</v>
      </c>
      <c r="B6" s="32">
        <f>C13/B13</f>
        <v>6.9527260462404011E-2</v>
      </c>
      <c r="C6" s="32">
        <f>C19/B19</f>
        <v>0.15934919422407592</v>
      </c>
      <c r="D6" s="32">
        <f>C14/B14</f>
        <v>0.38243972710698804</v>
      </c>
      <c r="E6" s="32">
        <f>C16/SUM(B15:B17)</f>
        <v>0.50121693497309494</v>
      </c>
      <c r="F6" s="19"/>
      <c r="G6" s="21">
        <f>B6</f>
        <v>6.9527260462404011E-2</v>
      </c>
      <c r="H6" s="21">
        <f t="shared" ref="H6:J6" si="0">C6</f>
        <v>0.15934919422407592</v>
      </c>
      <c r="I6" s="21">
        <f t="shared" si="0"/>
        <v>0.38243972710698804</v>
      </c>
      <c r="J6" s="21">
        <f t="shared" si="0"/>
        <v>0.50121693497309494</v>
      </c>
      <c r="K6" s="19"/>
      <c r="L6" s="21">
        <f t="shared" ref="L6:O6" si="1">B6</f>
        <v>6.9527260462404011E-2</v>
      </c>
      <c r="M6" s="21">
        <f t="shared" si="1"/>
        <v>0.15934919422407592</v>
      </c>
      <c r="N6" s="21">
        <f t="shared" si="1"/>
        <v>0.38243972710698804</v>
      </c>
      <c r="O6" s="21">
        <f t="shared" si="1"/>
        <v>0.50121693497309494</v>
      </c>
      <c r="P6" s="19"/>
      <c r="Q6" s="32"/>
      <c r="R6" s="32"/>
      <c r="S6" s="32"/>
      <c r="T6" s="32"/>
      <c r="U6" s="19"/>
      <c r="V6" s="21"/>
      <c r="W6" s="21"/>
      <c r="X6" s="21"/>
      <c r="Y6" s="21"/>
      <c r="Z6" s="19"/>
      <c r="AA6" s="21"/>
      <c r="AB6" s="21"/>
      <c r="AC6" s="21"/>
      <c r="AD6" s="21"/>
      <c r="AE6" s="19"/>
    </row>
    <row r="7" spans="1:31" s="31" customFormat="1" ht="15">
      <c r="A7" s="17" t="s">
        <v>11</v>
      </c>
      <c r="B7" s="22" t="e">
        <f>B4*B6</f>
        <v>#REF!</v>
      </c>
      <c r="C7" s="22" t="e">
        <f t="shared" ref="C7:D7" si="2">C4*C6</f>
        <v>#REF!</v>
      </c>
      <c r="D7" s="22" t="e">
        <f t="shared" si="2"/>
        <v>#REF!</v>
      </c>
      <c r="E7" s="22" t="e">
        <f>E4*E6</f>
        <v>#REF!</v>
      </c>
      <c r="F7" s="19" t="e">
        <f>SUM(B7:E7)</f>
        <v>#REF!</v>
      </c>
      <c r="G7" s="22" t="e">
        <f>G4*G6</f>
        <v>#REF!</v>
      </c>
      <c r="H7" s="22" t="e">
        <f t="shared" ref="H7" si="3">H4*H6</f>
        <v>#REF!</v>
      </c>
      <c r="I7" s="22" t="e">
        <f t="shared" ref="I7" si="4">I4*I6</f>
        <v>#REF!</v>
      </c>
      <c r="J7" s="22" t="e">
        <f t="shared" ref="J7" si="5">J4*J6</f>
        <v>#REF!</v>
      </c>
      <c r="K7" s="19" t="e">
        <f t="shared" ref="K7:K8" si="6">SUM(G7:J7)</f>
        <v>#REF!</v>
      </c>
      <c r="L7" s="22" t="e">
        <f>L4*L6</f>
        <v>#REF!</v>
      </c>
      <c r="M7" s="22" t="e">
        <f t="shared" ref="M7" si="7">M4*M6</f>
        <v>#REF!</v>
      </c>
      <c r="N7" s="22" t="e">
        <f t="shared" ref="N7" si="8">N4*N6</f>
        <v>#REF!</v>
      </c>
      <c r="O7" s="22" t="e">
        <f t="shared" ref="O7" si="9">O4*O6</f>
        <v>#REF!</v>
      </c>
      <c r="P7" s="19" t="e">
        <f t="shared" ref="P7:P8" si="10">SUM(L7:O7)</f>
        <v>#REF!</v>
      </c>
      <c r="Q7" s="22"/>
      <c r="R7" s="22"/>
      <c r="S7" s="22"/>
      <c r="T7" s="22"/>
      <c r="U7" s="19"/>
      <c r="V7" s="22"/>
      <c r="W7" s="22"/>
      <c r="X7" s="22"/>
      <c r="Y7" s="22"/>
      <c r="Z7" s="19"/>
      <c r="AA7" s="22"/>
      <c r="AB7" s="22"/>
      <c r="AC7" s="22"/>
      <c r="AD7" s="22"/>
      <c r="AE7" s="19"/>
    </row>
    <row r="8" spans="1:31" s="31" customFormat="1" ht="30">
      <c r="A8" s="17" t="s">
        <v>20</v>
      </c>
      <c r="B8" s="23" t="e">
        <f>(B4*(1-B5))-B7</f>
        <v>#REF!</v>
      </c>
      <c r="C8" s="23" t="e">
        <f t="shared" ref="C8:D8" si="11">(C4*(1-C5))-C7</f>
        <v>#REF!</v>
      </c>
      <c r="D8" s="23" t="e">
        <f t="shared" si="11"/>
        <v>#REF!</v>
      </c>
      <c r="E8" s="23" t="e">
        <f>(E4*(1-E5))-E7</f>
        <v>#REF!</v>
      </c>
      <c r="F8" s="24" t="e">
        <f t="shared" ref="F8" si="12">SUM(B8:E8)</f>
        <v>#REF!</v>
      </c>
      <c r="G8" s="23" t="e">
        <f>(G4*(1-G5))-G7</f>
        <v>#REF!</v>
      </c>
      <c r="H8" s="23" t="e">
        <f t="shared" ref="H8" si="13">(H4*(1-H5))-H7</f>
        <v>#REF!</v>
      </c>
      <c r="I8" s="23" t="e">
        <f t="shared" ref="I8" si="14">(I4*(1-I5))-I7</f>
        <v>#REF!</v>
      </c>
      <c r="J8" s="23" t="e">
        <f t="shared" ref="J8" si="15">(J4*(1-J5))-J7</f>
        <v>#REF!</v>
      </c>
      <c r="K8" s="24" t="e">
        <f t="shared" si="6"/>
        <v>#REF!</v>
      </c>
      <c r="L8" s="23" t="e">
        <f>(L4*(1-L5))-L7</f>
        <v>#REF!</v>
      </c>
      <c r="M8" s="23" t="e">
        <f t="shared" ref="M8" si="16">(M4*(1-M5))-M7</f>
        <v>#REF!</v>
      </c>
      <c r="N8" s="23" t="e">
        <f t="shared" ref="N8" si="17">(N4*(1-N5))-N7</f>
        <v>#REF!</v>
      </c>
      <c r="O8" s="23" t="e">
        <f t="shared" ref="O8" si="18">(O4*(1-O5))-O7</f>
        <v>#REF!</v>
      </c>
      <c r="P8" s="24" t="e">
        <f t="shared" si="10"/>
        <v>#REF!</v>
      </c>
      <c r="Q8" s="23"/>
      <c r="R8" s="23"/>
      <c r="S8" s="23"/>
      <c r="T8" s="23"/>
      <c r="U8" s="24"/>
      <c r="V8" s="23"/>
      <c r="W8" s="23"/>
      <c r="X8" s="23"/>
      <c r="Y8" s="23"/>
      <c r="Z8" s="24"/>
      <c r="AA8" s="23"/>
      <c r="AB8" s="23"/>
      <c r="AC8" s="23"/>
      <c r="AD8" s="23"/>
      <c r="AE8" s="24"/>
    </row>
    <row r="9" spans="1:31">
      <c r="F9" s="34"/>
      <c r="K9" s="34"/>
      <c r="P9" s="34"/>
    </row>
    <row r="11" spans="1:31" ht="28.5">
      <c r="A11" s="40">
        <v>2019</v>
      </c>
      <c r="B11" s="41" t="s">
        <v>9</v>
      </c>
      <c r="C11" s="41" t="s">
        <v>11</v>
      </c>
    </row>
    <row r="12" spans="1:31" ht="15">
      <c r="A12" s="35" t="s">
        <v>12</v>
      </c>
      <c r="B12" s="36" t="s">
        <v>13</v>
      </c>
      <c r="C12" s="36" t="s">
        <v>13</v>
      </c>
    </row>
    <row r="13" spans="1:31">
      <c r="A13" s="37" t="s">
        <v>5</v>
      </c>
      <c r="B13" s="38">
        <v>210232.4621707754</v>
      </c>
      <c r="C13" s="39">
        <v>14616.887155</v>
      </c>
      <c r="I13" s="26"/>
      <c r="J13" s="26"/>
    </row>
    <row r="14" spans="1:31">
      <c r="A14" s="37" t="s">
        <v>7</v>
      </c>
      <c r="B14" s="38">
        <v>96038.113712295046</v>
      </c>
      <c r="C14" s="39">
        <v>36728.79</v>
      </c>
    </row>
    <row r="15" spans="1:31">
      <c r="A15" s="37" t="s">
        <v>14</v>
      </c>
      <c r="B15" s="38">
        <v>4573.4758049968623</v>
      </c>
      <c r="C15" s="39"/>
    </row>
    <row r="16" spans="1:31">
      <c r="A16" s="37" t="s">
        <v>15</v>
      </c>
      <c r="B16" s="38">
        <v>189475.53625835144</v>
      </c>
      <c r="C16" s="39">
        <v>102424.50000000001</v>
      </c>
    </row>
    <row r="17" spans="1:5">
      <c r="A17" s="37" t="s">
        <v>16</v>
      </c>
      <c r="B17" s="38">
        <v>10302.622634505864</v>
      </c>
      <c r="C17" s="39"/>
    </row>
    <row r="18" spans="1:5">
      <c r="A18" s="37" t="s">
        <v>17</v>
      </c>
      <c r="B18" s="38">
        <v>0</v>
      </c>
      <c r="C18" s="39"/>
    </row>
    <row r="19" spans="1:5">
      <c r="A19" s="37" t="s">
        <v>18</v>
      </c>
      <c r="B19" s="38">
        <v>499010.59066344408</v>
      </c>
      <c r="C19" s="39">
        <v>79516.935531499999</v>
      </c>
    </row>
    <row r="21" spans="1:5" ht="15">
      <c r="A21" s="25"/>
      <c r="C21" s="56"/>
    </row>
    <row r="22" spans="1:5" ht="15">
      <c r="A22" s="56"/>
      <c r="B22" s="57"/>
      <c r="C22" s="57"/>
      <c r="D22" s="57"/>
      <c r="E22" s="57"/>
    </row>
    <row r="23" spans="1:5">
      <c r="A23" s="58"/>
      <c r="B23" s="26"/>
      <c r="C23" s="26"/>
      <c r="D23" s="26"/>
      <c r="E23" s="26"/>
    </row>
    <row r="24" spans="1:5">
      <c r="A24" s="58"/>
      <c r="B24" s="26"/>
      <c r="C24" s="26"/>
      <c r="D24" s="26"/>
      <c r="E24" s="26"/>
    </row>
    <row r="25" spans="1:5">
      <c r="A25" s="58"/>
      <c r="B25" s="26"/>
      <c r="C25" s="26"/>
      <c r="D25" s="26"/>
      <c r="E25" s="26"/>
    </row>
    <row r="26" spans="1:5">
      <c r="B26" s="26"/>
      <c r="C26" s="26"/>
      <c r="D26" s="26"/>
      <c r="E26" s="26"/>
    </row>
  </sheetData>
  <mergeCells count="6">
    <mergeCell ref="AA2:AE2"/>
    <mergeCell ref="L2:P2"/>
    <mergeCell ref="G2:K2"/>
    <mergeCell ref="B2:F2"/>
    <mergeCell ref="Q2:U2"/>
    <mergeCell ref="V2:Z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F0DB5-822A-4543-B158-0E149DDA9316}">
  <dimension ref="A1:AH184"/>
  <sheetViews>
    <sheetView topLeftCell="I1" workbookViewId="0">
      <selection activeCell="J31" sqref="J31"/>
    </sheetView>
  </sheetViews>
  <sheetFormatPr defaultRowHeight="15"/>
  <cols>
    <col min="1" max="1" width="32.5703125" customWidth="1"/>
    <col min="2" max="4" width="11.5703125" customWidth="1"/>
    <col min="5" max="5" width="11.42578125" customWidth="1"/>
    <col min="6" max="6" width="14" customWidth="1"/>
    <col min="7" max="11" width="12.42578125" customWidth="1"/>
    <col min="12" max="12" width="10.42578125" customWidth="1"/>
    <col min="13" max="13" width="9.140625" bestFit="1" customWidth="1"/>
    <col min="14" max="14" width="10" bestFit="1" customWidth="1"/>
    <col min="19" max="19" width="11.85546875" customWidth="1"/>
    <col min="20" max="24" width="9.42578125" customWidth="1"/>
  </cols>
  <sheetData>
    <row r="1" spans="1:8">
      <c r="A1" s="89" t="s">
        <v>36</v>
      </c>
    </row>
    <row r="2" spans="1:8" ht="15" customHeight="1">
      <c r="A2" s="155" t="s">
        <v>0</v>
      </c>
      <c r="B2" s="152" t="s">
        <v>37</v>
      </c>
      <c r="C2" s="152"/>
      <c r="D2" s="152"/>
      <c r="E2" s="152"/>
      <c r="F2" s="152"/>
      <c r="G2" s="75" t="s">
        <v>38</v>
      </c>
    </row>
    <row r="3" spans="1:8" ht="28.5" customHeight="1">
      <c r="A3" s="156"/>
      <c r="B3" s="90" t="s">
        <v>5</v>
      </c>
      <c r="C3" s="90" t="s">
        <v>6</v>
      </c>
      <c r="D3" s="90" t="s">
        <v>7</v>
      </c>
      <c r="E3" s="90" t="s">
        <v>8</v>
      </c>
      <c r="F3" s="90" t="s">
        <v>39</v>
      </c>
      <c r="G3" s="90" t="s">
        <v>39</v>
      </c>
      <c r="H3" s="91"/>
    </row>
    <row r="4" spans="1:8">
      <c r="A4" s="75">
        <v>2010</v>
      </c>
      <c r="B4" s="92">
        <v>6754</v>
      </c>
      <c r="C4" s="92">
        <v>53789</v>
      </c>
      <c r="D4" s="92">
        <v>2958</v>
      </c>
      <c r="E4" s="92">
        <v>7505</v>
      </c>
      <c r="F4" s="92">
        <v>71006</v>
      </c>
      <c r="G4" s="92">
        <v>68197</v>
      </c>
      <c r="H4" s="93"/>
    </row>
    <row r="5" spans="1:8">
      <c r="A5" s="75">
        <f t="shared" ref="A5:A13" si="0">A4+1</f>
        <v>2011</v>
      </c>
      <c r="B5" s="92">
        <v>6727</v>
      </c>
      <c r="C5" s="92">
        <v>54469</v>
      </c>
      <c r="D5" s="92">
        <v>3030</v>
      </c>
      <c r="E5" s="92">
        <v>7854</v>
      </c>
      <c r="F5" s="92">
        <v>72080</v>
      </c>
      <c r="G5" s="92">
        <v>70483</v>
      </c>
      <c r="H5" s="93"/>
    </row>
    <row r="6" spans="1:8">
      <c r="A6" s="75">
        <f t="shared" si="0"/>
        <v>2012</v>
      </c>
      <c r="B6" s="92">
        <v>6922</v>
      </c>
      <c r="C6" s="92">
        <v>55366</v>
      </c>
      <c r="D6" s="92">
        <v>3183</v>
      </c>
      <c r="E6" s="92">
        <v>8112</v>
      </c>
      <c r="F6" s="92">
        <v>73583</v>
      </c>
      <c r="G6" s="92">
        <v>73583</v>
      </c>
      <c r="H6" s="93"/>
    </row>
    <row r="7" spans="1:8">
      <c r="A7" s="75">
        <f t="shared" si="0"/>
        <v>2013</v>
      </c>
      <c r="B7" s="92">
        <v>6910</v>
      </c>
      <c r="C7" s="92">
        <v>55934</v>
      </c>
      <c r="D7" s="92">
        <v>3332</v>
      </c>
      <c r="E7" s="92">
        <v>8101</v>
      </c>
      <c r="F7" s="92">
        <v>74278</v>
      </c>
      <c r="G7" s="92">
        <v>75788</v>
      </c>
      <c r="H7" s="93"/>
    </row>
    <row r="8" spans="1:8">
      <c r="A8" s="75">
        <f t="shared" si="0"/>
        <v>2014</v>
      </c>
      <c r="B8" s="92">
        <v>6858</v>
      </c>
      <c r="C8" s="92">
        <v>55980</v>
      </c>
      <c r="D8" s="92">
        <v>3435</v>
      </c>
      <c r="E8" s="92">
        <v>8256</v>
      </c>
      <c r="F8" s="92">
        <v>74529</v>
      </c>
      <c r="G8" s="92">
        <v>77854</v>
      </c>
      <c r="H8" s="93"/>
    </row>
    <row r="9" spans="1:8">
      <c r="A9" s="75">
        <f t="shared" si="0"/>
        <v>2015</v>
      </c>
      <c r="B9" s="92">
        <v>7233</v>
      </c>
      <c r="C9" s="92">
        <v>57640</v>
      </c>
      <c r="D9" s="92">
        <v>3634</v>
      </c>
      <c r="E9" s="92">
        <v>8676</v>
      </c>
      <c r="F9" s="92">
        <v>77185</v>
      </c>
      <c r="G9" s="92">
        <v>82710</v>
      </c>
      <c r="H9" s="93"/>
    </row>
    <row r="10" spans="1:8">
      <c r="A10" s="75">
        <f t="shared" si="0"/>
        <v>2016</v>
      </c>
      <c r="B10" s="92">
        <v>7525</v>
      </c>
      <c r="C10" s="92">
        <v>58643</v>
      </c>
      <c r="D10" s="92">
        <v>3748</v>
      </c>
      <c r="E10" s="92">
        <v>8986</v>
      </c>
      <c r="F10" s="92">
        <v>78905</v>
      </c>
      <c r="G10" s="92">
        <v>85844</v>
      </c>
      <c r="H10" s="93"/>
    </row>
    <row r="11" spans="1:8">
      <c r="A11" s="75">
        <f t="shared" si="0"/>
        <v>2017</v>
      </c>
      <c r="B11" s="92">
        <v>7867</v>
      </c>
      <c r="C11" s="92">
        <v>59924</v>
      </c>
      <c r="D11" s="92">
        <v>3849</v>
      </c>
      <c r="E11" s="92">
        <v>9074</v>
      </c>
      <c r="F11" s="92">
        <v>80716</v>
      </c>
      <c r="G11" s="92">
        <v>89429</v>
      </c>
      <c r="H11" s="93"/>
    </row>
    <row r="12" spans="1:8">
      <c r="A12" s="75">
        <f t="shared" si="0"/>
        <v>2018</v>
      </c>
      <c r="B12" s="92">
        <v>8124</v>
      </c>
      <c r="C12" s="92">
        <v>61096</v>
      </c>
      <c r="D12" s="92">
        <v>4084</v>
      </c>
      <c r="E12" s="92">
        <v>9346</v>
      </c>
      <c r="F12" s="92">
        <v>82652</v>
      </c>
      <c r="G12" s="92">
        <v>93798</v>
      </c>
      <c r="H12" s="93"/>
    </row>
    <row r="13" spans="1:8">
      <c r="A13" s="75">
        <f t="shared" si="0"/>
        <v>2019</v>
      </c>
      <c r="B13" s="75"/>
      <c r="C13" s="75"/>
      <c r="D13" s="75"/>
      <c r="E13" s="75"/>
      <c r="F13" s="92">
        <v>83509</v>
      </c>
      <c r="G13" s="92">
        <v>97282</v>
      </c>
      <c r="H13" s="93"/>
    </row>
    <row r="14" spans="1:8">
      <c r="A14" t="s">
        <v>40</v>
      </c>
    </row>
    <row r="16" spans="1:8">
      <c r="A16" s="87" t="s">
        <v>41</v>
      </c>
    </row>
    <row r="17" spans="1:34">
      <c r="B17" s="90" t="s">
        <v>5</v>
      </c>
      <c r="C17" s="90" t="s">
        <v>6</v>
      </c>
      <c r="D17" s="90" t="s">
        <v>7</v>
      </c>
      <c r="E17" s="90" t="s">
        <v>8</v>
      </c>
      <c r="F17" s="90" t="s">
        <v>39</v>
      </c>
    </row>
    <row r="18" spans="1:34">
      <c r="A18" s="88" t="s">
        <v>42</v>
      </c>
      <c r="B18" s="94">
        <v>1.0202470465580782</v>
      </c>
      <c r="C18" s="94">
        <v>1.0107729369083345</v>
      </c>
      <c r="D18" s="94">
        <v>1.0214851793343331</v>
      </c>
      <c r="E18" s="94">
        <v>1.0212683024609128</v>
      </c>
      <c r="F18" s="94">
        <v>1.0135349790155201</v>
      </c>
    </row>
    <row r="19" spans="1:34">
      <c r="A19" s="88" t="s">
        <v>43</v>
      </c>
      <c r="B19" s="94">
        <v>1.0136612463825039</v>
      </c>
      <c r="C19" s="94">
        <v>1.0139977784560306</v>
      </c>
      <c r="D19" s="94">
        <v>1.0150919204996753</v>
      </c>
      <c r="E19" s="94">
        <v>1.016767524623114</v>
      </c>
      <c r="F19" s="94">
        <v>1.0143136541395532</v>
      </c>
    </row>
    <row r="20" spans="1:34">
      <c r="A20" s="88" t="s">
        <v>44</v>
      </c>
      <c r="B20" s="94">
        <v>1.0136612463825039</v>
      </c>
      <c r="C20" s="94">
        <v>1.0139977784560303</v>
      </c>
      <c r="D20" s="94">
        <v>1.0150919204996753</v>
      </c>
      <c r="E20" s="94">
        <v>1.0167675246231143</v>
      </c>
      <c r="F20" s="94">
        <v>1.0143136541395532</v>
      </c>
    </row>
    <row r="21" spans="1:34">
      <c r="A21" s="88" t="s">
        <v>45</v>
      </c>
      <c r="B21" s="94">
        <v>1.0129824325320909</v>
      </c>
      <c r="C21" s="94">
        <v>1.0128456504685315</v>
      </c>
      <c r="D21" s="94">
        <v>1.0140422408192806</v>
      </c>
      <c r="E21" s="94">
        <v>1.0145987844934963</v>
      </c>
      <c r="F21" s="94">
        <v>1.0131230481455491</v>
      </c>
    </row>
    <row r="22" spans="1:34">
      <c r="A22" s="88" t="s">
        <v>46</v>
      </c>
      <c r="B22" s="94">
        <v>1.0131230481455491</v>
      </c>
      <c r="C22" s="94">
        <v>1.0131230481455491</v>
      </c>
      <c r="D22" s="94">
        <v>1.0131230481455491</v>
      </c>
      <c r="E22" s="94">
        <v>1.0131230481455491</v>
      </c>
      <c r="F22" s="94">
        <v>1.0131230481455491</v>
      </c>
    </row>
    <row r="24" spans="1:34">
      <c r="A24" t="s">
        <v>47</v>
      </c>
      <c r="P24" s="91"/>
      <c r="Q24" s="91"/>
      <c r="R24" s="91"/>
      <c r="S24" s="93"/>
      <c r="T24" s="93"/>
      <c r="U24" s="93"/>
      <c r="V24" s="93"/>
      <c r="W24" s="93"/>
      <c r="X24" s="93"/>
      <c r="Y24" s="93"/>
      <c r="Z24" s="93"/>
      <c r="AA24" s="93"/>
      <c r="AB24" s="91"/>
      <c r="AC24" s="91"/>
    </row>
    <row r="25" spans="1:34">
      <c r="A25" t="s">
        <v>48</v>
      </c>
      <c r="T25" s="91"/>
      <c r="U25" s="91"/>
      <c r="V25" s="91"/>
      <c r="W25" s="93"/>
      <c r="X25" s="93"/>
      <c r="Y25" s="93"/>
      <c r="Z25" s="93"/>
      <c r="AA25" s="93"/>
      <c r="AB25" s="93"/>
      <c r="AC25" s="93"/>
      <c r="AD25" s="93"/>
      <c r="AE25" s="93"/>
      <c r="AF25" s="91"/>
      <c r="AG25" s="91"/>
    </row>
    <row r="26" spans="1:34">
      <c r="A26" t="s">
        <v>49</v>
      </c>
      <c r="U26" s="91"/>
      <c r="V26" s="91"/>
      <c r="W26" s="91"/>
      <c r="X26" s="93"/>
      <c r="Y26" s="93"/>
      <c r="Z26" s="93"/>
      <c r="AA26" s="93"/>
      <c r="AB26" s="93"/>
      <c r="AC26" s="93"/>
      <c r="AD26" s="93"/>
      <c r="AE26" s="93"/>
      <c r="AF26" s="93"/>
      <c r="AG26" s="91"/>
      <c r="AH26" s="91"/>
    </row>
    <row r="27" spans="1:34">
      <c r="A27" s="71"/>
      <c r="B27" s="95"/>
      <c r="C27" s="95"/>
      <c r="D27" s="95"/>
      <c r="O27" s="93"/>
      <c r="P27" s="7"/>
    </row>
    <row r="29" spans="1:34" ht="18.75">
      <c r="A29" s="96" t="s">
        <v>50</v>
      </c>
    </row>
    <row r="30" spans="1:34">
      <c r="A30" s="87"/>
    </row>
    <row r="31" spans="1:34">
      <c r="A31" s="87" t="s">
        <v>51</v>
      </c>
      <c r="M31" s="97"/>
      <c r="N31" s="97"/>
    </row>
    <row r="32" spans="1:34" ht="14.45" customHeight="1">
      <c r="A32" s="152" t="s">
        <v>0</v>
      </c>
      <c r="B32" s="153" t="s">
        <v>52</v>
      </c>
      <c r="C32" s="153"/>
      <c r="D32" s="153"/>
      <c r="E32" s="153"/>
      <c r="F32" s="153"/>
      <c r="G32" s="153"/>
      <c r="I32" s="153" t="s">
        <v>53</v>
      </c>
      <c r="J32" s="153"/>
      <c r="K32" s="153"/>
      <c r="L32" s="153"/>
      <c r="M32" s="44"/>
      <c r="N32" s="44"/>
      <c r="O32" s="154" t="s">
        <v>54</v>
      </c>
      <c r="P32" s="154"/>
      <c r="Q32" s="154"/>
      <c r="R32" s="154"/>
    </row>
    <row r="33" spans="1:28">
      <c r="A33" s="152"/>
      <c r="B33" s="75" t="s">
        <v>39</v>
      </c>
      <c r="C33" s="90" t="s">
        <v>5</v>
      </c>
      <c r="D33" s="90" t="s">
        <v>6</v>
      </c>
      <c r="E33" s="90" t="s">
        <v>7</v>
      </c>
      <c r="F33" s="90" t="s">
        <v>8</v>
      </c>
      <c r="G33" s="90" t="s">
        <v>55</v>
      </c>
      <c r="I33" s="90" t="s">
        <v>5</v>
      </c>
      <c r="J33" s="90" t="s">
        <v>6</v>
      </c>
      <c r="K33" s="90" t="s">
        <v>7</v>
      </c>
      <c r="L33" s="90" t="s">
        <v>8</v>
      </c>
      <c r="M33" s="99" t="s">
        <v>56</v>
      </c>
      <c r="N33" s="44"/>
      <c r="O33" s="90" t="s">
        <v>5</v>
      </c>
      <c r="P33" s="90" t="s">
        <v>6</v>
      </c>
      <c r="Q33" s="90" t="s">
        <v>7</v>
      </c>
      <c r="R33" s="90" t="s">
        <v>8</v>
      </c>
    </row>
    <row r="34" spans="1:28" hidden="1">
      <c r="A34" s="75">
        <v>2010</v>
      </c>
      <c r="B34" s="92">
        <v>71006</v>
      </c>
      <c r="C34" s="88"/>
      <c r="D34" s="75"/>
      <c r="E34" s="88"/>
      <c r="F34" s="88"/>
      <c r="G34" s="88"/>
      <c r="I34" s="88"/>
      <c r="J34" s="88"/>
      <c r="K34" s="88"/>
      <c r="L34" s="88"/>
      <c r="M34" s="97"/>
      <c r="N34" s="97"/>
      <c r="O34" s="75"/>
      <c r="P34" s="75"/>
      <c r="Q34" s="75"/>
      <c r="R34" s="88"/>
    </row>
    <row r="35" spans="1:28" hidden="1">
      <c r="A35" s="75">
        <f>A34+1</f>
        <v>2011</v>
      </c>
      <c r="B35" s="92">
        <v>72080</v>
      </c>
      <c r="C35" s="75"/>
      <c r="D35" s="75"/>
      <c r="E35" s="88"/>
      <c r="F35" s="88"/>
      <c r="G35" s="88"/>
      <c r="I35" s="88"/>
      <c r="J35" s="88"/>
      <c r="K35" s="88"/>
      <c r="L35" s="88"/>
      <c r="M35" s="44"/>
      <c r="N35" s="44"/>
      <c r="O35" s="75"/>
      <c r="P35" s="75"/>
      <c r="Q35" s="75"/>
      <c r="R35" s="88"/>
    </row>
    <row r="36" spans="1:28" hidden="1">
      <c r="A36" s="75">
        <f>A35+1</f>
        <v>2012</v>
      </c>
      <c r="B36" s="92">
        <v>73583</v>
      </c>
      <c r="C36" s="75"/>
      <c r="D36" s="75"/>
      <c r="E36" s="88"/>
      <c r="F36" s="88"/>
      <c r="G36" s="88"/>
      <c r="I36" s="88"/>
      <c r="J36" s="88"/>
      <c r="K36" s="88"/>
      <c r="L36" s="88"/>
      <c r="M36" s="44"/>
      <c r="N36" s="44"/>
      <c r="O36" s="75"/>
      <c r="P36" s="75"/>
      <c r="Q36" s="75"/>
      <c r="R36" s="88"/>
    </row>
    <row r="37" spans="1:28" hidden="1">
      <c r="A37" s="75">
        <f>A36+1</f>
        <v>2013</v>
      </c>
      <c r="B37" s="92">
        <v>74278</v>
      </c>
      <c r="C37" s="75"/>
      <c r="D37" s="75"/>
      <c r="E37" s="88"/>
      <c r="F37" s="88"/>
      <c r="G37" s="88"/>
      <c r="I37" s="88"/>
      <c r="J37" s="88"/>
      <c r="K37" s="88"/>
      <c r="L37" s="88"/>
      <c r="M37" s="97"/>
      <c r="N37" s="97"/>
      <c r="O37" s="75"/>
      <c r="P37" s="75"/>
      <c r="Q37" s="75"/>
      <c r="R37" s="88"/>
    </row>
    <row r="38" spans="1:28" hidden="1">
      <c r="A38" s="75">
        <f>A37+1</f>
        <v>2014</v>
      </c>
      <c r="B38" s="92">
        <v>74529</v>
      </c>
      <c r="C38" s="75"/>
      <c r="D38" s="75"/>
      <c r="E38" s="88"/>
      <c r="F38" s="88"/>
      <c r="G38" s="88"/>
      <c r="I38" s="88"/>
      <c r="J38" s="88"/>
      <c r="K38" s="88"/>
      <c r="L38" s="88"/>
      <c r="M38" s="44"/>
      <c r="N38" s="44"/>
      <c r="O38" s="75"/>
      <c r="P38" s="75"/>
      <c r="Q38" s="75"/>
      <c r="R38" s="88"/>
    </row>
    <row r="39" spans="1:28" hidden="1">
      <c r="A39" s="75">
        <f>A38+1</f>
        <v>2015</v>
      </c>
      <c r="B39" s="92">
        <v>77185</v>
      </c>
      <c r="C39" s="75"/>
      <c r="D39" s="75"/>
      <c r="E39" s="88"/>
      <c r="F39" s="88"/>
      <c r="G39" s="88"/>
      <c r="I39" s="88"/>
      <c r="J39" s="88"/>
      <c r="K39" s="88"/>
      <c r="L39" s="88"/>
      <c r="M39" s="44"/>
      <c r="N39" s="44"/>
      <c r="O39" s="75"/>
      <c r="P39" s="75"/>
      <c r="Q39" s="75"/>
      <c r="R39" s="88"/>
    </row>
    <row r="40" spans="1:28">
      <c r="A40" s="75">
        <v>2016</v>
      </c>
      <c r="B40" s="92">
        <v>78905</v>
      </c>
      <c r="C40" s="100">
        <f t="shared" ref="C40:F42" si="1">B10</f>
        <v>7525</v>
      </c>
      <c r="D40" s="100">
        <f t="shared" si="1"/>
        <v>58643</v>
      </c>
      <c r="E40" s="100">
        <f t="shared" si="1"/>
        <v>3748</v>
      </c>
      <c r="F40" s="100">
        <f t="shared" si="1"/>
        <v>8986</v>
      </c>
      <c r="G40" s="101">
        <f>SUM(C40:F40)</f>
        <v>78902</v>
      </c>
      <c r="I40" s="102">
        <f t="shared" ref="I40:L56" si="2">$B40/$G40*C40</f>
        <v>7525.2861144204198</v>
      </c>
      <c r="J40" s="102">
        <f t="shared" si="2"/>
        <v>58645.229715343077</v>
      </c>
      <c r="K40" s="102">
        <f t="shared" si="2"/>
        <v>3748.1425058933864</v>
      </c>
      <c r="L40" s="102">
        <f t="shared" si="2"/>
        <v>8986.3416643431083</v>
      </c>
      <c r="M40" s="97">
        <f>SUM(I40:L40)-B40</f>
        <v>0</v>
      </c>
      <c r="N40" s="103">
        <f>A40</f>
        <v>2016</v>
      </c>
      <c r="O40" s="75"/>
      <c r="P40" s="75"/>
      <c r="Q40" s="75"/>
      <c r="R40" s="88"/>
      <c r="T40" s="104">
        <f t="shared" ref="T40:W56" si="3">C40/$G40</f>
        <v>9.537147347342273E-2</v>
      </c>
      <c r="U40" s="104">
        <f t="shared" si="3"/>
        <v>0.74323844769460845</v>
      </c>
      <c r="V40" s="104">
        <f t="shared" si="3"/>
        <v>4.7501964462244306E-2</v>
      </c>
      <c r="W40" s="104">
        <f t="shared" si="3"/>
        <v>0.11388811436972447</v>
      </c>
      <c r="Y40" s="104">
        <f>I40/SUM($I40:$L40)</f>
        <v>9.5371473473422744E-2</v>
      </c>
      <c r="Z40" s="104">
        <f t="shared" ref="Z40:AB55" si="4">J40/SUM($I40:$L40)</f>
        <v>0.74323844769460856</v>
      </c>
      <c r="AA40" s="104">
        <f t="shared" si="4"/>
        <v>4.7501964462244306E-2</v>
      </c>
      <c r="AB40" s="104">
        <f>L40/SUM($I40:$L40)</f>
        <v>0.11388811436972447</v>
      </c>
    </row>
    <row r="41" spans="1:28">
      <c r="A41" s="75">
        <v>2017</v>
      </c>
      <c r="B41" s="92">
        <f>SUM(C41:F41)</f>
        <v>80714</v>
      </c>
      <c r="C41" s="100">
        <f t="shared" si="1"/>
        <v>7867</v>
      </c>
      <c r="D41" s="100">
        <f t="shared" si="1"/>
        <v>59924</v>
      </c>
      <c r="E41" s="100">
        <f t="shared" si="1"/>
        <v>3849</v>
      </c>
      <c r="F41" s="100">
        <f t="shared" si="1"/>
        <v>9074</v>
      </c>
      <c r="G41" s="101">
        <f t="shared" ref="G41:G69" si="5">SUM(C41:F41)</f>
        <v>80714</v>
      </c>
      <c r="I41" s="102">
        <f t="shared" si="2"/>
        <v>7867</v>
      </c>
      <c r="J41" s="102">
        <f t="shared" si="2"/>
        <v>59924</v>
      </c>
      <c r="K41" s="102">
        <f t="shared" si="2"/>
        <v>3849</v>
      </c>
      <c r="L41" s="102">
        <f t="shared" si="2"/>
        <v>9074</v>
      </c>
      <c r="M41" s="44">
        <f t="shared" ref="M41:M69" si="6">SUM(I41:L41)-B41</f>
        <v>0</v>
      </c>
      <c r="N41" s="103">
        <f t="shared" ref="N41:N69" si="7">A41</f>
        <v>2017</v>
      </c>
      <c r="O41" s="105">
        <f>I41/I$46</f>
        <v>0.82183948289374287</v>
      </c>
      <c r="P41" s="105">
        <f t="shared" ref="P41:R56" si="8">J41/J$46</f>
        <v>0.95921492938882946</v>
      </c>
      <c r="Q41" s="105">
        <f t="shared" si="8"/>
        <v>0.97963809810755409</v>
      </c>
      <c r="R41" s="105">
        <f t="shared" si="8"/>
        <v>0.98228472881713369</v>
      </c>
      <c r="T41" s="104">
        <f t="shared" si="3"/>
        <v>9.7467601655227096E-2</v>
      </c>
      <c r="U41" s="104">
        <f t="shared" si="3"/>
        <v>0.7424238669871398</v>
      </c>
      <c r="V41" s="104">
        <f t="shared" si="3"/>
        <v>4.7686894466883067E-2</v>
      </c>
      <c r="W41" s="104">
        <f t="shared" si="3"/>
        <v>0.11242163689075006</v>
      </c>
      <c r="Y41" s="104">
        <f t="shared" ref="Y41:Y54" si="9">I41/SUM($I41:$L41)</f>
        <v>9.7467601655227096E-2</v>
      </c>
      <c r="Z41" s="104">
        <f t="shared" si="4"/>
        <v>0.7424238669871398</v>
      </c>
      <c r="AA41" s="104">
        <f t="shared" si="4"/>
        <v>4.7686894466883067E-2</v>
      </c>
      <c r="AB41" s="104">
        <f t="shared" si="4"/>
        <v>0.11242163689075006</v>
      </c>
    </row>
    <row r="42" spans="1:28">
      <c r="A42" s="75">
        <f t="shared" ref="A42:A69" si="10">A41+1</f>
        <v>2018</v>
      </c>
      <c r="B42" s="92">
        <v>87686.690366048133</v>
      </c>
      <c r="C42" s="100">
        <f t="shared" si="1"/>
        <v>8124</v>
      </c>
      <c r="D42" s="100">
        <f t="shared" si="1"/>
        <v>61096</v>
      </c>
      <c r="E42" s="100">
        <f t="shared" si="1"/>
        <v>4084</v>
      </c>
      <c r="F42" s="100">
        <f t="shared" si="1"/>
        <v>9346</v>
      </c>
      <c r="G42" s="101">
        <f>SUM(C42:F42)</f>
        <v>82650</v>
      </c>
      <c r="I42" s="102">
        <f t="shared" si="2"/>
        <v>8619.0764976863284</v>
      </c>
      <c r="J42" s="102">
        <f t="shared" si="2"/>
        <v>64819.189771374186</v>
      </c>
      <c r="K42" s="102">
        <f t="shared" si="2"/>
        <v>4332.8789286744168</v>
      </c>
      <c r="L42" s="102">
        <f t="shared" si="2"/>
        <v>9915.5451683131978</v>
      </c>
      <c r="M42" s="44">
        <f t="shared" si="6"/>
        <v>0</v>
      </c>
      <c r="N42" s="103">
        <f t="shared" si="7"/>
        <v>2018</v>
      </c>
      <c r="O42" s="105">
        <f t="shared" ref="O42:O45" si="11">I42/I$46</f>
        <v>0.90040642835644391</v>
      </c>
      <c r="P42" s="105">
        <f t="shared" si="8"/>
        <v>1.0375731683397276</v>
      </c>
      <c r="Q42" s="105">
        <f t="shared" si="8"/>
        <v>1.1027937835845421</v>
      </c>
      <c r="R42" s="105">
        <f t="shared" si="8"/>
        <v>1.0733842403273717</v>
      </c>
      <c r="T42" s="104">
        <f t="shared" si="3"/>
        <v>9.8294010889292197E-2</v>
      </c>
      <c r="U42" s="104">
        <f t="shared" si="3"/>
        <v>0.7392135511191773</v>
      </c>
      <c r="V42" s="104">
        <f t="shared" si="3"/>
        <v>4.9413188142770723E-2</v>
      </c>
      <c r="W42" s="104">
        <f t="shared" si="3"/>
        <v>0.11307924984875983</v>
      </c>
      <c r="Y42" s="104">
        <f t="shared" si="9"/>
        <v>9.8294010889292197E-2</v>
      </c>
      <c r="Z42" s="104">
        <f t="shared" si="4"/>
        <v>0.73921355111917719</v>
      </c>
      <c r="AA42" s="104">
        <f t="shared" si="4"/>
        <v>4.9413188142770716E-2</v>
      </c>
      <c r="AB42" s="104">
        <f t="shared" si="4"/>
        <v>0.11307924984875982</v>
      </c>
    </row>
    <row r="43" spans="1:28">
      <c r="A43" s="75">
        <f t="shared" si="10"/>
        <v>2019</v>
      </c>
      <c r="B43" s="92">
        <v>86940.765971295448</v>
      </c>
      <c r="C43" s="100">
        <f t="shared" ref="C43:F45" si="12">C$42/$G$42*$B43</f>
        <v>8545.7565971059194</v>
      </c>
      <c r="D43" s="100">
        <f t="shared" si="12"/>
        <v>64267.792350662639</v>
      </c>
      <c r="E43" s="100">
        <f t="shared" si="12"/>
        <v>4296.0204262162206</v>
      </c>
      <c r="F43" s="100">
        <f t="shared" si="12"/>
        <v>9831.1965973106744</v>
      </c>
      <c r="G43" s="101">
        <f t="shared" si="5"/>
        <v>86940.765971295448</v>
      </c>
      <c r="I43" s="106">
        <f t="shared" si="2"/>
        <v>8545.7565971059194</v>
      </c>
      <c r="J43" s="106">
        <f t="shared" si="2"/>
        <v>64267.792350662639</v>
      </c>
      <c r="K43" s="106">
        <f t="shared" si="2"/>
        <v>4296.0204262162206</v>
      </c>
      <c r="L43" s="106">
        <f t="shared" si="2"/>
        <v>9831.1965973106744</v>
      </c>
      <c r="M43" s="107">
        <f t="shared" si="6"/>
        <v>0</v>
      </c>
      <c r="N43" s="108">
        <f t="shared" si="7"/>
        <v>2019</v>
      </c>
      <c r="O43" s="105">
        <f t="shared" si="11"/>
        <v>0.89274694072725569</v>
      </c>
      <c r="P43" s="105">
        <f t="shared" si="8"/>
        <v>1.0287468443631402</v>
      </c>
      <c r="Q43" s="105">
        <f t="shared" si="8"/>
        <v>1.0934126473810502</v>
      </c>
      <c r="R43" s="105">
        <f t="shared" si="8"/>
        <v>1.0642532822941639</v>
      </c>
      <c r="T43" s="109">
        <f t="shared" si="3"/>
        <v>9.8294010889292197E-2</v>
      </c>
      <c r="U43" s="109">
        <f t="shared" si="3"/>
        <v>0.7392135511191773</v>
      </c>
      <c r="V43" s="109">
        <f t="shared" si="3"/>
        <v>4.9413188142770723E-2</v>
      </c>
      <c r="W43" s="109">
        <f t="shared" si="3"/>
        <v>0.11307924984875983</v>
      </c>
      <c r="Y43" s="109">
        <f t="shared" si="9"/>
        <v>9.8294010889292197E-2</v>
      </c>
      <c r="Z43" s="109">
        <f t="shared" si="4"/>
        <v>0.7392135511191773</v>
      </c>
      <c r="AA43" s="109">
        <f t="shared" si="4"/>
        <v>4.9413188142770723E-2</v>
      </c>
      <c r="AB43" s="109">
        <f t="shared" si="4"/>
        <v>0.11307924984875983</v>
      </c>
    </row>
    <row r="44" spans="1:28">
      <c r="A44" s="75">
        <f t="shared" si="10"/>
        <v>2020</v>
      </c>
      <c r="B44" s="92">
        <v>77551.979337975383</v>
      </c>
      <c r="C44" s="100">
        <f t="shared" si="12"/>
        <v>7622.8951015331158</v>
      </c>
      <c r="D44" s="100">
        <f t="shared" si="12"/>
        <v>57327.474042745846</v>
      </c>
      <c r="E44" s="100">
        <f t="shared" si="12"/>
        <v>3832.0905458716452</v>
      </c>
      <c r="F44" s="100">
        <f t="shared" si="12"/>
        <v>8769.5196478247781</v>
      </c>
      <c r="G44" s="101">
        <f>SUM(C44:F44)</f>
        <v>77551.979337975397</v>
      </c>
      <c r="I44" s="102">
        <f t="shared" si="2"/>
        <v>7622.895101533114</v>
      </c>
      <c r="J44" s="102">
        <f t="shared" si="2"/>
        <v>57327.474042745831</v>
      </c>
      <c r="K44" s="102">
        <f t="shared" si="2"/>
        <v>3832.0905458716443</v>
      </c>
      <c r="L44" s="102">
        <f t="shared" si="2"/>
        <v>8769.5196478247763</v>
      </c>
      <c r="M44" s="44">
        <f t="shared" si="6"/>
        <v>0</v>
      </c>
      <c r="N44" s="103">
        <f t="shared" si="7"/>
        <v>2020</v>
      </c>
      <c r="O44" s="105">
        <f t="shared" si="11"/>
        <v>0.79633865112459901</v>
      </c>
      <c r="P44" s="105">
        <f t="shared" si="8"/>
        <v>0.9176518417654429</v>
      </c>
      <c r="Q44" s="105">
        <f t="shared" si="8"/>
        <v>0.97533434505940142</v>
      </c>
      <c r="R44" s="105">
        <f t="shared" si="8"/>
        <v>0.94932391769011304</v>
      </c>
      <c r="T44" s="104">
        <f t="shared" si="3"/>
        <v>9.8294010889292183E-2</v>
      </c>
      <c r="U44" s="104">
        <f t="shared" si="3"/>
        <v>0.73921355111917719</v>
      </c>
      <c r="V44" s="104">
        <f t="shared" si="3"/>
        <v>4.9413188142770716E-2</v>
      </c>
      <c r="W44" s="104">
        <f t="shared" si="3"/>
        <v>0.11307924984875981</v>
      </c>
      <c r="Y44" s="104">
        <f t="shared" si="9"/>
        <v>9.8294010889292197E-2</v>
      </c>
      <c r="Z44" s="104">
        <f t="shared" si="4"/>
        <v>0.73921355111917719</v>
      </c>
      <c r="AA44" s="104">
        <f t="shared" si="4"/>
        <v>4.9413188142770723E-2</v>
      </c>
      <c r="AB44" s="104">
        <f t="shared" si="4"/>
        <v>0.11307924984875982</v>
      </c>
    </row>
    <row r="45" spans="1:28">
      <c r="A45" s="75">
        <f t="shared" si="10"/>
        <v>2021</v>
      </c>
      <c r="B45" s="92">
        <v>81858.6413079739</v>
      </c>
      <c r="C45" s="100">
        <f t="shared" si="12"/>
        <v>8046.2141801086509</v>
      </c>
      <c r="D45" s="100">
        <f t="shared" si="12"/>
        <v>60511.016931058366</v>
      </c>
      <c r="E45" s="100">
        <f t="shared" si="12"/>
        <v>4044.8964440624977</v>
      </c>
      <c r="F45" s="100">
        <f t="shared" si="12"/>
        <v>9256.5137527443931</v>
      </c>
      <c r="G45" s="101">
        <f t="shared" si="5"/>
        <v>81858.6413079739</v>
      </c>
      <c r="I45" s="102">
        <f t="shared" si="2"/>
        <v>8046.2141801086509</v>
      </c>
      <c r="J45" s="102">
        <f t="shared" si="2"/>
        <v>60511.016931058366</v>
      </c>
      <c r="K45" s="102">
        <f t="shared" si="2"/>
        <v>4044.8964440624977</v>
      </c>
      <c r="L45" s="102">
        <f t="shared" si="2"/>
        <v>9256.5137527443931</v>
      </c>
      <c r="M45" s="44">
        <f t="shared" si="6"/>
        <v>0</v>
      </c>
      <c r="N45" s="103">
        <f t="shared" si="7"/>
        <v>2021</v>
      </c>
      <c r="O45" s="105">
        <f t="shared" si="11"/>
        <v>0.84056139583485379</v>
      </c>
      <c r="P45" s="105">
        <f t="shared" si="8"/>
        <v>0.96861142168031866</v>
      </c>
      <c r="Q45" s="105">
        <f t="shared" si="8"/>
        <v>1.0294971835550517</v>
      </c>
      <c r="R45" s="105">
        <f t="shared" si="8"/>
        <v>1.0020423298883177</v>
      </c>
      <c r="T45" s="104">
        <f t="shared" si="3"/>
        <v>9.8294010889292197E-2</v>
      </c>
      <c r="U45" s="104">
        <f t="shared" si="3"/>
        <v>0.7392135511191773</v>
      </c>
      <c r="V45" s="104">
        <f t="shared" si="3"/>
        <v>4.9413188142770723E-2</v>
      </c>
      <c r="W45" s="104">
        <f t="shared" si="3"/>
        <v>0.11307924984875983</v>
      </c>
      <c r="Y45" s="104">
        <f t="shared" si="9"/>
        <v>9.8294010889292197E-2</v>
      </c>
      <c r="Z45" s="104">
        <f t="shared" si="4"/>
        <v>0.7392135511191773</v>
      </c>
      <c r="AA45" s="104">
        <f t="shared" si="4"/>
        <v>4.9413188142770723E-2</v>
      </c>
      <c r="AB45" s="104">
        <f t="shared" si="4"/>
        <v>0.11307924984875983</v>
      </c>
    </row>
    <row r="46" spans="1:28" s="114" customFormat="1">
      <c r="A46" s="110">
        <f t="shared" si="10"/>
        <v>2022</v>
      </c>
      <c r="B46" s="111">
        <v>85211</v>
      </c>
      <c r="C46" s="112">
        <f>C$49/$G$49*$B46</f>
        <v>9572.4288790553746</v>
      </c>
      <c r="D46" s="112">
        <f t="shared" ref="D46:F48" si="13">D$49/$G$49*$B46</f>
        <v>62471.921739355115</v>
      </c>
      <c r="E46" s="112">
        <f t="shared" si="13"/>
        <v>3929.001952287711</v>
      </c>
      <c r="F46" s="112">
        <f t="shared" si="13"/>
        <v>9237.6474293017891</v>
      </c>
      <c r="G46" s="113">
        <f t="shared" si="5"/>
        <v>85211</v>
      </c>
      <c r="I46" s="115">
        <f t="shared" si="2"/>
        <v>9572.4288790553746</v>
      </c>
      <c r="J46" s="115">
        <f t="shared" si="2"/>
        <v>62471.921739355115</v>
      </c>
      <c r="K46" s="115">
        <f t="shared" si="2"/>
        <v>3929.001952287711</v>
      </c>
      <c r="L46" s="115">
        <f t="shared" si="2"/>
        <v>9237.6474293017891</v>
      </c>
      <c r="M46" s="116">
        <f t="shared" si="6"/>
        <v>0</v>
      </c>
      <c r="N46" s="117">
        <f t="shared" si="7"/>
        <v>2022</v>
      </c>
      <c r="O46" s="118">
        <f>I46/I$46</f>
        <v>1</v>
      </c>
      <c r="P46" s="118">
        <f t="shared" si="8"/>
        <v>1</v>
      </c>
      <c r="Q46" s="118">
        <f t="shared" si="8"/>
        <v>1</v>
      </c>
      <c r="R46" s="118">
        <f t="shared" si="8"/>
        <v>1</v>
      </c>
      <c r="T46" s="119">
        <f t="shared" si="3"/>
        <v>0.11233794790643667</v>
      </c>
      <c r="U46" s="119">
        <f t="shared" si="3"/>
        <v>0.73314386334340775</v>
      </c>
      <c r="V46" s="119">
        <f t="shared" si="3"/>
        <v>4.6109093336396838E-2</v>
      </c>
      <c r="W46" s="119">
        <f t="shared" si="3"/>
        <v>0.10840909541375866</v>
      </c>
      <c r="Y46" s="119">
        <f t="shared" si="9"/>
        <v>0.11233794790643667</v>
      </c>
      <c r="Z46" s="119">
        <f t="shared" si="4"/>
        <v>0.73314386334340775</v>
      </c>
      <c r="AA46" s="119">
        <f t="shared" si="4"/>
        <v>4.6109093336396838E-2</v>
      </c>
      <c r="AB46" s="119">
        <f t="shared" si="4"/>
        <v>0.10840909541375866</v>
      </c>
    </row>
    <row r="47" spans="1:28">
      <c r="A47" s="75">
        <f t="shared" si="10"/>
        <v>2023</v>
      </c>
      <c r="B47" s="92">
        <v>86888</v>
      </c>
      <c r="C47" s="100">
        <f t="shared" ref="C47:C48" si="14">C$49/$G$49*$B47</f>
        <v>9760.8196176944693</v>
      </c>
      <c r="D47" s="100">
        <f t="shared" si="13"/>
        <v>63701.40399818201</v>
      </c>
      <c r="E47" s="100">
        <f t="shared" si="13"/>
        <v>4006.3269018128485</v>
      </c>
      <c r="F47" s="100">
        <f t="shared" si="13"/>
        <v>9419.4494823106634</v>
      </c>
      <c r="G47" s="101">
        <f t="shared" si="5"/>
        <v>86888</v>
      </c>
      <c r="I47" s="102">
        <f t="shared" si="2"/>
        <v>9760.8196176944693</v>
      </c>
      <c r="J47" s="102">
        <f t="shared" si="2"/>
        <v>63701.40399818201</v>
      </c>
      <c r="K47" s="102">
        <f t="shared" si="2"/>
        <v>4006.3269018128485</v>
      </c>
      <c r="L47" s="102">
        <f t="shared" si="2"/>
        <v>9419.4494823106634</v>
      </c>
      <c r="M47" s="44">
        <f t="shared" si="6"/>
        <v>0</v>
      </c>
      <c r="N47" s="103">
        <f t="shared" si="7"/>
        <v>2023</v>
      </c>
      <c r="O47" s="105">
        <f>I47/I$46</f>
        <v>1.0196805576744787</v>
      </c>
      <c r="P47" s="105">
        <f t="shared" si="8"/>
        <v>1.0196805576744787</v>
      </c>
      <c r="Q47" s="105">
        <f t="shared" si="8"/>
        <v>1.0196805576744787</v>
      </c>
      <c r="R47" s="105">
        <f t="shared" si="8"/>
        <v>1.0196805576744787</v>
      </c>
      <c r="T47" s="104">
        <f t="shared" si="3"/>
        <v>0.11233794790643667</v>
      </c>
      <c r="U47" s="104">
        <f t="shared" si="3"/>
        <v>0.73314386334340775</v>
      </c>
      <c r="V47" s="104">
        <f t="shared" si="3"/>
        <v>4.6109093336396838E-2</v>
      </c>
      <c r="W47" s="104">
        <f t="shared" si="3"/>
        <v>0.10840909541375868</v>
      </c>
      <c r="Y47" s="104">
        <f t="shared" si="9"/>
        <v>0.11233794790643667</v>
      </c>
      <c r="Z47" s="104">
        <f t="shared" si="4"/>
        <v>0.73314386334340775</v>
      </c>
      <c r="AA47" s="104">
        <f t="shared" si="4"/>
        <v>4.6109093336396838E-2</v>
      </c>
      <c r="AB47" s="104">
        <f t="shared" si="4"/>
        <v>0.10840909541375868</v>
      </c>
    </row>
    <row r="48" spans="1:28">
      <c r="A48" s="75">
        <f t="shared" si="10"/>
        <v>2024</v>
      </c>
      <c r="B48" s="92">
        <v>88022</v>
      </c>
      <c r="C48" s="100">
        <f t="shared" si="14"/>
        <v>9888.2108506203676</v>
      </c>
      <c r="D48" s="100">
        <f t="shared" si="13"/>
        <v>64532.789139213441</v>
      </c>
      <c r="E48" s="100">
        <f t="shared" si="13"/>
        <v>4058.6146136563225</v>
      </c>
      <c r="F48" s="100">
        <f t="shared" si="13"/>
        <v>9542.3853965098642</v>
      </c>
      <c r="G48" s="101">
        <f t="shared" si="5"/>
        <v>88022</v>
      </c>
      <c r="I48" s="102">
        <f t="shared" si="2"/>
        <v>9888.2108506203676</v>
      </c>
      <c r="J48" s="102">
        <f t="shared" si="2"/>
        <v>64532.789139213441</v>
      </c>
      <c r="K48" s="102">
        <f t="shared" si="2"/>
        <v>4058.6146136563225</v>
      </c>
      <c r="L48" s="102">
        <f t="shared" si="2"/>
        <v>9542.3853965098642</v>
      </c>
      <c r="M48" s="44">
        <f t="shared" si="6"/>
        <v>0</v>
      </c>
      <c r="N48" s="103">
        <f t="shared" si="7"/>
        <v>2024</v>
      </c>
      <c r="O48" s="105">
        <f t="shared" ref="O48:R69" si="15">I48/I$46</f>
        <v>1.0329886986421941</v>
      </c>
      <c r="P48" s="105">
        <f t="shared" si="8"/>
        <v>1.0329886986421941</v>
      </c>
      <c r="Q48" s="105">
        <f t="shared" si="8"/>
        <v>1.0329886986421941</v>
      </c>
      <c r="R48" s="105">
        <f t="shared" si="8"/>
        <v>1.0329886986421941</v>
      </c>
      <c r="T48" s="104">
        <f t="shared" si="3"/>
        <v>0.11233794790643666</v>
      </c>
      <c r="U48" s="104">
        <f t="shared" si="3"/>
        <v>0.73314386334340775</v>
      </c>
      <c r="V48" s="104">
        <f t="shared" si="3"/>
        <v>4.6109093336396838E-2</v>
      </c>
      <c r="W48" s="104">
        <f t="shared" si="3"/>
        <v>0.10840909541375865</v>
      </c>
      <c r="Y48" s="104">
        <f t="shared" si="9"/>
        <v>0.11233794790643666</v>
      </c>
      <c r="Z48" s="104">
        <f t="shared" si="4"/>
        <v>0.73314386334340775</v>
      </c>
      <c r="AA48" s="104">
        <f t="shared" si="4"/>
        <v>4.6109093336396838E-2</v>
      </c>
      <c r="AB48" s="104">
        <f t="shared" si="4"/>
        <v>0.10840909541375865</v>
      </c>
    </row>
    <row r="49" spans="1:28">
      <c r="A49" s="75">
        <f t="shared" si="10"/>
        <v>2025</v>
      </c>
      <c r="B49" s="92">
        <v>89815</v>
      </c>
      <c r="C49" s="100">
        <v>10089.632791216611</v>
      </c>
      <c r="D49" s="100">
        <v>65847.316086188177</v>
      </c>
      <c r="E49" s="100">
        <v>4141.2882180084825</v>
      </c>
      <c r="F49" s="100">
        <v>9736.7629045867361</v>
      </c>
      <c r="G49" s="101">
        <f t="shared" si="5"/>
        <v>89815.000000000015</v>
      </c>
      <c r="I49" s="102">
        <f t="shared" si="2"/>
        <v>10089.632791216609</v>
      </c>
      <c r="J49" s="102">
        <f t="shared" si="2"/>
        <v>65847.316086188162</v>
      </c>
      <c r="K49" s="102">
        <f t="shared" si="2"/>
        <v>4141.2882180084816</v>
      </c>
      <c r="L49" s="102">
        <f t="shared" si="2"/>
        <v>9736.7629045867343</v>
      </c>
      <c r="M49" s="97">
        <f t="shared" si="6"/>
        <v>0</v>
      </c>
      <c r="N49" s="103">
        <f t="shared" si="7"/>
        <v>2025</v>
      </c>
      <c r="O49" s="105">
        <f t="shared" si="15"/>
        <v>1.0540305829059629</v>
      </c>
      <c r="P49" s="105">
        <f t="shared" si="8"/>
        <v>1.0540305829059629</v>
      </c>
      <c r="Q49" s="105">
        <f t="shared" si="8"/>
        <v>1.0540305829059629</v>
      </c>
      <c r="R49" s="105">
        <f t="shared" si="8"/>
        <v>1.0540305829059629</v>
      </c>
      <c r="T49" s="104">
        <f t="shared" si="3"/>
        <v>0.11233794790643667</v>
      </c>
      <c r="U49" s="104">
        <f t="shared" si="3"/>
        <v>0.73314386334340775</v>
      </c>
      <c r="V49" s="104">
        <f t="shared" si="3"/>
        <v>4.6109093336396838E-2</v>
      </c>
      <c r="W49" s="104">
        <f t="shared" si="3"/>
        <v>0.10840909541375866</v>
      </c>
      <c r="Y49" s="104">
        <f t="shared" si="9"/>
        <v>0.11233794790643668</v>
      </c>
      <c r="Z49" s="104">
        <f t="shared" si="4"/>
        <v>0.73314386334340786</v>
      </c>
      <c r="AA49" s="104">
        <f t="shared" si="4"/>
        <v>4.6109093336396845E-2</v>
      </c>
      <c r="AB49" s="104">
        <f t="shared" si="4"/>
        <v>0.10840909541375868</v>
      </c>
    </row>
    <row r="50" spans="1:28">
      <c r="A50" s="75">
        <f t="shared" si="10"/>
        <v>2026</v>
      </c>
      <c r="B50" s="92">
        <f>G50</f>
        <v>91024.714985141385</v>
      </c>
      <c r="C50" s="92">
        <f>C$49*(B$18)^1</f>
        <v>10293.918056094286</v>
      </c>
      <c r="D50" s="92">
        <f>D$49*(C$18)^1</f>
        <v>66556.685067967846</v>
      </c>
      <c r="E50" s="92">
        <f>E$49*(D$18)^1</f>
        <v>4230.264538047556</v>
      </c>
      <c r="F50" s="92">
        <f>F$49*(E$18)^1</f>
        <v>9943.8473230316831</v>
      </c>
      <c r="G50" s="101">
        <f t="shared" si="5"/>
        <v>91024.714985141385</v>
      </c>
      <c r="I50" s="102">
        <f t="shared" si="2"/>
        <v>10293.918056094286</v>
      </c>
      <c r="J50" s="102">
        <f t="shared" si="2"/>
        <v>66556.685067967846</v>
      </c>
      <c r="K50" s="102">
        <f t="shared" si="2"/>
        <v>4230.264538047556</v>
      </c>
      <c r="L50" s="102">
        <f t="shared" si="2"/>
        <v>9943.8473230316831</v>
      </c>
      <c r="M50" s="44">
        <f t="shared" si="6"/>
        <v>0</v>
      </c>
      <c r="N50" s="103">
        <f t="shared" si="7"/>
        <v>2026</v>
      </c>
      <c r="O50" s="105">
        <f t="shared" si="15"/>
        <v>1.0753715891916984</v>
      </c>
      <c r="P50" s="105">
        <f t="shared" si="8"/>
        <v>1.065385587875064</v>
      </c>
      <c r="Q50" s="105">
        <f t="shared" si="8"/>
        <v>1.0766766190035693</v>
      </c>
      <c r="R50" s="105">
        <f t="shared" si="8"/>
        <v>1.0764480241462593</v>
      </c>
      <c r="T50" s="104">
        <f t="shared" si="3"/>
        <v>0.11308926435830792</v>
      </c>
      <c r="U50" s="104">
        <f t="shared" si="3"/>
        <v>0.73119355637457772</v>
      </c>
      <c r="V50" s="104">
        <f t="shared" si="3"/>
        <v>4.6473801524543001E-2</v>
      </c>
      <c r="W50" s="104">
        <f t="shared" si="3"/>
        <v>0.10924337774257122</v>
      </c>
      <c r="Y50" s="104">
        <f t="shared" si="9"/>
        <v>0.11308926435830792</v>
      </c>
      <c r="Z50" s="104">
        <f t="shared" si="4"/>
        <v>0.73119355637457772</v>
      </c>
      <c r="AA50" s="104">
        <f t="shared" si="4"/>
        <v>4.6473801524543001E-2</v>
      </c>
      <c r="AB50" s="104">
        <f t="shared" si="4"/>
        <v>0.10924337774257122</v>
      </c>
    </row>
    <row r="51" spans="1:28">
      <c r="A51" s="75">
        <f t="shared" si="10"/>
        <v>2027</v>
      </c>
      <c r="B51" s="92">
        <f t="shared" ref="B51:B53" si="16">G51</f>
        <v>92252.524137076238</v>
      </c>
      <c r="C51" s="92">
        <f>C$49*(B$18)^2</f>
        <v>10502.339494241069</v>
      </c>
      <c r="D51" s="92">
        <f>D$49*(C$18)^2</f>
        <v>67273.696037032947</v>
      </c>
      <c r="E51" s="92">
        <f>E$49*(D$18)^2</f>
        <v>4321.152530279177</v>
      </c>
      <c r="F51" s="92">
        <f>F$49*(E$18)^2</f>
        <v>10155.336075523059</v>
      </c>
      <c r="G51" s="101">
        <f t="shared" si="5"/>
        <v>92252.524137076238</v>
      </c>
      <c r="I51" s="102">
        <f t="shared" si="2"/>
        <v>10502.339494241069</v>
      </c>
      <c r="J51" s="102">
        <f t="shared" si="2"/>
        <v>67273.696037032947</v>
      </c>
      <c r="K51" s="102">
        <f t="shared" si="2"/>
        <v>4321.152530279177</v>
      </c>
      <c r="L51" s="102">
        <f t="shared" si="2"/>
        <v>10155.336075523059</v>
      </c>
      <c r="M51" s="44">
        <f t="shared" si="6"/>
        <v>0</v>
      </c>
      <c r="N51" s="103">
        <f t="shared" si="7"/>
        <v>2027</v>
      </c>
      <c r="O51" s="105">
        <f t="shared" si="15"/>
        <v>1.0971446878252973</v>
      </c>
      <c r="P51" s="105">
        <f t="shared" si="8"/>
        <v>1.0768629195962909</v>
      </c>
      <c r="Q51" s="105">
        <f t="shared" si="8"/>
        <v>1.0998092092479443</v>
      </c>
      <c r="R51" s="105">
        <f t="shared" si="8"/>
        <v>1.099342246307254</v>
      </c>
      <c r="T51" s="104">
        <f t="shared" si="3"/>
        <v>0.11384338360905817</v>
      </c>
      <c r="U51" s="104">
        <f t="shared" si="3"/>
        <v>0.72923420433539865</v>
      </c>
      <c r="V51" s="104">
        <f t="shared" si="3"/>
        <v>4.6840480200394954E-2</v>
      </c>
      <c r="W51" s="104">
        <f t="shared" si="3"/>
        <v>0.11008193185514839</v>
      </c>
      <c r="Y51" s="104">
        <f t="shared" si="9"/>
        <v>0.11384338360905817</v>
      </c>
      <c r="Z51" s="104">
        <f t="shared" si="4"/>
        <v>0.72923420433539865</v>
      </c>
      <c r="AA51" s="104">
        <f t="shared" si="4"/>
        <v>4.6840480200394954E-2</v>
      </c>
      <c r="AB51" s="104">
        <f t="shared" si="4"/>
        <v>0.11008193185514839</v>
      </c>
    </row>
    <row r="52" spans="1:28">
      <c r="A52" s="75">
        <f t="shared" si="10"/>
        <v>2028</v>
      </c>
      <c r="B52" s="92">
        <f t="shared" si="16"/>
        <v>93498.728273072804</v>
      </c>
      <c r="C52" s="92">
        <f>C$49*(B$18)^3</f>
        <v>10714.980850949711</v>
      </c>
      <c r="D52" s="92">
        <f>D$49*(C$18)^3</f>
        <v>67998.431320030373</v>
      </c>
      <c r="E52" s="92">
        <f>E$49*(D$18)^3</f>
        <v>4413.9932673232324</v>
      </c>
      <c r="F52" s="92">
        <f>F$49*(E$18)^3</f>
        <v>10371.322834769504</v>
      </c>
      <c r="G52" s="101">
        <f t="shared" si="5"/>
        <v>93498.728273072804</v>
      </c>
      <c r="I52" s="102">
        <f t="shared" si="2"/>
        <v>10714.980850949711</v>
      </c>
      <c r="J52" s="102">
        <f t="shared" si="2"/>
        <v>67998.431320030373</v>
      </c>
      <c r="K52" s="102">
        <f t="shared" si="2"/>
        <v>4413.9932673232324</v>
      </c>
      <c r="L52" s="102">
        <f t="shared" si="2"/>
        <v>10371.322834769504</v>
      </c>
      <c r="M52" s="97">
        <f t="shared" si="6"/>
        <v>0</v>
      </c>
      <c r="N52" s="103">
        <f t="shared" si="7"/>
        <v>2028</v>
      </c>
      <c r="O52" s="105">
        <f t="shared" si="15"/>
        <v>1.1193586274006442</v>
      </c>
      <c r="P52" s="105">
        <f t="shared" si="8"/>
        <v>1.0884638958880266</v>
      </c>
      <c r="Q52" s="105">
        <f t="shared" si="8"/>
        <v>1.1234388073421875</v>
      </c>
      <c r="R52" s="105">
        <f t="shared" si="8"/>
        <v>1.1227233897097761</v>
      </c>
      <c r="T52" s="104">
        <f t="shared" si="3"/>
        <v>0.11460028439804539</v>
      </c>
      <c r="U52" s="104">
        <f t="shared" si="3"/>
        <v>0.72726584174956743</v>
      </c>
      <c r="V52" s="104">
        <f t="shared" si="3"/>
        <v>4.7209126250698341E-2</v>
      </c>
      <c r="W52" s="104">
        <f t="shared" si="3"/>
        <v>0.11092474760168899</v>
      </c>
      <c r="Y52" s="104">
        <f t="shared" si="9"/>
        <v>0.11460028439804539</v>
      </c>
      <c r="Z52" s="104">
        <f t="shared" si="4"/>
        <v>0.72726584174956743</v>
      </c>
      <c r="AA52" s="104">
        <f t="shared" si="4"/>
        <v>4.7209126250698341E-2</v>
      </c>
      <c r="AB52" s="104">
        <f t="shared" si="4"/>
        <v>0.11092474760168899</v>
      </c>
    </row>
    <row r="53" spans="1:28">
      <c r="A53" s="75">
        <f t="shared" si="10"/>
        <v>2029</v>
      </c>
      <c r="B53" s="92">
        <f t="shared" si="16"/>
        <v>94763.633667605944</v>
      </c>
      <c r="C53" s="92">
        <f>C$49*(B$18)^4</f>
        <v>10931.927567107805</v>
      </c>
      <c r="D53" s="92">
        <f>D$49*(C$18)^4</f>
        <v>68730.974130506773</v>
      </c>
      <c r="E53" s="92">
        <f>E$49*(D$18)^4</f>
        <v>4508.8287042522115</v>
      </c>
      <c r="F53" s="92">
        <f>F$49*(E$18)^4</f>
        <v>10591.903265739153</v>
      </c>
      <c r="G53" s="101">
        <f t="shared" si="5"/>
        <v>94763.633667605944</v>
      </c>
      <c r="I53" s="102">
        <f t="shared" si="2"/>
        <v>10931.927567107805</v>
      </c>
      <c r="J53" s="102">
        <f t="shared" si="2"/>
        <v>68730.974130506773</v>
      </c>
      <c r="K53" s="102">
        <f t="shared" si="2"/>
        <v>4508.8287042522115</v>
      </c>
      <c r="L53" s="102">
        <f t="shared" si="2"/>
        <v>10591.903265739153</v>
      </c>
      <c r="M53" s="44">
        <f t="shared" si="6"/>
        <v>0</v>
      </c>
      <c r="N53" s="103">
        <f t="shared" si="7"/>
        <v>2029</v>
      </c>
      <c r="O53" s="105">
        <f t="shared" si="15"/>
        <v>1.1420223336448114</v>
      </c>
      <c r="P53" s="105">
        <f t="shared" si="8"/>
        <v>1.1001898487654282</v>
      </c>
      <c r="Q53" s="105">
        <f t="shared" si="8"/>
        <v>1.1475760915890838</v>
      </c>
      <c r="R53" s="105">
        <f t="shared" si="8"/>
        <v>1.1466018103420648</v>
      </c>
      <c r="T53" s="104">
        <f t="shared" si="3"/>
        <v>0.11535994499169128</v>
      </c>
      <c r="U53" s="104">
        <f t="shared" si="3"/>
        <v>0.72528850436010461</v>
      </c>
      <c r="V53" s="104">
        <f t="shared" si="3"/>
        <v>4.7579736337120981E-2</v>
      </c>
      <c r="W53" s="104">
        <f t="shared" si="3"/>
        <v>0.11177181431108309</v>
      </c>
      <c r="Y53" s="104">
        <f t="shared" si="9"/>
        <v>0.11535994499169128</v>
      </c>
      <c r="Z53" s="104">
        <f t="shared" si="4"/>
        <v>0.72528850436010461</v>
      </c>
      <c r="AA53" s="104">
        <f t="shared" si="4"/>
        <v>4.7579736337120981E-2</v>
      </c>
      <c r="AB53" s="104">
        <f t="shared" si="4"/>
        <v>0.11177181431108309</v>
      </c>
    </row>
    <row r="54" spans="1:28">
      <c r="A54" s="75">
        <f t="shared" si="10"/>
        <v>2030</v>
      </c>
      <c r="B54" s="100">
        <f>G54</f>
        <v>96047.552157574188</v>
      </c>
      <c r="C54" s="100">
        <v>11153.266813528573</v>
      </c>
      <c r="D54" s="100">
        <v>69471.408578463132</v>
      </c>
      <c r="E54" s="100">
        <v>4605.7016975508614</v>
      </c>
      <c r="F54" s="100">
        <v>10817.175068031618</v>
      </c>
      <c r="G54" s="101">
        <f t="shared" si="5"/>
        <v>96047.552157574188</v>
      </c>
      <c r="I54" s="102">
        <f t="shared" si="2"/>
        <v>11153.266813528573</v>
      </c>
      <c r="J54" s="102">
        <f t="shared" si="2"/>
        <v>69471.408578463132</v>
      </c>
      <c r="K54" s="102">
        <f t="shared" si="2"/>
        <v>4605.7016975508614</v>
      </c>
      <c r="L54" s="102">
        <f t="shared" si="2"/>
        <v>10817.175068031618</v>
      </c>
      <c r="M54" s="44">
        <f t="shared" si="6"/>
        <v>0</v>
      </c>
      <c r="N54" s="103">
        <f t="shared" si="7"/>
        <v>2030</v>
      </c>
      <c r="O54" s="105">
        <f t="shared" si="15"/>
        <v>1.1651449130044829</v>
      </c>
      <c r="P54" s="105">
        <f t="shared" si="8"/>
        <v>1.1120421245933689</v>
      </c>
      <c r="Q54" s="105">
        <f t="shared" si="8"/>
        <v>1.172231969716669</v>
      </c>
      <c r="R54" s="105">
        <f t="shared" si="8"/>
        <v>1.1709880844466496</v>
      </c>
      <c r="T54" s="104">
        <f t="shared" si="3"/>
        <v>0.11612234318299637</v>
      </c>
      <c r="U54" s="104">
        <f t="shared" si="3"/>
        <v>0.72330222913426645</v>
      </c>
      <c r="V54" s="104">
        <f t="shared" si="3"/>
        <v>4.7952306894764124E-2</v>
      </c>
      <c r="W54" s="104">
        <f t="shared" si="3"/>
        <v>0.11262312078797304</v>
      </c>
      <c r="Y54" s="104">
        <f t="shared" si="9"/>
        <v>0.11612234318299637</v>
      </c>
      <c r="Z54" s="104">
        <f t="shared" si="4"/>
        <v>0.72330222913426645</v>
      </c>
      <c r="AA54" s="104">
        <f t="shared" si="4"/>
        <v>4.7952306894764124E-2</v>
      </c>
      <c r="AB54" s="104">
        <f t="shared" si="4"/>
        <v>0.11262312078797304</v>
      </c>
    </row>
    <row r="55" spans="1:28">
      <c r="A55" s="75">
        <f t="shared" si="10"/>
        <v>2031</v>
      </c>
      <c r="B55" s="92">
        <f t="shared" ref="B55:B58" si="17">G55</f>
        <v>97423.251202963729</v>
      </c>
      <c r="C55" s="92">
        <f>C$54*(B$19)^1</f>
        <v>11305.634339437991</v>
      </c>
      <c r="D55" s="92">
        <f>D$54*(C$19)^1</f>
        <v>70443.853964772847</v>
      </c>
      <c r="E55" s="92">
        <f>E$54*(D$19)^1</f>
        <v>4675.2105814155184</v>
      </c>
      <c r="F55" s="92">
        <f>F$54*(E$19)^1</f>
        <v>10998.552317337373</v>
      </c>
      <c r="G55" s="101">
        <f t="shared" si="5"/>
        <v>97423.251202963729</v>
      </c>
      <c r="I55" s="102">
        <f t="shared" si="2"/>
        <v>11305.634339437991</v>
      </c>
      <c r="J55" s="102">
        <f t="shared" si="2"/>
        <v>70443.853964772847</v>
      </c>
      <c r="K55" s="102">
        <f t="shared" si="2"/>
        <v>4675.2105814155184</v>
      </c>
      <c r="L55" s="102">
        <f t="shared" si="2"/>
        <v>10998.552317337373</v>
      </c>
      <c r="M55" s="44">
        <f t="shared" si="6"/>
        <v>0</v>
      </c>
      <c r="N55" s="103">
        <f t="shared" si="7"/>
        <v>2031</v>
      </c>
      <c r="O55" s="105">
        <f t="shared" si="15"/>
        <v>1.181062244732358</v>
      </c>
      <c r="P55" s="105">
        <f t="shared" si="8"/>
        <v>1.1276082438872006</v>
      </c>
      <c r="Q55" s="105">
        <f t="shared" si="8"/>
        <v>1.1899232014108108</v>
      </c>
      <c r="R55" s="105">
        <f t="shared" si="8"/>
        <v>1.1906226559859818</v>
      </c>
      <c r="T55" s="104">
        <f t="shared" si="3"/>
        <v>0.11604657204351296</v>
      </c>
      <c r="U55" s="104">
        <f t="shared" si="3"/>
        <v>0.72307024344748883</v>
      </c>
      <c r="V55" s="104">
        <f t="shared" si="3"/>
        <v>4.7988652849159819E-2</v>
      </c>
      <c r="W55" s="104">
        <f t="shared" si="3"/>
        <v>0.11289453165983834</v>
      </c>
      <c r="Y55" s="104">
        <f t="shared" ref="Y55:Y69" si="18">I55/SUM($I55:$L55)</f>
        <v>0.11604657204351296</v>
      </c>
      <c r="Z55" s="104">
        <f t="shared" ref="Z55:Z69" si="19">J55/SUM($I55:$L55)</f>
        <v>0.72307024344748883</v>
      </c>
      <c r="AA55" s="104">
        <f t="shared" si="4"/>
        <v>4.7988652849159819E-2</v>
      </c>
      <c r="AB55" s="104">
        <f t="shared" si="4"/>
        <v>0.11289453165983834</v>
      </c>
    </row>
    <row r="56" spans="1:28">
      <c r="A56" s="75">
        <f t="shared" si="10"/>
        <v>2032</v>
      </c>
      <c r="B56" s="92">
        <f t="shared" si="17"/>
        <v>98818.734123786649</v>
      </c>
      <c r="C56" s="92">
        <f>C$54*(B$19)^2</f>
        <v>11460.083395659551</v>
      </c>
      <c r="D56" s="92">
        <f>D$54*(C$19)^2</f>
        <v>71429.911426160688</v>
      </c>
      <c r="E56" s="92">
        <f>E$54*(D$19)^2</f>
        <v>4745.7684878294831</v>
      </c>
      <c r="F56" s="92">
        <f>F$54*(E$19)^2</f>
        <v>11182.970814136937</v>
      </c>
      <c r="G56" s="101">
        <f t="shared" si="5"/>
        <v>98818.734123786649</v>
      </c>
      <c r="I56" s="102">
        <f t="shared" si="2"/>
        <v>11460.083395659551</v>
      </c>
      <c r="J56" s="102">
        <f>$B56/$G56*D56</f>
        <v>71429.911426160688</v>
      </c>
      <c r="K56" s="102">
        <f>$B56/$G56*E56</f>
        <v>4745.7684878294831</v>
      </c>
      <c r="L56" s="102">
        <f>$B56/$G56*F56</f>
        <v>11182.970814136937</v>
      </c>
      <c r="M56" s="44">
        <f t="shared" si="6"/>
        <v>0</v>
      </c>
      <c r="N56" s="103">
        <f t="shared" si="7"/>
        <v>2032</v>
      </c>
      <c r="O56" s="105">
        <f t="shared" si="15"/>
        <v>1.19719702705072</v>
      </c>
      <c r="P56" s="105">
        <f t="shared" si="8"/>
        <v>1.143392254270327</v>
      </c>
      <c r="Q56" s="105">
        <f t="shared" si="8"/>
        <v>1.2078814277672221</v>
      </c>
      <c r="R56" s="105">
        <f t="shared" si="8"/>
        <v>1.2105864506870645</v>
      </c>
      <c r="T56" s="104">
        <f t="shared" si="3"/>
        <v>0.11597075693465086</v>
      </c>
      <c r="U56" s="104">
        <f>D56/$G56</f>
        <v>0.72283774994206085</v>
      </c>
      <c r="V56" s="104">
        <f>E56/$G56</f>
        <v>4.8024987669692577E-2</v>
      </c>
      <c r="W56" s="104">
        <f>F56/$G56</f>
        <v>0.11316650545359583</v>
      </c>
      <c r="Y56" s="104">
        <f t="shared" si="18"/>
        <v>0.11597075693465086</v>
      </c>
      <c r="Z56" s="104">
        <f t="shared" si="19"/>
        <v>0.72283774994206085</v>
      </c>
      <c r="AA56" s="104">
        <f t="shared" ref="AA56:AB56" si="20">K56/SUM($I56:$L56)</f>
        <v>4.8024987669692577E-2</v>
      </c>
      <c r="AB56" s="104">
        <f t="shared" si="20"/>
        <v>0.11316650545359583</v>
      </c>
    </row>
    <row r="57" spans="1:28">
      <c r="A57" s="75">
        <f t="shared" si="10"/>
        <v>2033</v>
      </c>
      <c r="B57" s="92">
        <f t="shared" si="17"/>
        <v>100234.28672110988</v>
      </c>
      <c r="C57" s="92">
        <f>C$54*(B$19)^3</f>
        <v>11616.642418491696</v>
      </c>
      <c r="D57" s="92">
        <f>D$54*(C$19)^3</f>
        <v>72429.771501437965</v>
      </c>
      <c r="E57" s="92">
        <f>E$54*(D$19)^3</f>
        <v>4817.3912485576702</v>
      </c>
      <c r="F57" s="92">
        <f>F$54*(E$19)^3</f>
        <v>11370.481552622545</v>
      </c>
      <c r="G57" s="101">
        <f t="shared" si="5"/>
        <v>100234.28672110988</v>
      </c>
      <c r="I57" s="102">
        <f t="shared" ref="I57:L69" si="21">$B57/$G57*C57</f>
        <v>11616.642418491696</v>
      </c>
      <c r="J57" s="102">
        <f t="shared" si="21"/>
        <v>72429.771501437965</v>
      </c>
      <c r="K57" s="102">
        <f t="shared" si="21"/>
        <v>4817.3912485576702</v>
      </c>
      <c r="L57" s="102">
        <f t="shared" si="21"/>
        <v>11370.481552622545</v>
      </c>
      <c r="M57" s="44">
        <f t="shared" si="6"/>
        <v>0</v>
      </c>
      <c r="N57" s="103">
        <f t="shared" si="7"/>
        <v>2033</v>
      </c>
      <c r="O57" s="105">
        <f t="shared" si="15"/>
        <v>1.213552230605661</v>
      </c>
      <c r="P57" s="105">
        <f t="shared" si="15"/>
        <v>1.1593972057339441</v>
      </c>
      <c r="Q57" s="105">
        <f t="shared" si="15"/>
        <v>1.2261106782481193</v>
      </c>
      <c r="R57" s="105">
        <f t="shared" si="15"/>
        <v>1.2308849888073681</v>
      </c>
      <c r="T57" s="104">
        <f t="shared" ref="T57:W69" si="22">C57/$G57</f>
        <v>0.11589489782886007</v>
      </c>
      <c r="U57" s="104">
        <f t="shared" si="22"/>
        <v>0.72260474804360397</v>
      </c>
      <c r="V57" s="104">
        <f t="shared" si="22"/>
        <v>4.8061311215407708E-2</v>
      </c>
      <c r="W57" s="104">
        <f t="shared" si="22"/>
        <v>0.1134390429121282</v>
      </c>
      <c r="Y57" s="104">
        <f t="shared" si="18"/>
        <v>0.11589489782886007</v>
      </c>
      <c r="Z57" s="104">
        <f t="shared" si="19"/>
        <v>0.72260474804360397</v>
      </c>
      <c r="AA57" s="104">
        <f t="shared" ref="AA57:AB69" si="23">K57/SUM($I57:$L57)</f>
        <v>4.8061311215407708E-2</v>
      </c>
      <c r="AB57" s="104">
        <f t="shared" si="23"/>
        <v>0.1134390429121282</v>
      </c>
    </row>
    <row r="58" spans="1:28">
      <c r="A58" s="75">
        <f t="shared" si="10"/>
        <v>2034</v>
      </c>
      <c r="B58" s="92">
        <f t="shared" si="17"/>
        <v>101670.19894557372</v>
      </c>
      <c r="C58" s="92">
        <f>C$54*(B$19)^4</f>
        <v>11775.340232708159</v>
      </c>
      <c r="D58" s="92">
        <f>D$54*(C$19)^4</f>
        <v>73443.627396536016</v>
      </c>
      <c r="E58" s="92">
        <f>E$54*(D$19)^4</f>
        <v>4890.0949342967342</v>
      </c>
      <c r="F58" s="92">
        <f>F$54*(E$19)^4</f>
        <v>11561.136382032806</v>
      </c>
      <c r="G58" s="101">
        <f t="shared" si="5"/>
        <v>101670.19894557372</v>
      </c>
      <c r="I58" s="102">
        <f t="shared" si="21"/>
        <v>11775.340232708159</v>
      </c>
      <c r="J58" s="102">
        <f t="shared" si="21"/>
        <v>73443.627396536016</v>
      </c>
      <c r="K58" s="102">
        <f t="shared" si="21"/>
        <v>4890.0949342967342</v>
      </c>
      <c r="L58" s="102">
        <f t="shared" si="21"/>
        <v>11561.136382032806</v>
      </c>
      <c r="M58" s="44">
        <f t="shared" si="6"/>
        <v>0</v>
      </c>
      <c r="N58" s="103">
        <f t="shared" si="7"/>
        <v>2034</v>
      </c>
      <c r="O58" s="105">
        <f t="shared" si="15"/>
        <v>1.2301308666260022</v>
      </c>
      <c r="P58" s="105">
        <f t="shared" si="15"/>
        <v>1.1756261909623489</v>
      </c>
      <c r="Q58" s="105">
        <f t="shared" si="15"/>
        <v>1.2446150431280429</v>
      </c>
      <c r="R58" s="105">
        <f t="shared" si="15"/>
        <v>1.251523883165417</v>
      </c>
      <c r="T58" s="104">
        <f t="shared" si="22"/>
        <v>0.11581899469884735</v>
      </c>
      <c r="U58" s="104">
        <f t="shared" si="22"/>
        <v>0.72237123717887086</v>
      </c>
      <c r="V58" s="104">
        <f t="shared" si="22"/>
        <v>4.809762334501292E-2</v>
      </c>
      <c r="W58" s="104">
        <f t="shared" si="22"/>
        <v>0.11371214477726885</v>
      </c>
      <c r="Y58" s="104">
        <f t="shared" si="18"/>
        <v>0.11581899469884735</v>
      </c>
      <c r="Z58" s="104">
        <f t="shared" si="19"/>
        <v>0.72237123717887086</v>
      </c>
      <c r="AA58" s="104">
        <f t="shared" si="23"/>
        <v>4.809762334501292E-2</v>
      </c>
      <c r="AB58" s="104">
        <f t="shared" si="23"/>
        <v>0.11371214477726885</v>
      </c>
    </row>
    <row r="59" spans="1:28">
      <c r="A59" s="75">
        <f t="shared" si="10"/>
        <v>2035</v>
      </c>
      <c r="B59" s="100">
        <f>G59</f>
        <v>103126.76495797567</v>
      </c>
      <c r="C59" s="100">
        <v>11936.20605686499</v>
      </c>
      <c r="D59" s="100">
        <v>74471.675021839954</v>
      </c>
      <c r="E59" s="100">
        <v>4963.8958582810055</v>
      </c>
      <c r="F59" s="100">
        <v>11754.988020989724</v>
      </c>
      <c r="G59" s="101">
        <f t="shared" si="5"/>
        <v>103126.76495797567</v>
      </c>
      <c r="I59" s="102">
        <f t="shared" si="21"/>
        <v>11936.20605686499</v>
      </c>
      <c r="J59" s="102">
        <f t="shared" si="21"/>
        <v>74471.675021839954</v>
      </c>
      <c r="K59" s="102">
        <f t="shared" si="21"/>
        <v>4963.8958582810055</v>
      </c>
      <c r="L59" s="102">
        <f t="shared" si="21"/>
        <v>11754.988020989724</v>
      </c>
      <c r="M59" s="44">
        <f t="shared" si="6"/>
        <v>0</v>
      </c>
      <c r="N59" s="103">
        <f t="shared" si="7"/>
        <v>2035</v>
      </c>
      <c r="O59" s="105">
        <f t="shared" si="15"/>
        <v>1.2469359874777024</v>
      </c>
      <c r="P59" s="105">
        <f t="shared" si="15"/>
        <v>1.1920823459305465</v>
      </c>
      <c r="Q59" s="105">
        <f t="shared" si="15"/>
        <v>1.2633986744116312</v>
      </c>
      <c r="R59" s="105">
        <f t="shared" si="15"/>
        <v>1.2725088406928087</v>
      </c>
      <c r="T59" s="104">
        <f t="shared" si="22"/>
        <v>0.11574304751757718</v>
      </c>
      <c r="U59" s="104">
        <f t="shared" si="22"/>
        <v>0.72213721677575449</v>
      </c>
      <c r="V59" s="104">
        <f t="shared" si="22"/>
        <v>4.8133923916878429E-2</v>
      </c>
      <c r="W59" s="104">
        <f t="shared" si="22"/>
        <v>0.11398581178978999</v>
      </c>
      <c r="Y59" s="104">
        <f t="shared" si="18"/>
        <v>0.11574304751757718</v>
      </c>
      <c r="Z59" s="104">
        <f t="shared" si="19"/>
        <v>0.72213721677575449</v>
      </c>
      <c r="AA59" s="104">
        <f t="shared" si="23"/>
        <v>4.8133923916878429E-2</v>
      </c>
      <c r="AB59" s="104">
        <f t="shared" si="23"/>
        <v>0.11398581178978999</v>
      </c>
    </row>
    <row r="60" spans="1:28">
      <c r="A60" s="75">
        <f t="shared" si="10"/>
        <v>2036</v>
      </c>
      <c r="B60" s="92">
        <f t="shared" ref="B60:B63" si="24">G60</f>
        <v>104604.28319074425</v>
      </c>
      <c r="C60" s="92">
        <f>C$59*(B$20)^1</f>
        <v>12099.269508680158</v>
      </c>
      <c r="D60" s="92">
        <f>D$59*(C$20)^1</f>
        <v>75514.113030045162</v>
      </c>
      <c r="E60" s="92">
        <f>E$59*(D$20)^1</f>
        <v>5038.8105799428504</v>
      </c>
      <c r="F60" s="92">
        <f>F$59*(E$20)^1</f>
        <v>11952.090072076082</v>
      </c>
      <c r="G60" s="101">
        <f t="shared" si="5"/>
        <v>104604.28319074425</v>
      </c>
      <c r="I60" s="102">
        <f t="shared" si="21"/>
        <v>12099.269508680158</v>
      </c>
      <c r="J60" s="102">
        <f t="shared" si="21"/>
        <v>75514.113030045162</v>
      </c>
      <c r="K60" s="102">
        <f t="shared" si="21"/>
        <v>5038.8105799428504</v>
      </c>
      <c r="L60" s="102">
        <f t="shared" si="21"/>
        <v>11952.090072076082</v>
      </c>
      <c r="M60" s="44">
        <f t="shared" si="6"/>
        <v>0</v>
      </c>
      <c r="N60" s="103">
        <f t="shared" si="7"/>
        <v>2036</v>
      </c>
      <c r="O60" s="105">
        <f t="shared" si="15"/>
        <v>1.263970687225846</v>
      </c>
      <c r="P60" s="105">
        <f t="shared" si="15"/>
        <v>1.2087688505102272</v>
      </c>
      <c r="Q60" s="105">
        <f t="shared" si="15"/>
        <v>1.2824657867652469</v>
      </c>
      <c r="R60" s="105">
        <f t="shared" si="15"/>
        <v>1.293845664012256</v>
      </c>
      <c r="T60" s="104">
        <f t="shared" si="22"/>
        <v>0.11566705625827321</v>
      </c>
      <c r="U60" s="104">
        <f t="shared" si="22"/>
        <v>0.72190268626329934</v>
      </c>
      <c r="V60" s="104">
        <f t="shared" si="22"/>
        <v>4.8170212789037131E-2</v>
      </c>
      <c r="W60" s="104">
        <f t="shared" si="22"/>
        <v>0.11426004468939036</v>
      </c>
      <c r="Y60" s="104">
        <f t="shared" si="18"/>
        <v>0.11566705625827321</v>
      </c>
      <c r="Z60" s="104">
        <f t="shared" si="19"/>
        <v>0.72190268626329934</v>
      </c>
      <c r="AA60" s="104">
        <f t="shared" si="23"/>
        <v>4.8170212789037131E-2</v>
      </c>
      <c r="AB60" s="104">
        <f t="shared" si="23"/>
        <v>0.11426004468939036</v>
      </c>
    </row>
    <row r="61" spans="1:28">
      <c r="A61" s="75">
        <f t="shared" si="10"/>
        <v>2037</v>
      </c>
      <c r="B61" s="92">
        <f t="shared" si="24"/>
        <v>106103.05641031549</v>
      </c>
      <c r="C61" s="92">
        <f>C$59*(B$20)^2</f>
        <v>12264.560610486555</v>
      </c>
      <c r="D61" s="92">
        <f>D$59*(C$20)^2</f>
        <v>76571.142854543359</v>
      </c>
      <c r="E61" s="92">
        <f>E$59*(D$20)^2</f>
        <v>5114.8559086282712</v>
      </c>
      <c r="F61" s="92">
        <f>F$59*(E$20)^2</f>
        <v>12152.497036657298</v>
      </c>
      <c r="G61" s="101">
        <f t="shared" si="5"/>
        <v>106103.05641031549</v>
      </c>
      <c r="I61" s="102">
        <f t="shared" si="21"/>
        <v>12264.560610486555</v>
      </c>
      <c r="J61" s="102">
        <f t="shared" si="21"/>
        <v>76571.142854543359</v>
      </c>
      <c r="K61" s="102">
        <f t="shared" si="21"/>
        <v>5114.8559086282712</v>
      </c>
      <c r="L61" s="102">
        <f t="shared" si="21"/>
        <v>12152.497036657298</v>
      </c>
      <c r="M61" s="44">
        <f t="shared" si="6"/>
        <v>0</v>
      </c>
      <c r="N61" s="103">
        <f t="shared" si="7"/>
        <v>2037</v>
      </c>
      <c r="O61" s="105">
        <f t="shared" si="15"/>
        <v>1.2812381022043011</v>
      </c>
      <c r="P61" s="105">
        <f t="shared" si="15"/>
        <v>1.2256889290842197</v>
      </c>
      <c r="Q61" s="105">
        <f t="shared" si="15"/>
        <v>1.3018206584626617</v>
      </c>
      <c r="R61" s="105">
        <f t="shared" si="15"/>
        <v>1.315540253042091</v>
      </c>
      <c r="T61" s="104">
        <f t="shared" si="22"/>
        <v>0.11559102089441955</v>
      </c>
      <c r="U61" s="104">
        <f t="shared" si="22"/>
        <v>0.72166764507171166</v>
      </c>
      <c r="V61" s="104">
        <f t="shared" si="22"/>
        <v>4.8206489819184864E-2</v>
      </c>
      <c r="W61" s="104">
        <f t="shared" si="22"/>
        <v>0.11453484421468385</v>
      </c>
      <c r="Y61" s="104">
        <f t="shared" si="18"/>
        <v>0.11559102089441955</v>
      </c>
      <c r="Z61" s="104">
        <f t="shared" si="19"/>
        <v>0.72166764507171166</v>
      </c>
      <c r="AA61" s="104">
        <f t="shared" si="23"/>
        <v>4.8206489819184864E-2</v>
      </c>
      <c r="AB61" s="104">
        <f t="shared" si="23"/>
        <v>0.11453484421468385</v>
      </c>
    </row>
    <row r="62" spans="1:28">
      <c r="A62" s="75">
        <f t="shared" si="10"/>
        <v>2038</v>
      </c>
      <c r="B62" s="92">
        <f t="shared" si="24"/>
        <v>107623.39178042623</v>
      </c>
      <c r="C62" s="92">
        <f>C$59*(B$20)^3</f>
        <v>12432.109794759563</v>
      </c>
      <c r="D62" s="92">
        <f>D$59*(C$20)^3</f>
        <v>77642.968748346306</v>
      </c>
      <c r="E62" s="92">
        <f>E$59*(D$20)^3</f>
        <v>5192.048907368584</v>
      </c>
      <c r="F62" s="92">
        <f>F$59*(E$20)^3</f>
        <v>12356.264329951773</v>
      </c>
      <c r="G62" s="101">
        <f t="shared" si="5"/>
        <v>107623.39178042623</v>
      </c>
      <c r="I62" s="102">
        <f t="shared" si="21"/>
        <v>12432.109794759563</v>
      </c>
      <c r="J62" s="102">
        <f t="shared" si="21"/>
        <v>77642.968748346306</v>
      </c>
      <c r="K62" s="102">
        <f t="shared" si="21"/>
        <v>5192.048907368584</v>
      </c>
      <c r="L62" s="102">
        <f t="shared" si="21"/>
        <v>12356.264329951773</v>
      </c>
      <c r="M62" s="44">
        <f t="shared" si="6"/>
        <v>0</v>
      </c>
      <c r="N62" s="103">
        <f t="shared" si="7"/>
        <v>2038</v>
      </c>
      <c r="O62" s="105">
        <f t="shared" si="15"/>
        <v>1.2987414115931657</v>
      </c>
      <c r="P62" s="105">
        <f t="shared" si="15"/>
        <v>1.2428458511695497</v>
      </c>
      <c r="Q62" s="105">
        <f t="shared" si="15"/>
        <v>1.3214676323450152</v>
      </c>
      <c r="R62" s="105">
        <f t="shared" si="15"/>
        <v>1.3375986066276724</v>
      </c>
      <c r="T62" s="104">
        <f t="shared" si="22"/>
        <v>0.115514941399762</v>
      </c>
      <c r="U62" s="104">
        <f t="shared" si="22"/>
        <v>0.72143209263236996</v>
      </c>
      <c r="V62" s="104">
        <f t="shared" si="22"/>
        <v>4.8242754864680604E-2</v>
      </c>
      <c r="W62" s="104">
        <f t="shared" si="22"/>
        <v>0.11481021110318734</v>
      </c>
      <c r="Y62" s="104">
        <f t="shared" si="18"/>
        <v>0.115514941399762</v>
      </c>
      <c r="Z62" s="104">
        <f t="shared" si="19"/>
        <v>0.72143209263236996</v>
      </c>
      <c r="AA62" s="104">
        <f t="shared" si="23"/>
        <v>4.8242754864680604E-2</v>
      </c>
      <c r="AB62" s="104">
        <f t="shared" si="23"/>
        <v>0.11481021110318734</v>
      </c>
    </row>
    <row r="63" spans="1:28">
      <c r="A63" s="75">
        <f t="shared" si="10"/>
        <v>2039</v>
      </c>
      <c r="B63" s="92">
        <f t="shared" si="24"/>
        <v>109165.60092633721</v>
      </c>
      <c r="C63" s="92">
        <f>C$59*(B$20)^4</f>
        <v>12601.947909720115</v>
      </c>
      <c r="D63" s="92">
        <f>D$59*(C$20)^4</f>
        <v>78729.797823554138</v>
      </c>
      <c r="E63" s="92">
        <f>E$59*(D$20)^4</f>
        <v>5270.4068967090161</v>
      </c>
      <c r="F63" s="92">
        <f>F$59*(E$20)^4</f>
        <v>12563.448296353949</v>
      </c>
      <c r="G63" s="101">
        <f t="shared" si="5"/>
        <v>109165.60092633721</v>
      </c>
      <c r="I63" s="102">
        <f t="shared" si="21"/>
        <v>12601.947909720115</v>
      </c>
      <c r="J63" s="102">
        <f t="shared" si="21"/>
        <v>78729.797823554138</v>
      </c>
      <c r="K63" s="102">
        <f t="shared" si="21"/>
        <v>5270.4068967090161</v>
      </c>
      <c r="L63" s="102">
        <f t="shared" si="21"/>
        <v>12563.448296353949</v>
      </c>
      <c r="M63" s="44">
        <f t="shared" si="6"/>
        <v>0</v>
      </c>
      <c r="N63" s="103">
        <f t="shared" si="7"/>
        <v>2039</v>
      </c>
      <c r="O63" s="105">
        <f t="shared" si="15"/>
        <v>1.3164838380041011</v>
      </c>
      <c r="P63" s="105">
        <f t="shared" si="15"/>
        <v>1.2602429320492174</v>
      </c>
      <c r="Q63" s="105">
        <f t="shared" si="15"/>
        <v>1.3414111167952603</v>
      </c>
      <c r="R63" s="105">
        <f t="shared" si="15"/>
        <v>1.3600268242001452</v>
      </c>
      <c r="T63" s="104">
        <f t="shared" si="22"/>
        <v>0.11543881774830937</v>
      </c>
      <c r="U63" s="104">
        <f t="shared" si="22"/>
        <v>0.72119602837783536</v>
      </c>
      <c r="V63" s="104">
        <f t="shared" si="22"/>
        <v>4.8279007782546651E-2</v>
      </c>
      <c r="W63" s="104">
        <f t="shared" si="22"/>
        <v>0.1150861460913087</v>
      </c>
      <c r="Y63" s="104">
        <f t="shared" si="18"/>
        <v>0.11543881774830937</v>
      </c>
      <c r="Z63" s="104">
        <f t="shared" si="19"/>
        <v>0.72119602837783536</v>
      </c>
      <c r="AA63" s="104">
        <f t="shared" si="23"/>
        <v>4.8279007782546651E-2</v>
      </c>
      <c r="AB63" s="104">
        <f t="shared" si="23"/>
        <v>0.1150861460913087</v>
      </c>
    </row>
    <row r="64" spans="1:28">
      <c r="A64" s="75">
        <f t="shared" si="10"/>
        <v>2040</v>
      </c>
      <c r="B64" s="100">
        <f>G64</f>
        <v>110729.99999999999</v>
      </c>
      <c r="C64" s="100">
        <v>12774.106225014277</v>
      </c>
      <c r="D64" s="100">
        <v>79831.840091376362</v>
      </c>
      <c r="E64" s="100">
        <v>5349.9474585950884</v>
      </c>
      <c r="F64" s="100">
        <v>12774.106225014277</v>
      </c>
      <c r="G64" s="101">
        <f t="shared" si="5"/>
        <v>110729.99999999999</v>
      </c>
      <c r="I64" s="102">
        <f t="shared" si="21"/>
        <v>12774.106225014277</v>
      </c>
      <c r="J64" s="102">
        <f t="shared" si="21"/>
        <v>79831.840091376362</v>
      </c>
      <c r="K64" s="102">
        <f t="shared" si="21"/>
        <v>5349.9474585950884</v>
      </c>
      <c r="L64" s="102">
        <f t="shared" si="21"/>
        <v>12774.106225014277</v>
      </c>
      <c r="M64" s="44">
        <f t="shared" si="6"/>
        <v>0</v>
      </c>
      <c r="N64" s="103">
        <f t="shared" si="7"/>
        <v>2040</v>
      </c>
      <c r="O64" s="105">
        <f t="shared" si="15"/>
        <v>1.3344686480736589</v>
      </c>
      <c r="P64" s="105">
        <f t="shared" si="15"/>
        <v>1.2778835334128213</v>
      </c>
      <c r="Q64" s="105">
        <f t="shared" si="15"/>
        <v>1.3616555867273148</v>
      </c>
      <c r="R64" s="105">
        <f t="shared" si="15"/>
        <v>1.3828311074630162</v>
      </c>
      <c r="T64" s="104">
        <f t="shared" si="22"/>
        <v>0.11536264991433468</v>
      </c>
      <c r="U64" s="104">
        <f t="shared" si="22"/>
        <v>0.72095945174186193</v>
      </c>
      <c r="V64" s="104">
        <f t="shared" si="22"/>
        <v>4.8315248429468882E-2</v>
      </c>
      <c r="W64" s="104">
        <f t="shared" si="22"/>
        <v>0.11536264991433468</v>
      </c>
      <c r="Y64" s="104">
        <f t="shared" si="18"/>
        <v>0.11536264991433468</v>
      </c>
      <c r="Z64" s="104">
        <f t="shared" si="19"/>
        <v>0.72095945174186193</v>
      </c>
      <c r="AA64" s="104">
        <f t="shared" si="23"/>
        <v>4.8315248429468882E-2</v>
      </c>
      <c r="AB64" s="104">
        <f t="shared" si="23"/>
        <v>0.11536264991433468</v>
      </c>
    </row>
    <row r="65" spans="1:28">
      <c r="A65" s="75">
        <f t="shared" si="10"/>
        <v>2041</v>
      </c>
      <c r="B65" s="92">
        <f t="shared" ref="B65:B68" si="25">G65</f>
        <v>112182.94256075763</v>
      </c>
      <c r="C65" s="92">
        <f>C$64*(B$21)^1</f>
        <v>12939.945197238287</v>
      </c>
      <c r="D65" s="92">
        <f>D$64*(C$21)^1</f>
        <v>80857.332005449876</v>
      </c>
      <c r="E65" s="92">
        <f>E$64*(D$21)^1</f>
        <v>5425.0727091791787</v>
      </c>
      <c r="F65" s="92">
        <f>F$64*(E$21)^1</f>
        <v>12960.59264889029</v>
      </c>
      <c r="G65" s="101">
        <f t="shared" si="5"/>
        <v>112182.94256075763</v>
      </c>
      <c r="I65" s="102">
        <f t="shared" si="21"/>
        <v>12939.945197238287</v>
      </c>
      <c r="J65" s="102">
        <f t="shared" si="21"/>
        <v>80857.332005449876</v>
      </c>
      <c r="K65" s="102">
        <f t="shared" si="21"/>
        <v>5425.0727091791787</v>
      </c>
      <c r="L65" s="102">
        <f t="shared" si="21"/>
        <v>12960.59264889029</v>
      </c>
      <c r="M65" s="44">
        <f t="shared" si="6"/>
        <v>0</v>
      </c>
      <c r="N65" s="103">
        <f t="shared" si="7"/>
        <v>2041</v>
      </c>
      <c r="O65" s="105">
        <f t="shared" si="15"/>
        <v>1.3517932972634659</v>
      </c>
      <c r="P65" s="105">
        <f t="shared" si="15"/>
        <v>1.2942987786225344</v>
      </c>
      <c r="Q65" s="105">
        <f t="shared" si="15"/>
        <v>1.3807762823890586</v>
      </c>
      <c r="R65" s="105">
        <f t="shared" si="15"/>
        <v>1.4030187607917715</v>
      </c>
      <c r="T65" s="104">
        <f t="shared" si="22"/>
        <v>0.11534681567324807</v>
      </c>
      <c r="U65" s="104">
        <f t="shared" si="22"/>
        <v>0.72076315846019123</v>
      </c>
      <c r="V65" s="104">
        <f t="shared" si="22"/>
        <v>4.8359158579219748E-2</v>
      </c>
      <c r="W65" s="104">
        <f t="shared" si="22"/>
        <v>0.11553086728734102</v>
      </c>
      <c r="Y65" s="104">
        <f t="shared" si="18"/>
        <v>0.11534681567324807</v>
      </c>
      <c r="Z65" s="104">
        <f t="shared" si="19"/>
        <v>0.72076315846019123</v>
      </c>
      <c r="AA65" s="104">
        <f t="shared" si="23"/>
        <v>4.8359158579219748E-2</v>
      </c>
      <c r="AB65" s="104">
        <f t="shared" si="23"/>
        <v>0.11553086728734102</v>
      </c>
    </row>
    <row r="66" spans="1:28">
      <c r="A66" s="75">
        <f t="shared" si="10"/>
        <v>2042</v>
      </c>
      <c r="B66" s="92">
        <f t="shared" si="25"/>
        <v>113654.98862744329</v>
      </c>
      <c r="C66" s="92">
        <f>C$64*(B$21)^2</f>
        <v>13107.937162730386</v>
      </c>
      <c r="D66" s="92">
        <f>D$64*(C$21)^2</f>
        <v>81895.997030209895</v>
      </c>
      <c r="E66" s="92">
        <f>E$64*(D$21)^2</f>
        <v>5501.2528866235798</v>
      </c>
      <c r="F66" s="92">
        <f>F$64*(E$21)^2</f>
        <v>13149.801547879431</v>
      </c>
      <c r="G66" s="101">
        <f t="shared" si="5"/>
        <v>113654.98862744329</v>
      </c>
      <c r="I66" s="102">
        <f t="shared" si="21"/>
        <v>13107.937162730386</v>
      </c>
      <c r="J66" s="102">
        <f t="shared" si="21"/>
        <v>81895.997030209895</v>
      </c>
      <c r="K66" s="102">
        <f t="shared" si="21"/>
        <v>5501.2528866235798</v>
      </c>
      <c r="L66" s="102">
        <f t="shared" si="21"/>
        <v>13149.801547879431</v>
      </c>
      <c r="M66" s="44">
        <f t="shared" si="6"/>
        <v>0</v>
      </c>
      <c r="N66" s="103">
        <f t="shared" si="7"/>
        <v>2042</v>
      </c>
      <c r="O66" s="105">
        <f t="shared" si="15"/>
        <v>1.3693428625425215</v>
      </c>
      <c r="P66" s="105">
        <f t="shared" si="15"/>
        <v>1.3109248883345668</v>
      </c>
      <c r="Q66" s="105">
        <f t="shared" si="15"/>
        <v>1.4001654754639168</v>
      </c>
      <c r="R66" s="105">
        <f t="shared" si="15"/>
        <v>1.4235011293209028</v>
      </c>
      <c r="T66" s="104">
        <f t="shared" si="22"/>
        <v>0.11533094429931011</v>
      </c>
      <c r="U66" s="104">
        <f t="shared" si="22"/>
        <v>0.72056667304469879</v>
      </c>
      <c r="V66" s="104">
        <f t="shared" si="22"/>
        <v>4.8403092139285467E-2</v>
      </c>
      <c r="W66" s="104">
        <f t="shared" si="22"/>
        <v>0.11569929051670559</v>
      </c>
      <c r="Y66" s="104">
        <f t="shared" si="18"/>
        <v>0.11533094429931011</v>
      </c>
      <c r="Z66" s="104">
        <f t="shared" si="19"/>
        <v>0.72056667304469879</v>
      </c>
      <c r="AA66" s="104">
        <f t="shared" si="23"/>
        <v>4.8403092139285467E-2</v>
      </c>
      <c r="AB66" s="104">
        <f t="shared" si="23"/>
        <v>0.11569929051670559</v>
      </c>
    </row>
    <row r="67" spans="1:28">
      <c r="A67" s="75">
        <f t="shared" si="10"/>
        <v>2043</v>
      </c>
      <c r="B67" s="92">
        <f t="shared" si="25"/>
        <v>115146.38992668677</v>
      </c>
      <c r="C67" s="92">
        <f>C$64*(B$21)^3</f>
        <v>13278.110072580421</v>
      </c>
      <c r="D67" s="92">
        <f>D$64*(C$21)^3</f>
        <v>82948.004382831859</v>
      </c>
      <c r="E67" s="92">
        <f>E$64*(D$21)^3</f>
        <v>5578.5028044653109</v>
      </c>
      <c r="F67" s="92">
        <f>F$64*(E$21)^3</f>
        <v>13341.772666809165</v>
      </c>
      <c r="G67" s="101">
        <f t="shared" si="5"/>
        <v>115146.38992668677</v>
      </c>
      <c r="I67" s="102">
        <f t="shared" si="21"/>
        <v>13278.110072580421</v>
      </c>
      <c r="J67" s="102">
        <f t="shared" si="21"/>
        <v>82948.004382831859</v>
      </c>
      <c r="K67" s="102">
        <f t="shared" si="21"/>
        <v>5578.5028044653109</v>
      </c>
      <c r="L67" s="102">
        <f t="shared" si="21"/>
        <v>13341.772666809165</v>
      </c>
      <c r="M67" s="44">
        <f t="shared" si="6"/>
        <v>0</v>
      </c>
      <c r="N67" s="103">
        <f t="shared" si="7"/>
        <v>2043</v>
      </c>
      <c r="O67" s="105">
        <f t="shared" si="15"/>
        <v>1.3871202638687801</v>
      </c>
      <c r="P67" s="105">
        <f t="shared" si="15"/>
        <v>1.3277645712406112</v>
      </c>
      <c r="Q67" s="105">
        <f t="shared" si="15"/>
        <v>1.4198269362572236</v>
      </c>
      <c r="R67" s="105">
        <f t="shared" si="15"/>
        <v>1.444282515534107</v>
      </c>
      <c r="T67" s="104">
        <f t="shared" si="22"/>
        <v>0.11531503576477334</v>
      </c>
      <c r="U67" s="104">
        <f t="shared" si="22"/>
        <v>0.72036999540884006</v>
      </c>
      <c r="V67" s="104">
        <f t="shared" si="22"/>
        <v>4.844704908262535E-2</v>
      </c>
      <c r="W67" s="104">
        <f t="shared" si="22"/>
        <v>0.11586791974376111</v>
      </c>
      <c r="Y67" s="104">
        <f t="shared" si="18"/>
        <v>0.11531503576477334</v>
      </c>
      <c r="Z67" s="104">
        <f t="shared" si="19"/>
        <v>0.72036999540884006</v>
      </c>
      <c r="AA67" s="104">
        <f t="shared" si="23"/>
        <v>4.844704908262535E-2</v>
      </c>
      <c r="AB67" s="104">
        <f t="shared" si="23"/>
        <v>0.11586791974376111</v>
      </c>
    </row>
    <row r="68" spans="1:28">
      <c r="A68" s="75">
        <f t="shared" si="10"/>
        <v>2044</v>
      </c>
      <c r="B68" s="92">
        <f t="shared" si="25"/>
        <v>116657.40150993707</v>
      </c>
      <c r="C68" s="92">
        <f>C$64*(B$21)^4</f>
        <v>13450.49224075137</v>
      </c>
      <c r="D68" s="92">
        <f>D$64*(C$21)^4</f>
        <v>84013.525454195929</v>
      </c>
      <c r="E68" s="92">
        <f>E$64*(D$21)^4</f>
        <v>5656.8374842566445</v>
      </c>
      <c r="F68" s="92">
        <f>F$64*(E$21)^4</f>
        <v>13536.546330733134</v>
      </c>
      <c r="G68" s="101">
        <f t="shared" si="5"/>
        <v>116657.40150993707</v>
      </c>
      <c r="I68" s="102">
        <f t="shared" si="21"/>
        <v>13450.49224075137</v>
      </c>
      <c r="J68" s="102">
        <f t="shared" si="21"/>
        <v>84013.525454195929</v>
      </c>
      <c r="K68" s="102">
        <f t="shared" si="21"/>
        <v>5656.8374842566445</v>
      </c>
      <c r="L68" s="102">
        <f t="shared" si="21"/>
        <v>13536.546330733134</v>
      </c>
      <c r="M68" s="44">
        <f t="shared" si="6"/>
        <v>0</v>
      </c>
      <c r="N68" s="103">
        <f t="shared" si="7"/>
        <v>2044</v>
      </c>
      <c r="O68" s="105">
        <f t="shared" si="15"/>
        <v>1.4051284591083522</v>
      </c>
      <c r="P68" s="105">
        <f t="shared" si="15"/>
        <v>1.3448205708272676</v>
      </c>
      <c r="Q68" s="105">
        <f t="shared" si="15"/>
        <v>1.4397644880178488</v>
      </c>
      <c r="R68" s="105">
        <f t="shared" si="15"/>
        <v>1.4653672847261143</v>
      </c>
      <c r="T68" s="104">
        <f t="shared" si="22"/>
        <v>0.11529909004192618</v>
      </c>
      <c r="U68" s="104">
        <f t="shared" si="22"/>
        <v>0.72017312546636414</v>
      </c>
      <c r="V68" s="104">
        <f t="shared" si="22"/>
        <v>4.8491029382090135E-2</v>
      </c>
      <c r="W68" s="104">
        <f t="shared" si="22"/>
        <v>0.11603675510961958</v>
      </c>
      <c r="Y68" s="104">
        <f t="shared" si="18"/>
        <v>0.11529909004192618</v>
      </c>
      <c r="Z68" s="104">
        <f t="shared" si="19"/>
        <v>0.72017312546636414</v>
      </c>
      <c r="AA68" s="104">
        <f t="shared" si="23"/>
        <v>4.8491029382090135E-2</v>
      </c>
      <c r="AB68" s="104">
        <f t="shared" si="23"/>
        <v>0.11603675510961958</v>
      </c>
    </row>
    <row r="69" spans="1:28">
      <c r="A69" s="75">
        <f t="shared" si="10"/>
        <v>2045</v>
      </c>
      <c r="B69" s="100">
        <f>G69</f>
        <v>118188.28179748777</v>
      </c>
      <c r="C69" s="100">
        <v>13625.112348790333</v>
      </c>
      <c r="D69" s="100">
        <v>85092.733836809581</v>
      </c>
      <c r="E69" s="100">
        <v>5736.2721584861119</v>
      </c>
      <c r="F69" s="100">
        <v>13734.163453401738</v>
      </c>
      <c r="G69" s="101">
        <f t="shared" si="5"/>
        <v>118188.28179748777</v>
      </c>
      <c r="I69" s="102">
        <f t="shared" si="21"/>
        <v>13625.112348790333</v>
      </c>
      <c r="J69" s="102">
        <f t="shared" si="21"/>
        <v>85092.733836809581</v>
      </c>
      <c r="K69" s="102">
        <f t="shared" si="21"/>
        <v>5736.2721584861119</v>
      </c>
      <c r="L69" s="102">
        <f t="shared" si="21"/>
        <v>13734.163453401738</v>
      </c>
      <c r="M69" s="44">
        <f t="shared" si="6"/>
        <v>0</v>
      </c>
      <c r="N69" s="103">
        <f t="shared" si="7"/>
        <v>2045</v>
      </c>
      <c r="O69" s="105">
        <f t="shared" si="15"/>
        <v>1.4233704445276469</v>
      </c>
      <c r="P69" s="105">
        <f t="shared" si="15"/>
        <v>1.3620956658230052</v>
      </c>
      <c r="Q69" s="105">
        <f t="shared" si="15"/>
        <v>1.4599820076816441</v>
      </c>
      <c r="R69" s="105">
        <f t="shared" si="15"/>
        <v>1.486759865919651</v>
      </c>
      <c r="T69" s="104">
        <f t="shared" si="22"/>
        <v>0.11528310710309311</v>
      </c>
      <c r="U69" s="104">
        <f t="shared" si="22"/>
        <v>0.71997606313131401</v>
      </c>
      <c r="V69" s="104">
        <f t="shared" si="22"/>
        <v>4.8535033010421877E-2</v>
      </c>
      <c r="W69" s="104">
        <f t="shared" si="22"/>
        <v>0.11620579675517098</v>
      </c>
      <c r="Y69" s="104">
        <f t="shared" si="18"/>
        <v>0.11528310710309311</v>
      </c>
      <c r="Z69" s="104">
        <f t="shared" si="19"/>
        <v>0.71997606313131401</v>
      </c>
      <c r="AA69" s="104">
        <f t="shared" si="23"/>
        <v>4.8535033010421877E-2</v>
      </c>
      <c r="AB69" s="104">
        <f t="shared" si="23"/>
        <v>0.11620579675517098</v>
      </c>
    </row>
    <row r="70" spans="1:28">
      <c r="A70" s="120" t="s">
        <v>57</v>
      </c>
      <c r="B70" s="121"/>
      <c r="C70" s="121"/>
      <c r="D70" s="121"/>
      <c r="E70" s="121"/>
      <c r="F70" s="121"/>
      <c r="G70" s="122"/>
      <c r="I70" s="123"/>
      <c r="J70" s="123"/>
      <c r="K70" s="123"/>
      <c r="L70" s="123"/>
      <c r="M70" s="44"/>
      <c r="N70" s="44"/>
      <c r="O70" s="78"/>
      <c r="P70" s="78"/>
      <c r="Q70" s="78"/>
      <c r="R70" s="78"/>
      <c r="T70" s="104"/>
      <c r="U70" s="104"/>
      <c r="V70" s="104"/>
      <c r="W70" s="104"/>
      <c r="Y70" s="104"/>
      <c r="Z70" s="104"/>
      <c r="AA70" s="104"/>
      <c r="AB70" s="104"/>
    </row>
    <row r="72" spans="1:28">
      <c r="A72" s="124" t="s">
        <v>58</v>
      </c>
    </row>
    <row r="73" spans="1:28">
      <c r="A73" s="152" t="s">
        <v>0</v>
      </c>
      <c r="B73" s="153" t="s">
        <v>52</v>
      </c>
      <c r="C73" s="153"/>
      <c r="D73" s="153"/>
      <c r="E73" s="153"/>
      <c r="F73" s="153"/>
      <c r="G73" s="153"/>
      <c r="I73" s="153" t="s">
        <v>59</v>
      </c>
      <c r="J73" s="153"/>
      <c r="K73" s="153"/>
      <c r="L73" s="153"/>
      <c r="O73" s="154" t="s">
        <v>60</v>
      </c>
      <c r="P73" s="154"/>
      <c r="Q73" s="154"/>
      <c r="R73" s="154"/>
    </row>
    <row r="74" spans="1:28">
      <c r="A74" s="152"/>
      <c r="B74" s="75" t="s">
        <v>39</v>
      </c>
      <c r="C74" s="98" t="s">
        <v>5</v>
      </c>
      <c r="D74" s="90" t="s">
        <v>6</v>
      </c>
      <c r="E74" s="98" t="s">
        <v>7</v>
      </c>
      <c r="F74" s="98" t="s">
        <v>8</v>
      </c>
      <c r="G74" s="90" t="s">
        <v>39</v>
      </c>
      <c r="H74" s="125" t="s">
        <v>56</v>
      </c>
      <c r="I74" s="90" t="s">
        <v>5</v>
      </c>
      <c r="J74" s="90" t="s">
        <v>6</v>
      </c>
      <c r="K74" s="98" t="s">
        <v>7</v>
      </c>
      <c r="L74" s="90" t="s">
        <v>8</v>
      </c>
      <c r="M74" s="99" t="s">
        <v>56</v>
      </c>
      <c r="O74" s="90" t="s">
        <v>5</v>
      </c>
      <c r="P74" s="90" t="s">
        <v>6</v>
      </c>
      <c r="Q74" s="98" t="s">
        <v>7</v>
      </c>
      <c r="R74" s="90" t="s">
        <v>8</v>
      </c>
    </row>
    <row r="75" spans="1:28">
      <c r="A75" s="75">
        <v>2010</v>
      </c>
      <c r="B75" s="92">
        <f>G75</f>
        <v>1468736</v>
      </c>
      <c r="C75" s="100">
        <v>202410</v>
      </c>
      <c r="D75" s="100">
        <v>988402</v>
      </c>
      <c r="E75" s="100">
        <v>83189</v>
      </c>
      <c r="F75" s="100">
        <v>194735</v>
      </c>
      <c r="G75" s="101">
        <f t="shared" ref="G75:G85" si="26">SUM(C75:F75)</f>
        <v>1468736</v>
      </c>
      <c r="I75" s="88"/>
      <c r="J75" s="88"/>
      <c r="K75" s="88"/>
      <c r="L75" s="88"/>
      <c r="M75" s="97"/>
      <c r="N75">
        <f>A75</f>
        <v>2010</v>
      </c>
      <c r="O75" s="75"/>
      <c r="P75" s="75"/>
      <c r="Q75" s="75"/>
      <c r="R75" s="88"/>
    </row>
    <row r="76" spans="1:28">
      <c r="A76" s="75">
        <f>A75+1</f>
        <v>2011</v>
      </c>
      <c r="B76" s="92">
        <f t="shared" ref="B76:B110" si="27">G76</f>
        <v>1495947</v>
      </c>
      <c r="C76" s="100">
        <v>205498</v>
      </c>
      <c r="D76" s="100">
        <v>1006527</v>
      </c>
      <c r="E76" s="100">
        <v>85327</v>
      </c>
      <c r="F76" s="100">
        <v>198595</v>
      </c>
      <c r="G76" s="101">
        <f t="shared" si="26"/>
        <v>1495947</v>
      </c>
      <c r="I76" s="88"/>
      <c r="J76" s="88"/>
      <c r="K76" s="88"/>
      <c r="L76" s="88"/>
      <c r="M76" s="44"/>
      <c r="N76">
        <f t="shared" ref="N76:N112" si="28">A76</f>
        <v>2011</v>
      </c>
      <c r="O76" s="75"/>
      <c r="P76" s="75"/>
      <c r="Q76" s="75"/>
      <c r="R76" s="88"/>
    </row>
    <row r="77" spans="1:28">
      <c r="A77" s="75">
        <f>A76+1</f>
        <v>2012</v>
      </c>
      <c r="B77" s="92">
        <f t="shared" si="27"/>
        <v>1529466</v>
      </c>
      <c r="C77" s="100">
        <v>209047</v>
      </c>
      <c r="D77" s="100">
        <v>1030914</v>
      </c>
      <c r="E77" s="100">
        <v>87547</v>
      </c>
      <c r="F77" s="100">
        <v>201958</v>
      </c>
      <c r="G77" s="101">
        <f t="shared" si="26"/>
        <v>1529466</v>
      </c>
      <c r="I77" s="88"/>
      <c r="J77" s="88"/>
      <c r="K77" s="88"/>
      <c r="L77" s="88"/>
      <c r="M77" s="44"/>
      <c r="N77">
        <f t="shared" si="28"/>
        <v>2012</v>
      </c>
      <c r="O77" s="75"/>
      <c r="P77" s="75"/>
      <c r="Q77" s="75"/>
      <c r="R77" s="88"/>
    </row>
    <row r="78" spans="1:28">
      <c r="A78" s="75">
        <f>A77+1</f>
        <v>2013</v>
      </c>
      <c r="B78" s="92">
        <f t="shared" si="27"/>
        <v>1556370</v>
      </c>
      <c r="C78" s="100">
        <v>212011</v>
      </c>
      <c r="D78" s="100">
        <v>1047769</v>
      </c>
      <c r="E78" s="100">
        <v>89986</v>
      </c>
      <c r="F78" s="100">
        <v>206604</v>
      </c>
      <c r="G78" s="101">
        <f t="shared" si="26"/>
        <v>1556370</v>
      </c>
      <c r="I78" s="88"/>
      <c r="J78" s="88"/>
      <c r="K78" s="88"/>
      <c r="L78" s="88"/>
      <c r="M78" s="97"/>
      <c r="N78">
        <f t="shared" si="28"/>
        <v>2013</v>
      </c>
      <c r="O78" s="75"/>
      <c r="P78" s="75"/>
      <c r="Q78" s="75"/>
      <c r="R78" s="88"/>
    </row>
    <row r="79" spans="1:28">
      <c r="A79" s="75">
        <f>A78+1</f>
        <v>2014</v>
      </c>
      <c r="B79" s="92">
        <f t="shared" si="27"/>
        <v>1574866</v>
      </c>
      <c r="C79" s="100">
        <v>215042</v>
      </c>
      <c r="D79" s="100">
        <v>1058783</v>
      </c>
      <c r="E79" s="100">
        <v>90942</v>
      </c>
      <c r="F79" s="100">
        <v>210099</v>
      </c>
      <c r="G79" s="101">
        <f t="shared" si="26"/>
        <v>1574866</v>
      </c>
      <c r="I79" s="88"/>
      <c r="J79" s="88"/>
      <c r="K79" s="88"/>
      <c r="L79" s="88"/>
      <c r="M79" s="44"/>
      <c r="N79">
        <f t="shared" si="28"/>
        <v>2014</v>
      </c>
      <c r="O79" s="75"/>
      <c r="P79" s="75"/>
      <c r="Q79" s="75"/>
      <c r="R79" s="88"/>
    </row>
    <row r="80" spans="1:28">
      <c r="A80" s="75">
        <f>A79+1</f>
        <v>2015</v>
      </c>
      <c r="B80" s="92">
        <f t="shared" si="27"/>
        <v>1597450</v>
      </c>
      <c r="C80" s="100">
        <v>218770</v>
      </c>
      <c r="D80" s="100">
        <v>1072517</v>
      </c>
      <c r="E80" s="100">
        <v>92964</v>
      </c>
      <c r="F80" s="100">
        <v>213199</v>
      </c>
      <c r="G80" s="101">
        <f t="shared" si="26"/>
        <v>1597450</v>
      </c>
      <c r="I80" s="88"/>
      <c r="J80" s="88"/>
      <c r="K80" s="88"/>
      <c r="L80" s="88"/>
      <c r="M80" s="44"/>
      <c r="N80">
        <f t="shared" si="28"/>
        <v>2015</v>
      </c>
      <c r="O80" s="75"/>
      <c r="P80" s="75"/>
      <c r="Q80" s="75"/>
      <c r="R80" s="88"/>
    </row>
    <row r="81" spans="1:20">
      <c r="A81" s="75">
        <v>2016</v>
      </c>
      <c r="B81" s="92">
        <f t="shared" si="27"/>
        <v>1611051</v>
      </c>
      <c r="C81" s="100">
        <v>221095</v>
      </c>
      <c r="D81" s="100">
        <v>1079640</v>
      </c>
      <c r="E81" s="100">
        <v>93979</v>
      </c>
      <c r="F81" s="100">
        <v>216337</v>
      </c>
      <c r="G81" s="101">
        <f t="shared" si="26"/>
        <v>1611051</v>
      </c>
      <c r="H81" s="126"/>
      <c r="I81" s="102">
        <f t="shared" ref="I81:L110" si="29">$B81/$G81*C81</f>
        <v>221095</v>
      </c>
      <c r="J81" s="102">
        <f t="shared" si="29"/>
        <v>1079640</v>
      </c>
      <c r="K81" s="102">
        <f t="shared" si="29"/>
        <v>93979</v>
      </c>
      <c r="L81" s="102">
        <f t="shared" si="29"/>
        <v>216337</v>
      </c>
      <c r="M81" s="127">
        <f>SUM(I81:L81)-B81</f>
        <v>0</v>
      </c>
      <c r="N81">
        <f t="shared" si="28"/>
        <v>2016</v>
      </c>
      <c r="O81" s="75"/>
      <c r="P81" s="75"/>
      <c r="Q81" s="75"/>
      <c r="R81" s="88"/>
    </row>
    <row r="82" spans="1:20">
      <c r="A82" s="75">
        <v>2017</v>
      </c>
      <c r="B82" s="92">
        <f t="shared" si="27"/>
        <v>1624163</v>
      </c>
      <c r="C82" s="100">
        <v>226372</v>
      </c>
      <c r="D82" s="100">
        <v>1082858</v>
      </c>
      <c r="E82" s="100">
        <v>95964</v>
      </c>
      <c r="F82" s="100">
        <v>218969</v>
      </c>
      <c r="G82" s="101">
        <f t="shared" si="26"/>
        <v>1624163</v>
      </c>
      <c r="I82" s="102">
        <f t="shared" si="29"/>
        <v>226372</v>
      </c>
      <c r="J82" s="102">
        <f t="shared" si="29"/>
        <v>1082858</v>
      </c>
      <c r="K82" s="102">
        <f t="shared" si="29"/>
        <v>95964</v>
      </c>
      <c r="L82" s="102">
        <f t="shared" si="29"/>
        <v>218969</v>
      </c>
      <c r="M82" s="43">
        <f t="shared" ref="M82:M110" si="30">SUM(I82:L82)-B82</f>
        <v>0</v>
      </c>
      <c r="N82">
        <f t="shared" si="28"/>
        <v>2017</v>
      </c>
      <c r="O82" s="105">
        <f>I82/I$87</f>
        <v>1.0056107717415215</v>
      </c>
      <c r="P82" s="105">
        <f t="shared" ref="P82:R97" si="31">J82/J$87</f>
        <v>1.0424802752668112</v>
      </c>
      <c r="Q82" s="105">
        <f t="shared" si="31"/>
        <v>1.0684596999428255</v>
      </c>
      <c r="R82" s="105">
        <f t="shared" si="31"/>
        <v>1.0421205147088761</v>
      </c>
      <c r="S82" s="83">
        <f>SUM(O82:R82)</f>
        <v>4.1586712616600341</v>
      </c>
      <c r="T82" s="128">
        <f>G82/G81-1</f>
        <v>8.1387864195485715E-3</v>
      </c>
    </row>
    <row r="83" spans="1:20">
      <c r="A83" s="75">
        <f t="shared" ref="A83:A110" si="32">A82+1</f>
        <v>2018</v>
      </c>
      <c r="B83" s="92">
        <f t="shared" si="27"/>
        <v>1634237</v>
      </c>
      <c r="C83" s="100">
        <v>226774</v>
      </c>
      <c r="D83" s="100">
        <v>1085816</v>
      </c>
      <c r="E83" s="100">
        <v>98348</v>
      </c>
      <c r="F83" s="100">
        <v>223299</v>
      </c>
      <c r="G83" s="101">
        <f t="shared" si="26"/>
        <v>1634237</v>
      </c>
      <c r="I83" s="102">
        <f t="shared" si="29"/>
        <v>226774</v>
      </c>
      <c r="J83" s="102">
        <f t="shared" si="29"/>
        <v>1085816</v>
      </c>
      <c r="K83" s="102">
        <f t="shared" si="29"/>
        <v>98348</v>
      </c>
      <c r="L83" s="102">
        <f t="shared" si="29"/>
        <v>223299</v>
      </c>
      <c r="M83" s="43">
        <f t="shared" si="30"/>
        <v>0</v>
      </c>
      <c r="N83">
        <f t="shared" si="28"/>
        <v>2018</v>
      </c>
      <c r="O83" s="105">
        <f t="shared" ref="O83:O86" si="33">I83/I$87</f>
        <v>1.007396573564362</v>
      </c>
      <c r="P83" s="105">
        <f t="shared" si="31"/>
        <v>1.0453279770469517</v>
      </c>
      <c r="Q83" s="105">
        <f t="shared" si="31"/>
        <v>1.0950030695883561</v>
      </c>
      <c r="R83" s="105">
        <f t="shared" si="31"/>
        <v>1.0627279149741622</v>
      </c>
      <c r="S83" s="83">
        <f t="shared" ref="S83:S110" si="34">SUM(O83:R83)</f>
        <v>4.210455535173832</v>
      </c>
      <c r="T83" s="128">
        <f t="shared" ref="T83:T110" si="35">G83/G82-1</f>
        <v>6.202579420907961E-3</v>
      </c>
    </row>
    <row r="84" spans="1:20">
      <c r="A84" s="75">
        <f t="shared" si="32"/>
        <v>2019</v>
      </c>
      <c r="B84" s="92">
        <f t="shared" si="27"/>
        <v>1632588</v>
      </c>
      <c r="C84" s="100">
        <v>226688</v>
      </c>
      <c r="D84" s="100">
        <v>1083883</v>
      </c>
      <c r="E84" s="100">
        <v>97463</v>
      </c>
      <c r="F84" s="100">
        <v>224554</v>
      </c>
      <c r="G84" s="101">
        <f t="shared" si="26"/>
        <v>1632588</v>
      </c>
      <c r="I84" s="106">
        <f t="shared" si="29"/>
        <v>226688</v>
      </c>
      <c r="J84" s="106">
        <f t="shared" si="29"/>
        <v>1083883</v>
      </c>
      <c r="K84" s="106">
        <f t="shared" si="29"/>
        <v>97463</v>
      </c>
      <c r="L84" s="106">
        <f t="shared" si="29"/>
        <v>224554</v>
      </c>
      <c r="M84" s="107">
        <f t="shared" si="30"/>
        <v>0</v>
      </c>
      <c r="N84">
        <f t="shared" si="28"/>
        <v>2019</v>
      </c>
      <c r="O84" s="105">
        <f t="shared" si="33"/>
        <v>1.0070145363584808</v>
      </c>
      <c r="P84" s="105">
        <f t="shared" si="31"/>
        <v>1.0434670549573604</v>
      </c>
      <c r="Q84" s="105">
        <f t="shared" si="31"/>
        <v>1.0851495116452796</v>
      </c>
      <c r="R84" s="105">
        <f t="shared" si="31"/>
        <v>1.0687007296007058</v>
      </c>
      <c r="S84" s="83">
        <f t="shared" si="34"/>
        <v>4.2043318325618264</v>
      </c>
      <c r="T84" s="128">
        <f t="shared" si="35"/>
        <v>-1.0090335734658229E-3</v>
      </c>
    </row>
    <row r="85" spans="1:20">
      <c r="A85" s="75">
        <f t="shared" si="32"/>
        <v>2020</v>
      </c>
      <c r="B85" s="92">
        <f t="shared" si="27"/>
        <v>1483658</v>
      </c>
      <c r="C85" s="100">
        <v>207903</v>
      </c>
      <c r="D85" s="100">
        <v>1016410</v>
      </c>
      <c r="E85" s="100">
        <v>78966</v>
      </c>
      <c r="F85" s="100">
        <v>180379</v>
      </c>
      <c r="G85" s="101">
        <f t="shared" si="26"/>
        <v>1483658</v>
      </c>
      <c r="I85" s="102">
        <f t="shared" si="29"/>
        <v>207903</v>
      </c>
      <c r="J85" s="102">
        <f t="shared" si="29"/>
        <v>1016410</v>
      </c>
      <c r="K85" s="102">
        <f t="shared" si="29"/>
        <v>78966</v>
      </c>
      <c r="L85" s="102">
        <f t="shared" si="29"/>
        <v>180379</v>
      </c>
      <c r="M85" s="44">
        <f t="shared" si="30"/>
        <v>0</v>
      </c>
      <c r="N85">
        <f t="shared" si="28"/>
        <v>2020</v>
      </c>
      <c r="O85" s="105">
        <f t="shared" si="33"/>
        <v>0.92356606063195767</v>
      </c>
      <c r="P85" s="105">
        <f t="shared" si="31"/>
        <v>0.97850999538622763</v>
      </c>
      <c r="Q85" s="105">
        <f t="shared" si="31"/>
        <v>0.8792045836530904</v>
      </c>
      <c r="R85" s="105">
        <f t="shared" si="31"/>
        <v>0.85846241396121081</v>
      </c>
      <c r="S85" s="83">
        <f t="shared" si="34"/>
        <v>3.6397430536324866</v>
      </c>
      <c r="T85" s="128">
        <f t="shared" si="35"/>
        <v>-9.1223260246920845E-2</v>
      </c>
    </row>
    <row r="86" spans="1:20">
      <c r="A86" s="75">
        <f t="shared" si="32"/>
        <v>2021</v>
      </c>
      <c r="B86" s="92">
        <f t="shared" si="27"/>
        <v>1559442</v>
      </c>
      <c r="C86" s="100">
        <v>224585</v>
      </c>
      <c r="D86" s="100">
        <v>1033191</v>
      </c>
      <c r="E86" s="100">
        <v>89288</v>
      </c>
      <c r="F86" s="100">
        <v>212378</v>
      </c>
      <c r="G86" s="101">
        <f t="shared" ref="G86:G89" si="36">SUM(C86:F86)</f>
        <v>1559442</v>
      </c>
      <c r="I86" s="102">
        <f t="shared" si="29"/>
        <v>224585</v>
      </c>
      <c r="J86" s="102">
        <f t="shared" si="29"/>
        <v>1033191</v>
      </c>
      <c r="K86" s="102">
        <f t="shared" si="29"/>
        <v>89288</v>
      </c>
      <c r="L86" s="102">
        <f t="shared" si="29"/>
        <v>212378</v>
      </c>
      <c r="M86" s="44">
        <f t="shared" si="30"/>
        <v>0</v>
      </c>
      <c r="N86">
        <f t="shared" si="28"/>
        <v>2021</v>
      </c>
      <c r="O86" s="105">
        <f t="shared" si="33"/>
        <v>0.99767239398675445</v>
      </c>
      <c r="P86" s="105">
        <f t="shared" si="31"/>
        <v>0.99466526366632746</v>
      </c>
      <c r="Q86" s="105">
        <f t="shared" si="31"/>
        <v>0.99412935776431799</v>
      </c>
      <c r="R86" s="105">
        <f t="shared" si="31"/>
        <v>1.0107525296861277</v>
      </c>
      <c r="S86" s="83">
        <f t="shared" si="34"/>
        <v>3.9972195451035279</v>
      </c>
      <c r="T86" s="128">
        <f t="shared" si="35"/>
        <v>5.107915705641064E-2</v>
      </c>
    </row>
    <row r="87" spans="1:20" s="114" customFormat="1">
      <c r="A87" s="110">
        <f t="shared" si="32"/>
        <v>2022</v>
      </c>
      <c r="B87" s="111">
        <f t="shared" si="27"/>
        <v>1563775.2941179911</v>
      </c>
      <c r="C87" s="112">
        <f>C$86*(C$90/C$86)^(($A87-$A$86)/4)</f>
        <v>225108.96498052415</v>
      </c>
      <c r="D87" s="112">
        <f t="shared" ref="B87:F89" si="37">D$86*(D$90/D$86)^(($A87-$A$86)/4)</f>
        <v>1038732.3632793479</v>
      </c>
      <c r="E87" s="112">
        <f t="shared" si="37"/>
        <v>89815.273337061881</v>
      </c>
      <c r="F87" s="112">
        <f t="shared" si="37"/>
        <v>210118.692521057</v>
      </c>
      <c r="G87" s="113">
        <f t="shared" si="36"/>
        <v>1563775.2941179911</v>
      </c>
      <c r="I87" s="115">
        <f t="shared" si="29"/>
        <v>225108.96498052415</v>
      </c>
      <c r="J87" s="115">
        <f t="shared" si="29"/>
        <v>1038732.3632793479</v>
      </c>
      <c r="K87" s="115">
        <f t="shared" si="29"/>
        <v>89815.273337061881</v>
      </c>
      <c r="L87" s="115">
        <f t="shared" si="29"/>
        <v>210118.692521057</v>
      </c>
      <c r="M87" s="116">
        <f t="shared" si="30"/>
        <v>0</v>
      </c>
      <c r="N87" s="114">
        <f t="shared" si="28"/>
        <v>2022</v>
      </c>
      <c r="O87" s="118">
        <f>I87/I$87</f>
        <v>1</v>
      </c>
      <c r="P87" s="118">
        <f t="shared" si="31"/>
        <v>1</v>
      </c>
      <c r="Q87" s="118">
        <f t="shared" si="31"/>
        <v>1</v>
      </c>
      <c r="R87" s="118">
        <f t="shared" si="31"/>
        <v>1</v>
      </c>
      <c r="S87" s="129">
        <f t="shared" si="34"/>
        <v>4</v>
      </c>
      <c r="T87" s="130">
        <f t="shared" si="35"/>
        <v>2.7787465760131802E-3</v>
      </c>
    </row>
    <row r="88" spans="1:20">
      <c r="A88" s="75">
        <f t="shared" si="32"/>
        <v>2023</v>
      </c>
      <c r="B88" s="100">
        <f t="shared" si="37"/>
        <v>1568257.7950992587</v>
      </c>
      <c r="C88" s="100">
        <f t="shared" si="37"/>
        <v>225634.15239042163</v>
      </c>
      <c r="D88" s="100">
        <f t="shared" si="37"/>
        <v>1044303.4468204806</v>
      </c>
      <c r="E88" s="100">
        <f t="shared" si="37"/>
        <v>90345.660386738877</v>
      </c>
      <c r="F88" s="100">
        <f t="shared" si="37"/>
        <v>207883.41987756969</v>
      </c>
      <c r="G88" s="101">
        <f t="shared" si="36"/>
        <v>1568166.6794752108</v>
      </c>
      <c r="I88" s="102">
        <f t="shared" si="29"/>
        <v>225647.26247423518</v>
      </c>
      <c r="J88" s="102">
        <f t="shared" si="29"/>
        <v>1044364.1242736479</v>
      </c>
      <c r="K88" s="102">
        <f t="shared" si="29"/>
        <v>90350.909765732766</v>
      </c>
      <c r="L88" s="102">
        <f t="shared" si="29"/>
        <v>207895.49858564278</v>
      </c>
      <c r="M88" s="44">
        <f t="shared" si="30"/>
        <v>0</v>
      </c>
      <c r="N88">
        <f t="shared" si="28"/>
        <v>2023</v>
      </c>
      <c r="O88" s="105">
        <f>I88/I$87</f>
        <v>1.0023912752375614</v>
      </c>
      <c r="P88" s="105">
        <f t="shared" si="31"/>
        <v>1.0054217632889768</v>
      </c>
      <c r="Q88" s="105">
        <f t="shared" si="31"/>
        <v>1.0059637565947246</v>
      </c>
      <c r="R88" s="105">
        <f t="shared" si="31"/>
        <v>0.98941934242622687</v>
      </c>
      <c r="S88" s="83">
        <f t="shared" si="34"/>
        <v>4.0031961375474898</v>
      </c>
      <c r="T88" s="128">
        <f t="shared" si="35"/>
        <v>2.8081946132143543E-3</v>
      </c>
    </row>
    <row r="89" spans="1:20">
      <c r="A89" s="75">
        <f t="shared" si="32"/>
        <v>2024</v>
      </c>
      <c r="B89" s="100">
        <f t="shared" si="37"/>
        <v>1572684.3640323668</v>
      </c>
      <c r="C89" s="100">
        <f t="shared" si="37"/>
        <v>226160.56508166471</v>
      </c>
      <c r="D89" s="100">
        <f t="shared" si="37"/>
        <v>1049904.410023516</v>
      </c>
      <c r="E89" s="100">
        <f t="shared" si="37"/>
        <v>90879.179536469805</v>
      </c>
      <c r="F89" s="100">
        <f t="shared" si="37"/>
        <v>205671.92638352772</v>
      </c>
      <c r="G89" s="101">
        <f t="shared" si="36"/>
        <v>1572616.0810251783</v>
      </c>
      <c r="I89" s="102">
        <f t="shared" si="29"/>
        <v>226170.38497583821</v>
      </c>
      <c r="J89" s="102">
        <f t="shared" si="29"/>
        <v>1049949.9968843155</v>
      </c>
      <c r="K89" s="102">
        <f t="shared" si="29"/>
        <v>90883.125511424805</v>
      </c>
      <c r="L89" s="102">
        <f t="shared" si="29"/>
        <v>205680.85666078812</v>
      </c>
      <c r="M89" s="44">
        <f t="shared" si="30"/>
        <v>0</v>
      </c>
      <c r="N89">
        <f t="shared" si="28"/>
        <v>2024</v>
      </c>
      <c r="O89" s="105">
        <f t="shared" ref="O89:R110" si="38">I89/I$87</f>
        <v>1.0047151387125159</v>
      </c>
      <c r="P89" s="105">
        <f t="shared" si="31"/>
        <v>1.01079934928527</v>
      </c>
      <c r="Q89" s="105">
        <f t="shared" si="31"/>
        <v>1.0118894274290682</v>
      </c>
      <c r="R89" s="105">
        <f t="shared" si="31"/>
        <v>0.97887938570803668</v>
      </c>
      <c r="S89" s="83">
        <f t="shared" si="34"/>
        <v>4.0062833011348911</v>
      </c>
      <c r="T89" s="128">
        <f t="shared" si="35"/>
        <v>2.8373269297217174E-3</v>
      </c>
    </row>
    <row r="90" spans="1:20">
      <c r="A90" s="75">
        <f t="shared" si="32"/>
        <v>2025</v>
      </c>
      <c r="B90" s="92">
        <f t="shared" si="27"/>
        <v>1577123.4274115926</v>
      </c>
      <c r="C90" s="131">
        <v>226688.20591287935</v>
      </c>
      <c r="D90" s="131">
        <v>1055535.4131434909</v>
      </c>
      <c r="E90" s="131">
        <v>91415.849282277093</v>
      </c>
      <c r="F90" s="131">
        <v>203483.95907294509</v>
      </c>
      <c r="G90" s="131">
        <v>1577123.4274115926</v>
      </c>
      <c r="I90" s="102">
        <f t="shared" si="29"/>
        <v>226688.20591287935</v>
      </c>
      <c r="J90" s="102">
        <f t="shared" si="29"/>
        <v>1055535.4131434909</v>
      </c>
      <c r="K90" s="102">
        <f t="shared" si="29"/>
        <v>91415.849282277093</v>
      </c>
      <c r="L90" s="102">
        <f t="shared" si="29"/>
        <v>203483.95907294509</v>
      </c>
      <c r="M90" s="97">
        <f t="shared" si="30"/>
        <v>0</v>
      </c>
      <c r="N90">
        <f t="shared" si="28"/>
        <v>2025</v>
      </c>
      <c r="O90" s="105">
        <f t="shared" si="38"/>
        <v>1.0070154510838421</v>
      </c>
      <c r="P90" s="105">
        <f t="shared" si="31"/>
        <v>1.0161764959465542</v>
      </c>
      <c r="Q90" s="105">
        <f t="shared" si="31"/>
        <v>1.0178207545971443</v>
      </c>
      <c r="R90" s="105">
        <f t="shared" si="31"/>
        <v>0.96842387810191133</v>
      </c>
      <c r="S90" s="83">
        <f t="shared" si="34"/>
        <v>4.009436579729452</v>
      </c>
      <c r="T90" s="128">
        <f t="shared" si="35"/>
        <v>2.8661454253195995E-3</v>
      </c>
    </row>
    <row r="91" spans="1:20">
      <c r="A91" s="75">
        <f t="shared" si="32"/>
        <v>2026</v>
      </c>
      <c r="B91" s="92">
        <f t="shared" si="27"/>
        <v>1596944.7745226137</v>
      </c>
      <c r="C91" s="131">
        <v>230651.53392516321</v>
      </c>
      <c r="D91" s="131">
        <v>1063732.0384493687</v>
      </c>
      <c r="E91" s="131">
        <v>94135.919953139193</v>
      </c>
      <c r="F91" s="131">
        <v>208425.28219494244</v>
      </c>
      <c r="G91" s="101">
        <f t="shared" ref="G91:G94" si="39">SUM(C91:F91)</f>
        <v>1596944.7745226137</v>
      </c>
      <c r="I91" s="102">
        <f t="shared" si="29"/>
        <v>230651.53392516321</v>
      </c>
      <c r="J91" s="102">
        <f t="shared" si="29"/>
        <v>1063732.0384493687</v>
      </c>
      <c r="K91" s="102">
        <f t="shared" si="29"/>
        <v>94135.919953139193</v>
      </c>
      <c r="L91" s="102">
        <f t="shared" si="29"/>
        <v>208425.28219494244</v>
      </c>
      <c r="M91" s="44">
        <f t="shared" si="30"/>
        <v>0</v>
      </c>
      <c r="N91">
        <f t="shared" si="28"/>
        <v>2026</v>
      </c>
      <c r="O91" s="105">
        <f t="shared" si="38"/>
        <v>1.024621715732728</v>
      </c>
      <c r="P91" s="105">
        <f t="shared" si="31"/>
        <v>1.0240674846127786</v>
      </c>
      <c r="Q91" s="105">
        <f t="shared" si="31"/>
        <v>1.0481059229187295</v>
      </c>
      <c r="R91" s="105">
        <f t="shared" si="31"/>
        <v>0.99194069644258398</v>
      </c>
      <c r="S91" s="83">
        <f t="shared" si="34"/>
        <v>4.0887358197068204</v>
      </c>
      <c r="T91" s="128">
        <f t="shared" si="35"/>
        <v>1.2568037964886702E-2</v>
      </c>
    </row>
    <row r="92" spans="1:20">
      <c r="A92" s="75">
        <f t="shared" si="32"/>
        <v>2027</v>
      </c>
      <c r="B92" s="92">
        <f t="shared" si="27"/>
        <v>1617099.9933403018</v>
      </c>
      <c r="C92" s="131">
        <v>234684.1552157175</v>
      </c>
      <c r="D92" s="131">
        <v>1071992.3136011623</v>
      </c>
      <c r="E92" s="131">
        <v>96936.926091019035</v>
      </c>
      <c r="F92" s="131">
        <v>213486.59843240315</v>
      </c>
      <c r="G92" s="101">
        <f t="shared" si="39"/>
        <v>1617099.9933403018</v>
      </c>
      <c r="I92" s="102">
        <f t="shared" si="29"/>
        <v>234684.1552157175</v>
      </c>
      <c r="J92" s="102">
        <f t="shared" si="29"/>
        <v>1071992.3136011623</v>
      </c>
      <c r="K92" s="102">
        <f t="shared" si="29"/>
        <v>96936.926091019035</v>
      </c>
      <c r="L92" s="102">
        <f t="shared" si="29"/>
        <v>213486.59843240315</v>
      </c>
      <c r="M92" s="44">
        <f t="shared" si="30"/>
        <v>0</v>
      </c>
      <c r="N92">
        <f t="shared" si="28"/>
        <v>2027</v>
      </c>
      <c r="O92" s="105">
        <f t="shared" si="38"/>
        <v>1.0425358014329718</v>
      </c>
      <c r="P92" s="105">
        <f t="shared" si="31"/>
        <v>1.0320197497426675</v>
      </c>
      <c r="Q92" s="105">
        <f t="shared" si="31"/>
        <v>1.0792922237984042</v>
      </c>
      <c r="R92" s="105">
        <f t="shared" si="31"/>
        <v>1.0160285877992916</v>
      </c>
      <c r="S92" s="83">
        <f t="shared" si="34"/>
        <v>4.1698763627733353</v>
      </c>
      <c r="T92" s="128">
        <f t="shared" si="35"/>
        <v>1.2621111975342547E-2</v>
      </c>
    </row>
    <row r="93" spans="1:20">
      <c r="A93" s="75">
        <f t="shared" si="32"/>
        <v>2028</v>
      </c>
      <c r="B93" s="92">
        <f t="shared" si="27"/>
        <v>1637596.1117186542</v>
      </c>
      <c r="C93" s="131">
        <v>238787.28128114282</v>
      </c>
      <c r="D93" s="131">
        <v>1080316.7328636122</v>
      </c>
      <c r="E93" s="131">
        <v>99821.275923721711</v>
      </c>
      <c r="F93" s="131">
        <v>218670.82165017747</v>
      </c>
      <c r="G93" s="101">
        <f t="shared" si="39"/>
        <v>1637596.1117186542</v>
      </c>
      <c r="I93" s="102">
        <f t="shared" si="29"/>
        <v>238787.28128114282</v>
      </c>
      <c r="J93" s="102">
        <f t="shared" si="29"/>
        <v>1080316.7328636122</v>
      </c>
      <c r="K93" s="102">
        <f t="shared" si="29"/>
        <v>99821.275923721711</v>
      </c>
      <c r="L93" s="102">
        <f t="shared" si="29"/>
        <v>218670.82165017747</v>
      </c>
      <c r="M93" s="97">
        <f t="shared" si="30"/>
        <v>0</v>
      </c>
      <c r="N93">
        <f t="shared" si="28"/>
        <v>2028</v>
      </c>
      <c r="O93" s="105">
        <f t="shared" si="38"/>
        <v>1.0607630900075529</v>
      </c>
      <c r="P93" s="105">
        <f t="shared" si="31"/>
        <v>1.0400337671707653</v>
      </c>
      <c r="Q93" s="105">
        <f t="shared" si="31"/>
        <v>1.1114064703573183</v>
      </c>
      <c r="R93" s="105">
        <f t="shared" si="31"/>
        <v>1.0407014198808773</v>
      </c>
      <c r="S93" s="83">
        <f t="shared" si="34"/>
        <v>4.2529047474165136</v>
      </c>
      <c r="T93" s="128">
        <f t="shared" si="35"/>
        <v>1.267461410102122E-2</v>
      </c>
    </row>
    <row r="94" spans="1:20">
      <c r="A94" s="75">
        <f t="shared" si="32"/>
        <v>2029</v>
      </c>
      <c r="B94" s="92">
        <f t="shared" si="27"/>
        <v>1658440.3249468892</v>
      </c>
      <c r="C94" s="131">
        <v>242962.14479937265</v>
      </c>
      <c r="D94" s="131">
        <v>1088705.7943396098</v>
      </c>
      <c r="E94" s="131">
        <v>102791.44933566186</v>
      </c>
      <c r="F94" s="131">
        <v>223980.93647224474</v>
      </c>
      <c r="G94" s="101">
        <f t="shared" si="39"/>
        <v>1658440.3249468892</v>
      </c>
      <c r="I94" s="102">
        <f t="shared" si="29"/>
        <v>242962.14479937265</v>
      </c>
      <c r="J94" s="102">
        <f t="shared" si="29"/>
        <v>1088705.7943396098</v>
      </c>
      <c r="K94" s="102">
        <f t="shared" si="29"/>
        <v>102791.44933566186</v>
      </c>
      <c r="L94" s="102">
        <f t="shared" si="29"/>
        <v>223980.93647224474</v>
      </c>
      <c r="M94" s="44">
        <f t="shared" si="30"/>
        <v>0</v>
      </c>
      <c r="N94">
        <f t="shared" si="28"/>
        <v>2029</v>
      </c>
      <c r="O94" s="105">
        <f t="shared" si="38"/>
        <v>1.0793090573731396</v>
      </c>
      <c r="P94" s="105">
        <f t="shared" si="31"/>
        <v>1.0481100164266495</v>
      </c>
      <c r="Q94" s="105">
        <f t="shared" si="31"/>
        <v>1.1444762735387168</v>
      </c>
      <c r="R94" s="105">
        <f t="shared" si="31"/>
        <v>1.0659733971540801</v>
      </c>
      <c r="S94" s="83">
        <f t="shared" si="34"/>
        <v>4.3378687444925861</v>
      </c>
      <c r="T94" s="128">
        <f t="shared" si="35"/>
        <v>1.2728543429648909E-2</v>
      </c>
    </row>
    <row r="95" spans="1:20">
      <c r="A95" s="75">
        <f t="shared" si="32"/>
        <v>2030</v>
      </c>
      <c r="B95" s="92">
        <f t="shared" si="27"/>
        <v>1679640</v>
      </c>
      <c r="C95" s="131">
        <v>247210</v>
      </c>
      <c r="D95" s="131">
        <v>1097160</v>
      </c>
      <c r="E95" s="131">
        <v>105850</v>
      </c>
      <c r="F95" s="131">
        <v>229420</v>
      </c>
      <c r="G95" s="131">
        <v>1679640</v>
      </c>
      <c r="I95" s="102">
        <f t="shared" si="29"/>
        <v>247210</v>
      </c>
      <c r="J95" s="102">
        <f t="shared" si="29"/>
        <v>1097160</v>
      </c>
      <c r="K95" s="102">
        <f t="shared" si="29"/>
        <v>105850</v>
      </c>
      <c r="L95" s="102">
        <f t="shared" si="29"/>
        <v>229420</v>
      </c>
      <c r="M95" s="44">
        <f t="shared" si="30"/>
        <v>0</v>
      </c>
      <c r="N95">
        <f t="shared" si="28"/>
        <v>2030</v>
      </c>
      <c r="O95" s="105">
        <f t="shared" si="38"/>
        <v>1.0981792751851884</v>
      </c>
      <c r="P95" s="105">
        <f t="shared" si="31"/>
        <v>1.0562489807636224</v>
      </c>
      <c r="Q95" s="105">
        <f t="shared" si="31"/>
        <v>1.1785300658470685</v>
      </c>
      <c r="R95" s="105">
        <f t="shared" si="31"/>
        <v>1.0918590690212329</v>
      </c>
      <c r="S95" s="83">
        <f t="shared" si="34"/>
        <v>4.424817390817112</v>
      </c>
      <c r="T95" s="128">
        <f t="shared" si="35"/>
        <v>1.2782898928720643E-2</v>
      </c>
    </row>
    <row r="96" spans="1:20">
      <c r="A96" s="132">
        <f t="shared" si="32"/>
        <v>2031</v>
      </c>
      <c r="B96" s="92">
        <f t="shared" si="27"/>
        <v>1685406.5612316609</v>
      </c>
      <c r="C96" s="131">
        <v>248459.20744964195</v>
      </c>
      <c r="D96" s="131">
        <v>1099545.5236622742</v>
      </c>
      <c r="E96" s="131">
        <v>106566.76006700618</v>
      </c>
      <c r="F96" s="131">
        <v>230835.07005273856</v>
      </c>
      <c r="G96" s="133">
        <f>SUM(C96:F96)</f>
        <v>1685406.5612316609</v>
      </c>
      <c r="H96" s="122"/>
      <c r="I96" s="102">
        <f t="shared" si="29"/>
        <v>248459.20744964195</v>
      </c>
      <c r="J96" s="102">
        <f t="shared" si="29"/>
        <v>1099545.5236622742</v>
      </c>
      <c r="K96" s="102">
        <f t="shared" si="29"/>
        <v>106566.76006700618</v>
      </c>
      <c r="L96" s="102">
        <f t="shared" si="29"/>
        <v>230835.07005273856</v>
      </c>
      <c r="M96" s="44">
        <f t="shared" si="30"/>
        <v>0</v>
      </c>
      <c r="N96">
        <f t="shared" si="28"/>
        <v>2031</v>
      </c>
      <c r="O96" s="105">
        <f t="shared" si="38"/>
        <v>1.1037286208087627</v>
      </c>
      <c r="P96" s="105">
        <f t="shared" si="31"/>
        <v>1.058545552764848</v>
      </c>
      <c r="Q96" s="105">
        <f t="shared" si="31"/>
        <v>1.1865104464702649</v>
      </c>
      <c r="R96" s="105">
        <f t="shared" si="31"/>
        <v>1.0985936914185084</v>
      </c>
      <c r="S96" s="83">
        <f t="shared" si="34"/>
        <v>4.4473783114623835</v>
      </c>
      <c r="T96" s="128">
        <f t="shared" si="35"/>
        <v>3.4332126120244499E-3</v>
      </c>
    </row>
    <row r="97" spans="1:20">
      <c r="A97" s="132">
        <f t="shared" si="32"/>
        <v>2032</v>
      </c>
      <c r="B97" s="92">
        <f t="shared" si="27"/>
        <v>1691198.2034814674</v>
      </c>
      <c r="C97" s="131">
        <v>249714.72742406945</v>
      </c>
      <c r="D97" s="131">
        <v>1101936.2341005367</v>
      </c>
      <c r="E97" s="131">
        <v>107288.37365308325</v>
      </c>
      <c r="F97" s="131">
        <v>232258.86830377785</v>
      </c>
      <c r="G97" s="133">
        <f t="shared" ref="G97:G99" si="40">SUM(C97:F97)</f>
        <v>1691198.2034814674</v>
      </c>
      <c r="H97" s="122"/>
      <c r="I97" s="102">
        <f t="shared" si="29"/>
        <v>249714.72742406945</v>
      </c>
      <c r="J97" s="102">
        <f>$B97/$G97*D97</f>
        <v>1101936.2341005367</v>
      </c>
      <c r="K97" s="102">
        <f>$B97/$G97*E97</f>
        <v>107288.37365308325</v>
      </c>
      <c r="L97" s="102">
        <f>$B97/$G97*F97</f>
        <v>232258.86830377785</v>
      </c>
      <c r="M97" s="44">
        <f t="shared" si="30"/>
        <v>0</v>
      </c>
      <c r="N97">
        <f t="shared" si="28"/>
        <v>2032</v>
      </c>
      <c r="O97" s="105">
        <f t="shared" si="38"/>
        <v>1.1093060085175823</v>
      </c>
      <c r="P97" s="105">
        <f t="shared" si="31"/>
        <v>1.0608471181370049</v>
      </c>
      <c r="Q97" s="105">
        <f t="shared" si="31"/>
        <v>1.1945448659989901</v>
      </c>
      <c r="R97" s="105">
        <f t="shared" si="31"/>
        <v>1.1053698531866796</v>
      </c>
      <c r="S97" s="83">
        <f t="shared" si="34"/>
        <v>4.4700678458402567</v>
      </c>
      <c r="T97" s="128">
        <f t="shared" si="35"/>
        <v>3.4363472784715299E-3</v>
      </c>
    </row>
    <row r="98" spans="1:20">
      <c r="A98" s="132">
        <f t="shared" si="32"/>
        <v>2033</v>
      </c>
      <c r="B98" s="92">
        <f t="shared" si="27"/>
        <v>1697015.0566267478</v>
      </c>
      <c r="C98" s="131">
        <v>250976.59182188287</v>
      </c>
      <c r="D98" s="131">
        <v>1104332.1425922464</v>
      </c>
      <c r="E98" s="131">
        <v>108014.87362368852</v>
      </c>
      <c r="F98" s="131">
        <v>233691.44858893007</v>
      </c>
      <c r="G98" s="133">
        <f t="shared" si="40"/>
        <v>1697015.0566267478</v>
      </c>
      <c r="H98" s="122"/>
      <c r="I98" s="102">
        <f t="shared" si="29"/>
        <v>250976.59182188287</v>
      </c>
      <c r="J98" s="102">
        <f t="shared" si="29"/>
        <v>1104332.1425922464</v>
      </c>
      <c r="K98" s="102">
        <f t="shared" si="29"/>
        <v>108014.87362368852</v>
      </c>
      <c r="L98" s="102">
        <f t="shared" si="29"/>
        <v>233691.44858893007</v>
      </c>
      <c r="M98" s="44">
        <f t="shared" si="30"/>
        <v>0</v>
      </c>
      <c r="N98">
        <f t="shared" si="28"/>
        <v>2033</v>
      </c>
      <c r="O98" s="105">
        <f t="shared" si="38"/>
        <v>1.1149115800145797</v>
      </c>
      <c r="P98" s="105">
        <f t="shared" si="38"/>
        <v>1.0631536877370371</v>
      </c>
      <c r="Q98" s="105">
        <f t="shared" si="38"/>
        <v>1.2026336903560551</v>
      </c>
      <c r="R98" s="105">
        <f t="shared" si="38"/>
        <v>1.1121878105419427</v>
      </c>
      <c r="S98" s="83">
        <f t="shared" si="34"/>
        <v>4.4928867686496146</v>
      </c>
      <c r="T98" s="128">
        <f t="shared" si="35"/>
        <v>3.4394863554763067E-3</v>
      </c>
    </row>
    <row r="99" spans="1:20">
      <c r="A99" s="132">
        <f t="shared" si="32"/>
        <v>2034</v>
      </c>
      <c r="B99" s="92">
        <f t="shared" si="27"/>
        <v>1702857.2512851506</v>
      </c>
      <c r="C99" s="131">
        <v>252244.83270287327</v>
      </c>
      <c r="D99" s="131">
        <v>1106733.2604393824</v>
      </c>
      <c r="E99" s="131">
        <v>108746.29306682672</v>
      </c>
      <c r="F99" s="131">
        <v>235132.86507606844</v>
      </c>
      <c r="G99" s="133">
        <f t="shared" si="40"/>
        <v>1702857.2512851506</v>
      </c>
      <c r="H99" s="122"/>
      <c r="I99" s="102">
        <f t="shared" si="29"/>
        <v>252244.83270287327</v>
      </c>
      <c r="J99" s="102">
        <f t="shared" si="29"/>
        <v>1106733.2604393824</v>
      </c>
      <c r="K99" s="102">
        <f t="shared" si="29"/>
        <v>108746.29306682672</v>
      </c>
      <c r="L99" s="102">
        <f t="shared" si="29"/>
        <v>235132.86507606844</v>
      </c>
      <c r="M99" s="44">
        <f t="shared" si="30"/>
        <v>0</v>
      </c>
      <c r="N99">
        <f t="shared" si="28"/>
        <v>2034</v>
      </c>
      <c r="O99" s="105">
        <f t="shared" si="38"/>
        <v>1.1205454777187431</v>
      </c>
      <c r="P99" s="105">
        <f t="shared" si="38"/>
        <v>1.065465272445494</v>
      </c>
      <c r="Q99" s="105">
        <f t="shared" si="38"/>
        <v>1.2107772879421059</v>
      </c>
      <c r="R99" s="105">
        <f t="shared" si="38"/>
        <v>1.1190478212808441</v>
      </c>
      <c r="S99" s="83">
        <f t="shared" si="34"/>
        <v>4.5158358593871872</v>
      </c>
      <c r="T99" s="128">
        <f t="shared" si="35"/>
        <v>3.442629831473365E-3</v>
      </c>
    </row>
    <row r="100" spans="1:20">
      <c r="A100" s="132">
        <f t="shared" si="32"/>
        <v>2035</v>
      </c>
      <c r="B100" s="92">
        <f t="shared" si="27"/>
        <v>1708724.9188190675</v>
      </c>
      <c r="C100" s="131">
        <v>253519.48228883711</v>
      </c>
      <c r="D100" s="131">
        <v>1109139.5989684977</v>
      </c>
      <c r="E100" s="131">
        <v>109482.66529455701</v>
      </c>
      <c r="F100" s="131">
        <v>236583.17226717543</v>
      </c>
      <c r="G100" s="131">
        <v>1708724.9188190675</v>
      </c>
      <c r="H100" s="122"/>
      <c r="I100" s="102">
        <f t="shared" si="29"/>
        <v>253519.48228883711</v>
      </c>
      <c r="J100" s="102">
        <f t="shared" si="29"/>
        <v>1109139.5989684977</v>
      </c>
      <c r="K100" s="102">
        <f t="shared" si="29"/>
        <v>109482.66529455701</v>
      </c>
      <c r="L100" s="102">
        <f t="shared" si="29"/>
        <v>236583.17226717543</v>
      </c>
      <c r="M100" s="44">
        <f t="shared" si="30"/>
        <v>0</v>
      </c>
      <c r="N100">
        <f t="shared" si="28"/>
        <v>2035</v>
      </c>
      <c r="O100" s="105">
        <f t="shared" si="38"/>
        <v>1.1262078447687367</v>
      </c>
      <c r="P100" s="105">
        <f t="shared" si="38"/>
        <v>1.0677818831665833</v>
      </c>
      <c r="Q100" s="105">
        <f t="shared" si="38"/>
        <v>1.2189760296524028</v>
      </c>
      <c r="R100" s="105">
        <f t="shared" si="38"/>
        <v>1.1259501447900275</v>
      </c>
      <c r="S100" s="83">
        <f t="shared" si="34"/>
        <v>4.5389159023777506</v>
      </c>
      <c r="T100" s="128">
        <f t="shared" si="35"/>
        <v>3.4457776948058072E-3</v>
      </c>
    </row>
    <row r="101" spans="1:20">
      <c r="A101" s="132">
        <f t="shared" si="32"/>
        <v>2036</v>
      </c>
      <c r="B101" s="92">
        <f t="shared" si="27"/>
        <v>1714618.19134008</v>
      </c>
      <c r="C101" s="131">
        <v>254800.57296439467</v>
      </c>
      <c r="D101" s="131">
        <v>1111551.1695307719</v>
      </c>
      <c r="E101" s="131">
        <v>110224.02384451017</v>
      </c>
      <c r="F101" s="131">
        <v>238042.42500040343</v>
      </c>
      <c r="G101" s="133">
        <f t="shared" ref="G101:G104" si="41">SUM(C101:F101)</f>
        <v>1714618.19134008</v>
      </c>
      <c r="H101" s="122"/>
      <c r="I101" s="102">
        <f t="shared" si="29"/>
        <v>254800.57296439467</v>
      </c>
      <c r="J101" s="102">
        <f t="shared" si="29"/>
        <v>1111551.1695307719</v>
      </c>
      <c r="K101" s="102">
        <f t="shared" si="29"/>
        <v>110224.02384451017</v>
      </c>
      <c r="L101" s="102">
        <f t="shared" si="29"/>
        <v>238042.42500040343</v>
      </c>
      <c r="M101" s="44">
        <f t="shared" si="30"/>
        <v>0</v>
      </c>
      <c r="N101">
        <f t="shared" si="28"/>
        <v>2036</v>
      </c>
      <c r="O101" s="105">
        <f t="shared" si="38"/>
        <v>1.1318988250265349</v>
      </c>
      <c r="P101" s="105">
        <f t="shared" si="38"/>
        <v>1.0701035308282205</v>
      </c>
      <c r="Q101" s="105">
        <f t="shared" si="38"/>
        <v>1.2272302888937121</v>
      </c>
      <c r="R101" s="105">
        <f t="shared" si="38"/>
        <v>1.132895042056042</v>
      </c>
      <c r="S101" s="83">
        <f t="shared" si="34"/>
        <v>4.5621276868045095</v>
      </c>
      <c r="T101" s="128">
        <f t="shared" si="35"/>
        <v>3.4489299337223667E-3</v>
      </c>
    </row>
    <row r="102" spans="1:20">
      <c r="A102" s="132">
        <f t="shared" si="32"/>
        <v>2037</v>
      </c>
      <c r="B102" s="92">
        <f t="shared" si="27"/>
        <v>1720537.2017134428</v>
      </c>
      <c r="C102" s="131">
        <v>256088.13727781305</v>
      </c>
      <c r="D102" s="131">
        <v>1113967.9835020653</v>
      </c>
      <c r="E102" s="131">
        <v>110970.40248141599</v>
      </c>
      <c r="F102" s="131">
        <v>239510.67845214839</v>
      </c>
      <c r="G102" s="133">
        <f t="shared" si="41"/>
        <v>1720537.2017134428</v>
      </c>
      <c r="H102" s="122"/>
      <c r="I102" s="102">
        <f t="shared" si="29"/>
        <v>256088.13727781305</v>
      </c>
      <c r="J102" s="102">
        <f t="shared" si="29"/>
        <v>1113967.9835020653</v>
      </c>
      <c r="K102" s="102">
        <f t="shared" si="29"/>
        <v>110970.40248141599</v>
      </c>
      <c r="L102" s="102">
        <f t="shared" si="29"/>
        <v>239510.67845214839</v>
      </c>
      <c r="M102" s="44">
        <f t="shared" si="30"/>
        <v>0</v>
      </c>
      <c r="N102">
        <f t="shared" si="28"/>
        <v>2037</v>
      </c>
      <c r="O102" s="105">
        <f t="shared" si="38"/>
        <v>1.13761856308108</v>
      </c>
      <c r="P102" s="105">
        <f t="shared" si="38"/>
        <v>1.0724302263820813</v>
      </c>
      <c r="Q102" s="105">
        <f t="shared" si="38"/>
        <v>1.235540441601312</v>
      </c>
      <c r="R102" s="105">
        <f t="shared" si="38"/>
        <v>1.1398827756752097</v>
      </c>
      <c r="S102" s="83">
        <f t="shared" si="34"/>
        <v>4.5854720067396828</v>
      </c>
      <c r="T102" s="128">
        <f t="shared" si="35"/>
        <v>3.452086536383181E-3</v>
      </c>
    </row>
    <row r="103" spans="1:20">
      <c r="A103" s="132">
        <f t="shared" si="32"/>
        <v>2038</v>
      </c>
      <c r="B103" s="92">
        <f t="shared" si="27"/>
        <v>1726482.0835625827</v>
      </c>
      <c r="C103" s="131">
        <v>257382.20794183301</v>
      </c>
      <c r="D103" s="131">
        <v>1116390.0522829725</v>
      </c>
      <c r="E103" s="131">
        <v>111721.83519864113</v>
      </c>
      <c r="F103" s="131">
        <v>240987.98813913614</v>
      </c>
      <c r="G103" s="133">
        <f t="shared" si="41"/>
        <v>1726482.0835625827</v>
      </c>
      <c r="H103" s="122"/>
      <c r="I103" s="102">
        <f t="shared" si="29"/>
        <v>257382.20794183301</v>
      </c>
      <c r="J103" s="102">
        <f t="shared" si="29"/>
        <v>1116390.0522829725</v>
      </c>
      <c r="K103" s="102">
        <f t="shared" si="29"/>
        <v>111721.83519864113</v>
      </c>
      <c r="L103" s="102">
        <f t="shared" si="29"/>
        <v>240987.98813913614</v>
      </c>
      <c r="M103" s="44">
        <f t="shared" si="30"/>
        <v>0</v>
      </c>
      <c r="N103">
        <f t="shared" si="28"/>
        <v>2038</v>
      </c>
      <c r="O103" s="105">
        <f t="shared" si="38"/>
        <v>1.1433672042519545</v>
      </c>
      <c r="P103" s="105">
        <f t="shared" si="38"/>
        <v>1.0747619808036539</v>
      </c>
      <c r="Q103" s="105">
        <f t="shared" si="38"/>
        <v>1.2439068662561159</v>
      </c>
      <c r="R103" s="105">
        <f t="shared" si="38"/>
        <v>1.1469136098635564</v>
      </c>
      <c r="S103" s="83">
        <f t="shared" si="34"/>
        <v>4.6089496611752807</v>
      </c>
      <c r="T103" s="128">
        <f t="shared" si="35"/>
        <v>3.4552474908531305E-3</v>
      </c>
    </row>
    <row r="104" spans="1:20">
      <c r="A104" s="132">
        <f t="shared" si="32"/>
        <v>2039</v>
      </c>
      <c r="B104" s="92">
        <f t="shared" si="27"/>
        <v>1732452.9712736346</v>
      </c>
      <c r="C104" s="131">
        <v>258682.81783450008</v>
      </c>
      <c r="D104" s="131">
        <v>1118817.387298876</v>
      </c>
      <c r="E104" s="131">
        <v>112478.35621973732</v>
      </c>
      <c r="F104" s="131">
        <v>242474.40992052137</v>
      </c>
      <c r="G104" s="133">
        <f t="shared" si="41"/>
        <v>1732452.9712736346</v>
      </c>
      <c r="H104" s="122"/>
      <c r="I104" s="102">
        <f t="shared" si="29"/>
        <v>258682.81783450008</v>
      </c>
      <c r="J104" s="102">
        <f t="shared" si="29"/>
        <v>1118817.387298876</v>
      </c>
      <c r="K104" s="102">
        <f t="shared" si="29"/>
        <v>112478.35621973732</v>
      </c>
      <c r="L104" s="102">
        <f t="shared" si="29"/>
        <v>242474.40992052137</v>
      </c>
      <c r="M104" s="44">
        <f t="shared" si="30"/>
        <v>0</v>
      </c>
      <c r="N104">
        <f t="shared" si="28"/>
        <v>2039</v>
      </c>
      <c r="O104" s="105">
        <f t="shared" si="38"/>
        <v>1.1491448945930725</v>
      </c>
      <c r="P104" s="105">
        <f t="shared" si="38"/>
        <v>1.0770988050922898</v>
      </c>
      <c r="Q104" s="105">
        <f t="shared" si="38"/>
        <v>1.2523299439019089</v>
      </c>
      <c r="R104" s="105">
        <f t="shared" si="38"/>
        <v>1.1539878104668</v>
      </c>
      <c r="S104" s="83">
        <f t="shared" si="34"/>
        <v>4.6325614540540716</v>
      </c>
      <c r="T104" s="128">
        <f t="shared" si="35"/>
        <v>3.4584127851073898E-3</v>
      </c>
    </row>
    <row r="105" spans="1:20">
      <c r="A105" s="132">
        <f t="shared" si="32"/>
        <v>2040</v>
      </c>
      <c r="B105" s="92">
        <f t="shared" si="27"/>
        <v>1738450</v>
      </c>
      <c r="C105" s="131">
        <v>259990</v>
      </c>
      <c r="D105" s="131">
        <v>1121250</v>
      </c>
      <c r="E105" s="131">
        <v>113240</v>
      </c>
      <c r="F105" s="131">
        <v>243970</v>
      </c>
      <c r="G105" s="131">
        <v>1738450</v>
      </c>
      <c r="H105" s="122"/>
      <c r="I105" s="102">
        <f t="shared" si="29"/>
        <v>259990</v>
      </c>
      <c r="J105" s="102">
        <f t="shared" si="29"/>
        <v>1121250</v>
      </c>
      <c r="K105" s="102">
        <f t="shared" si="29"/>
        <v>113240</v>
      </c>
      <c r="L105" s="102">
        <f t="shared" si="29"/>
        <v>243970</v>
      </c>
      <c r="M105" s="44">
        <f t="shared" si="30"/>
        <v>0</v>
      </c>
      <c r="N105">
        <f t="shared" si="28"/>
        <v>2040</v>
      </c>
      <c r="O105" s="105">
        <f t="shared" si="38"/>
        <v>1.1549517808963925</v>
      </c>
      <c r="P105" s="105">
        <f t="shared" si="38"/>
        <v>1.0794407102712564</v>
      </c>
      <c r="Q105" s="105">
        <f t="shared" si="38"/>
        <v>1.2608100581627024</v>
      </c>
      <c r="R105" s="105">
        <f t="shared" si="38"/>
        <v>1.1611056449704045</v>
      </c>
      <c r="S105" s="83">
        <f t="shared" si="34"/>
        <v>4.656308194300756</v>
      </c>
      <c r="T105" s="128">
        <f t="shared" si="35"/>
        <v>3.4615824070287626E-3</v>
      </c>
    </row>
    <row r="106" spans="1:20">
      <c r="A106" s="132">
        <f t="shared" si="32"/>
        <v>2041</v>
      </c>
      <c r="B106" s="92">
        <f t="shared" si="27"/>
        <v>1742031.2022014223</v>
      </c>
      <c r="C106" s="131">
        <v>260963.43421672937</v>
      </c>
      <c r="D106" s="131">
        <v>1122195.4048045774</v>
      </c>
      <c r="E106" s="131">
        <v>113847.14017401251</v>
      </c>
      <c r="F106" s="131">
        <v>245025.2230061031</v>
      </c>
      <c r="G106" s="133">
        <f t="shared" ref="G106:G109" si="42">SUM(C106:F106)</f>
        <v>1742031.2022014223</v>
      </c>
      <c r="H106" s="122"/>
      <c r="I106" s="102">
        <f t="shared" si="29"/>
        <v>260963.43421672937</v>
      </c>
      <c r="J106" s="102">
        <f t="shared" si="29"/>
        <v>1122195.4048045774</v>
      </c>
      <c r="K106" s="102">
        <f t="shared" si="29"/>
        <v>113847.14017401251</v>
      </c>
      <c r="L106" s="102">
        <f t="shared" si="29"/>
        <v>245025.2230061031</v>
      </c>
      <c r="M106" s="44">
        <f t="shared" si="30"/>
        <v>0</v>
      </c>
      <c r="N106">
        <f t="shared" si="28"/>
        <v>2041</v>
      </c>
      <c r="O106" s="105">
        <f t="shared" si="38"/>
        <v>1.1592760609925388</v>
      </c>
      <c r="P106" s="105">
        <f t="shared" si="38"/>
        <v>1.0803508627205289</v>
      </c>
      <c r="Q106" s="105">
        <f t="shared" si="38"/>
        <v>1.2675699348680152</v>
      </c>
      <c r="R106" s="105">
        <f t="shared" si="38"/>
        <v>1.1661276779625305</v>
      </c>
      <c r="S106" s="83">
        <f t="shared" si="34"/>
        <v>4.673324536543614</v>
      </c>
      <c r="T106" s="128">
        <f t="shared" si="35"/>
        <v>2.0599972397379318E-3</v>
      </c>
    </row>
    <row r="107" spans="1:20">
      <c r="A107" s="132">
        <f t="shared" si="32"/>
        <v>2042</v>
      </c>
      <c r="B107" s="92">
        <f t="shared" si="27"/>
        <v>1745624.6654671317</v>
      </c>
      <c r="C107" s="131">
        <v>261940.51308969283</v>
      </c>
      <c r="D107" s="131">
        <v>1123141.6067464966</v>
      </c>
      <c r="E107" s="131">
        <v>114457.53555105311</v>
      </c>
      <c r="F107" s="131">
        <v>246085.01007988912</v>
      </c>
      <c r="G107" s="133">
        <f t="shared" si="42"/>
        <v>1745624.6654671317</v>
      </c>
      <c r="H107" s="122"/>
      <c r="I107" s="102">
        <f t="shared" si="29"/>
        <v>261940.51308969283</v>
      </c>
      <c r="J107" s="102">
        <f t="shared" si="29"/>
        <v>1123141.6067464966</v>
      </c>
      <c r="K107" s="102">
        <f t="shared" si="29"/>
        <v>114457.53555105311</v>
      </c>
      <c r="L107" s="102">
        <f t="shared" si="29"/>
        <v>246085.01007988912</v>
      </c>
      <c r="M107" s="44">
        <f t="shared" si="30"/>
        <v>0</v>
      </c>
      <c r="N107">
        <f t="shared" si="28"/>
        <v>2042</v>
      </c>
      <c r="O107" s="105">
        <f t="shared" si="38"/>
        <v>1.163616531719895</v>
      </c>
      <c r="P107" s="105">
        <f t="shared" si="38"/>
        <v>1.081261782583401</v>
      </c>
      <c r="Q107" s="105">
        <f t="shared" si="38"/>
        <v>1.2743660548859312</v>
      </c>
      <c r="R107" s="105">
        <f t="shared" si="38"/>
        <v>1.171171432333312</v>
      </c>
      <c r="S107" s="83">
        <f t="shared" si="34"/>
        <v>4.6904158015225388</v>
      </c>
      <c r="T107" s="128">
        <f t="shared" si="35"/>
        <v>2.0628007472933696E-3</v>
      </c>
    </row>
    <row r="108" spans="1:20">
      <c r="A108" s="132">
        <f t="shared" si="32"/>
        <v>2043</v>
      </c>
      <c r="B108" s="92">
        <f t="shared" si="27"/>
        <v>1749230.4413087505</v>
      </c>
      <c r="C108" s="131">
        <v>262921.2502649271</v>
      </c>
      <c r="D108" s="131">
        <v>1124088.6064978803</v>
      </c>
      <c r="E108" s="131">
        <v>115071.20358400534</v>
      </c>
      <c r="F108" s="131">
        <v>247149.38096193777</v>
      </c>
      <c r="G108" s="133">
        <f t="shared" si="42"/>
        <v>1749230.4413087505</v>
      </c>
      <c r="H108" s="122"/>
      <c r="I108" s="102">
        <f t="shared" si="29"/>
        <v>262921.2502649271</v>
      </c>
      <c r="J108" s="102">
        <f t="shared" si="29"/>
        <v>1124088.6064978803</v>
      </c>
      <c r="K108" s="102">
        <f t="shared" si="29"/>
        <v>115071.20358400534</v>
      </c>
      <c r="L108" s="102">
        <f t="shared" si="29"/>
        <v>247149.38096193777</v>
      </c>
      <c r="M108" s="44">
        <f t="shared" si="30"/>
        <v>0</v>
      </c>
      <c r="N108">
        <f t="shared" si="28"/>
        <v>2043</v>
      </c>
      <c r="O108" s="105">
        <f t="shared" si="38"/>
        <v>1.1679732536981562</v>
      </c>
      <c r="P108" s="105">
        <f t="shared" si="38"/>
        <v>1.082173470506933</v>
      </c>
      <c r="Q108" s="105">
        <f t="shared" si="38"/>
        <v>1.2811986125362234</v>
      </c>
      <c r="R108" s="105">
        <f t="shared" si="38"/>
        <v>1.1762370020324096</v>
      </c>
      <c r="S108" s="83">
        <f t="shared" si="34"/>
        <v>4.7075823387737223</v>
      </c>
      <c r="T108" s="128">
        <f t="shared" si="35"/>
        <v>2.0656077523137917E-3</v>
      </c>
    </row>
    <row r="109" spans="1:20">
      <c r="A109" s="132">
        <f t="shared" si="32"/>
        <v>2044</v>
      </c>
      <c r="B109" s="92">
        <f t="shared" si="27"/>
        <v>1752848.5814685172</v>
      </c>
      <c r="C109" s="131">
        <v>263905.65943956125</v>
      </c>
      <c r="D109" s="131">
        <v>1125036.404731418</v>
      </c>
      <c r="E109" s="131">
        <v>115688.16181932698</v>
      </c>
      <c r="F109" s="131">
        <v>248218.35547821099</v>
      </c>
      <c r="G109" s="133">
        <f t="shared" si="42"/>
        <v>1752848.5814685172</v>
      </c>
      <c r="H109" s="122"/>
      <c r="I109" s="102">
        <f t="shared" si="29"/>
        <v>263905.65943956125</v>
      </c>
      <c r="J109" s="102">
        <f t="shared" si="29"/>
        <v>1125036.404731418</v>
      </c>
      <c r="K109" s="102">
        <f t="shared" si="29"/>
        <v>115688.16181932698</v>
      </c>
      <c r="L109" s="102">
        <f t="shared" si="29"/>
        <v>248218.35547821099</v>
      </c>
      <c r="M109" s="44">
        <f t="shared" si="30"/>
        <v>0</v>
      </c>
      <c r="N109">
        <f t="shared" si="28"/>
        <v>2044</v>
      </c>
      <c r="O109" s="105">
        <f t="shared" si="38"/>
        <v>1.1723462877739841</v>
      </c>
      <c r="P109" s="105">
        <f t="shared" si="38"/>
        <v>1.0830859271387314</v>
      </c>
      <c r="Q109" s="105">
        <f t="shared" si="38"/>
        <v>1.2880678031805173</v>
      </c>
      <c r="R109" s="105">
        <f t="shared" si="38"/>
        <v>1.1813244814158352</v>
      </c>
      <c r="S109" s="83">
        <f t="shared" si="34"/>
        <v>4.7248244995090678</v>
      </c>
      <c r="T109" s="128">
        <f t="shared" si="35"/>
        <v>2.0684182451453648E-3</v>
      </c>
    </row>
    <row r="110" spans="1:20">
      <c r="A110" s="132">
        <f t="shared" si="32"/>
        <v>2045</v>
      </c>
      <c r="B110" s="92">
        <f t="shared" si="27"/>
        <v>1756479.137920348</v>
      </c>
      <c r="C110" s="131">
        <v>264893.7543620083</v>
      </c>
      <c r="D110" s="131">
        <v>1125985.0021203656</v>
      </c>
      <c r="E110" s="131">
        <v>116308.42789755178</v>
      </c>
      <c r="F110" s="131">
        <v>249291.95354042217</v>
      </c>
      <c r="G110" s="131">
        <v>1756479.137920348</v>
      </c>
      <c r="H110" s="122"/>
      <c r="I110" s="102">
        <f t="shared" si="29"/>
        <v>264893.7543620083</v>
      </c>
      <c r="J110" s="102">
        <f t="shared" si="29"/>
        <v>1125985.0021203656</v>
      </c>
      <c r="K110" s="102">
        <f t="shared" si="29"/>
        <v>116308.42789755178</v>
      </c>
      <c r="L110" s="102">
        <f t="shared" si="29"/>
        <v>249291.95354042217</v>
      </c>
      <c r="M110" s="44">
        <f t="shared" si="30"/>
        <v>0</v>
      </c>
      <c r="N110">
        <f t="shared" si="28"/>
        <v>2045</v>
      </c>
      <c r="O110" s="105">
        <f t="shared" si="38"/>
        <v>1.1767356950218586</v>
      </c>
      <c r="P110" s="105">
        <f t="shared" si="38"/>
        <v>1.0839991531269473</v>
      </c>
      <c r="Q110" s="105">
        <f t="shared" si="38"/>
        <v>1.2949738232278765</v>
      </c>
      <c r="R110" s="105">
        <f t="shared" si="38"/>
        <v>1.1864339652477107</v>
      </c>
      <c r="S110" s="83">
        <f t="shared" si="34"/>
        <v>4.7421426366243935</v>
      </c>
      <c r="T110" s="128">
        <f t="shared" si="35"/>
        <v>2.0712322160703067E-3</v>
      </c>
    </row>
    <row r="111" spans="1:20" ht="15.75">
      <c r="A111" s="134" t="s">
        <v>61</v>
      </c>
      <c r="B111" s="135"/>
      <c r="C111" s="136"/>
      <c r="D111" s="136"/>
      <c r="E111" s="136"/>
      <c r="F111" s="136"/>
      <c r="G111" s="122"/>
      <c r="H111" s="122"/>
      <c r="I111" s="137"/>
      <c r="J111" s="137"/>
      <c r="K111" s="137"/>
      <c r="L111" s="137"/>
      <c r="M111" s="44"/>
      <c r="N111" t="str">
        <f t="shared" si="28"/>
        <v>Defacto Population forecast from DBEDT - Use Short-run forecast through 2025 and long-run after that - DONE</v>
      </c>
      <c r="O111" s="138"/>
      <c r="P111" s="138"/>
      <c r="Q111" s="138"/>
      <c r="R111" s="138"/>
      <c r="S111" s="83"/>
    </row>
    <row r="112" spans="1:20" ht="15.75">
      <c r="A112" s="134" t="s">
        <v>62</v>
      </c>
      <c r="B112" s="135"/>
      <c r="C112" s="136"/>
      <c r="D112" s="136"/>
      <c r="E112" s="136"/>
      <c r="F112" s="136"/>
      <c r="G112" s="122"/>
      <c r="H112" s="122"/>
      <c r="I112" s="137"/>
      <c r="J112" s="137"/>
      <c r="K112" s="137"/>
      <c r="L112" s="137"/>
      <c r="M112" s="44"/>
      <c r="N112" t="str">
        <f t="shared" si="28"/>
        <v>Note:  Interpolating between 2021 and 2025 because Short-term forecast seems inconsistent with long-run forecast.  Therefore, making use of long-run forecast for years 2022-2024</v>
      </c>
      <c r="O112" s="138"/>
      <c r="P112" s="138"/>
      <c r="Q112" s="138"/>
      <c r="R112" s="138"/>
      <c r="S112" s="83"/>
    </row>
    <row r="113" spans="1:19" ht="15.75">
      <c r="A113" s="134"/>
      <c r="B113" s="135"/>
      <c r="C113" s="136"/>
      <c r="D113" s="136"/>
      <c r="E113" s="136"/>
      <c r="F113" s="136"/>
      <c r="G113" s="122"/>
      <c r="H113" s="122"/>
      <c r="I113" s="137"/>
      <c r="J113" s="137"/>
      <c r="K113" s="137"/>
      <c r="L113" s="137"/>
      <c r="M113" s="44"/>
      <c r="O113" s="138"/>
      <c r="P113" s="138"/>
      <c r="Q113" s="138"/>
      <c r="R113" s="138"/>
      <c r="S113" s="83"/>
    </row>
    <row r="114" spans="1:19" ht="15.75">
      <c r="A114" s="139" t="s">
        <v>63</v>
      </c>
      <c r="B114" s="135"/>
      <c r="C114" s="136"/>
      <c r="D114" s="136"/>
      <c r="E114" s="136"/>
      <c r="F114" s="136"/>
      <c r="G114" s="122"/>
      <c r="H114" s="122"/>
      <c r="I114" s="137"/>
      <c r="J114" s="137"/>
      <c r="K114" s="137"/>
      <c r="L114" s="137"/>
      <c r="M114" s="44"/>
      <c r="O114" s="138"/>
      <c r="P114" s="138"/>
      <c r="Q114" s="138"/>
      <c r="R114" s="138"/>
      <c r="S114" s="83"/>
    </row>
    <row r="115" spans="1:19" ht="15.75">
      <c r="A115" s="134"/>
      <c r="B115" s="135"/>
      <c r="C115" s="136"/>
      <c r="D115" s="136"/>
      <c r="E115" s="136"/>
      <c r="F115" s="136"/>
      <c r="G115" s="122"/>
      <c r="H115" s="122"/>
      <c r="I115" s="137"/>
      <c r="J115" s="137"/>
      <c r="K115" s="137"/>
      <c r="L115" s="137"/>
      <c r="M115" s="44"/>
      <c r="O115" s="138"/>
      <c r="P115" s="138"/>
      <c r="Q115" s="138"/>
      <c r="R115" s="138"/>
      <c r="S115" s="83"/>
    </row>
    <row r="116" spans="1:19">
      <c r="A116" s="152" t="s">
        <v>0</v>
      </c>
      <c r="B116" s="153" t="s">
        <v>52</v>
      </c>
      <c r="C116" s="153"/>
      <c r="D116" s="153"/>
      <c r="E116" s="153"/>
      <c r="F116" s="153"/>
      <c r="G116" s="153"/>
      <c r="H116" s="122"/>
      <c r="I116" s="153" t="s">
        <v>53</v>
      </c>
      <c r="J116" s="153"/>
      <c r="K116" s="153"/>
      <c r="L116" s="153"/>
      <c r="O116" s="154" t="s">
        <v>60</v>
      </c>
      <c r="P116" s="154"/>
      <c r="Q116" s="154"/>
      <c r="R116" s="154"/>
      <c r="S116" s="83"/>
    </row>
    <row r="117" spans="1:19">
      <c r="A117" s="152"/>
      <c r="B117" s="75" t="s">
        <v>39</v>
      </c>
      <c r="C117" s="98" t="s">
        <v>5</v>
      </c>
      <c r="D117" s="90" t="s">
        <v>6</v>
      </c>
      <c r="E117" s="98" t="s">
        <v>7</v>
      </c>
      <c r="F117" s="98" t="s">
        <v>8</v>
      </c>
      <c r="G117" s="90" t="s">
        <v>55</v>
      </c>
      <c r="H117" s="122"/>
      <c r="I117" s="90" t="s">
        <v>5</v>
      </c>
      <c r="J117" s="90" t="s">
        <v>6</v>
      </c>
      <c r="K117" s="90" t="s">
        <v>7</v>
      </c>
      <c r="L117" s="90" t="s">
        <v>8</v>
      </c>
      <c r="M117" s="99" t="s">
        <v>56</v>
      </c>
      <c r="O117" s="90" t="s">
        <v>5</v>
      </c>
      <c r="P117" s="90" t="s">
        <v>6</v>
      </c>
      <c r="Q117" s="90" t="s">
        <v>7</v>
      </c>
      <c r="R117" s="90" t="s">
        <v>8</v>
      </c>
      <c r="S117" s="83"/>
    </row>
    <row r="118" spans="1:19">
      <c r="A118" s="75">
        <v>2019</v>
      </c>
      <c r="B118" s="92">
        <f t="shared" ref="B118:B120" si="43">G118</f>
        <v>1456371</v>
      </c>
      <c r="C118" s="100">
        <v>199843</v>
      </c>
      <c r="D118" s="100">
        <v>1018275</v>
      </c>
      <c r="E118" s="100">
        <v>73409</v>
      </c>
      <c r="F118" s="100">
        <v>164844</v>
      </c>
      <c r="G118" s="101">
        <f t="shared" ref="G118:G129" si="44">SUM(C118:F118)</f>
        <v>1456371</v>
      </c>
      <c r="H118" s="122"/>
      <c r="I118" s="106">
        <f t="shared" ref="I118:L144" si="45">$B118/$G118*C118</f>
        <v>199843</v>
      </c>
      <c r="J118" s="106">
        <f t="shared" si="45"/>
        <v>1018275</v>
      </c>
      <c r="K118" s="106">
        <f t="shared" si="45"/>
        <v>73409</v>
      </c>
      <c r="L118" s="106">
        <f t="shared" si="45"/>
        <v>164844</v>
      </c>
      <c r="M118" s="107">
        <f t="shared" ref="M118:M144" si="46">SUM(I118:L118)-B118</f>
        <v>0</v>
      </c>
      <c r="N118">
        <f>A118</f>
        <v>2019</v>
      </c>
      <c r="O118" s="105">
        <f>I118/I$121</f>
        <v>0.97879586247711459</v>
      </c>
      <c r="P118" s="105">
        <f t="shared" ref="P118:R133" si="47">J118/J$121</f>
        <v>1.0118387206049519</v>
      </c>
      <c r="Q118" s="105">
        <f t="shared" si="47"/>
        <v>0.99178013423091549</v>
      </c>
      <c r="R118" s="105">
        <f t="shared" si="47"/>
        <v>0.99597893627049605</v>
      </c>
      <c r="S118" s="83"/>
    </row>
    <row r="119" spans="1:19">
      <c r="A119" s="75">
        <f t="shared" ref="A119:A144" si="48">A118+1</f>
        <v>2020</v>
      </c>
      <c r="B119" s="92">
        <f t="shared" si="43"/>
        <v>1451911</v>
      </c>
      <c r="C119" s="100">
        <v>200746</v>
      </c>
      <c r="D119" s="100">
        <v>1013227</v>
      </c>
      <c r="E119" s="100">
        <v>73201</v>
      </c>
      <c r="F119" s="100">
        <v>164737</v>
      </c>
      <c r="G119" s="101">
        <f t="shared" si="44"/>
        <v>1451911</v>
      </c>
      <c r="H119" s="122"/>
      <c r="I119" s="102">
        <f t="shared" si="45"/>
        <v>200746</v>
      </c>
      <c r="J119" s="102">
        <f t="shared" si="45"/>
        <v>1013227</v>
      </c>
      <c r="K119" s="102">
        <f t="shared" si="45"/>
        <v>73201</v>
      </c>
      <c r="L119" s="102">
        <f t="shared" si="45"/>
        <v>164737</v>
      </c>
      <c r="M119" s="44">
        <f t="shared" si="46"/>
        <v>0</v>
      </c>
      <c r="N119">
        <f t="shared" ref="N119:N144" si="49">A119</f>
        <v>2020</v>
      </c>
      <c r="O119" s="105">
        <f>I119/I$121</f>
        <v>0.98321859764330422</v>
      </c>
      <c r="P119" s="105">
        <f t="shared" si="47"/>
        <v>1.0068226278386425</v>
      </c>
      <c r="Q119" s="105">
        <f t="shared" si="47"/>
        <v>0.98896998468630881</v>
      </c>
      <c r="R119" s="105">
        <f t="shared" si="47"/>
        <v>0.99533244779544727</v>
      </c>
      <c r="S119" s="83"/>
    </row>
    <row r="120" spans="1:19">
      <c r="A120" s="75">
        <f t="shared" si="48"/>
        <v>2021</v>
      </c>
      <c r="B120" s="92">
        <f t="shared" si="43"/>
        <v>1441553</v>
      </c>
      <c r="C120" s="100">
        <v>202906</v>
      </c>
      <c r="D120" s="100">
        <v>1000890</v>
      </c>
      <c r="E120" s="100">
        <v>73454</v>
      </c>
      <c r="F120" s="100">
        <v>164303</v>
      </c>
      <c r="G120" s="101">
        <f t="shared" si="44"/>
        <v>1441553</v>
      </c>
      <c r="H120" s="122"/>
      <c r="I120" s="102">
        <f t="shared" si="45"/>
        <v>202906</v>
      </c>
      <c r="J120" s="102">
        <f t="shared" si="45"/>
        <v>1000890</v>
      </c>
      <c r="K120" s="102">
        <f t="shared" si="45"/>
        <v>73454</v>
      </c>
      <c r="L120" s="102">
        <f t="shared" si="45"/>
        <v>164303</v>
      </c>
      <c r="M120" s="44">
        <f t="shared" si="46"/>
        <v>0</v>
      </c>
      <c r="N120">
        <f t="shared" si="49"/>
        <v>2021</v>
      </c>
      <c r="O120" s="105">
        <f>I120/I$121</f>
        <v>0.99379789770860838</v>
      </c>
      <c r="P120" s="105">
        <f t="shared" si="47"/>
        <v>0.99456360714570269</v>
      </c>
      <c r="Q120" s="105">
        <f t="shared" si="47"/>
        <v>0.99238809927662364</v>
      </c>
      <c r="R120" s="105">
        <f t="shared" si="47"/>
        <v>0.99271024220506243</v>
      </c>
      <c r="S120" s="83"/>
    </row>
    <row r="121" spans="1:19" s="114" customFormat="1">
      <c r="A121" s="110">
        <f t="shared" si="48"/>
        <v>2022</v>
      </c>
      <c r="B121" s="140">
        <f t="shared" ref="B121:F123" si="50">B$120*(B$124/B$120)^(($A121-$A$120)/4)</f>
        <v>1450060.2086260759</v>
      </c>
      <c r="C121" s="140">
        <f>C$120*(C$124/C$120)^(($A121-$A$120)/4)</f>
        <v>204169.4861361637</v>
      </c>
      <c r="D121" s="140">
        <f t="shared" si="50"/>
        <v>1006347.11658049</v>
      </c>
      <c r="E121" s="140">
        <f t="shared" si="50"/>
        <v>74016.394022888737</v>
      </c>
      <c r="F121" s="140">
        <f t="shared" si="50"/>
        <v>165507.24537205999</v>
      </c>
      <c r="G121" s="113">
        <f t="shared" si="44"/>
        <v>1450040.2421116023</v>
      </c>
      <c r="H121" s="141"/>
      <c r="I121" s="115">
        <f t="shared" si="45"/>
        <v>204172.2974740022</v>
      </c>
      <c r="J121" s="115">
        <f t="shared" si="45"/>
        <v>1006360.973605754</v>
      </c>
      <c r="K121" s="115">
        <f t="shared" si="45"/>
        <v>74017.413201087809</v>
      </c>
      <c r="L121" s="115">
        <f t="shared" si="45"/>
        <v>165509.52434523206</v>
      </c>
      <c r="M121" s="116">
        <f t="shared" si="46"/>
        <v>0</v>
      </c>
      <c r="N121" s="114">
        <f t="shared" si="49"/>
        <v>2022</v>
      </c>
      <c r="O121" s="118">
        <f>I121/I$121</f>
        <v>1</v>
      </c>
      <c r="P121" s="118">
        <f t="shared" si="47"/>
        <v>1</v>
      </c>
      <c r="Q121" s="118">
        <f t="shared" si="47"/>
        <v>1</v>
      </c>
      <c r="R121" s="118">
        <f t="shared" si="47"/>
        <v>1</v>
      </c>
      <c r="S121" s="129"/>
    </row>
    <row r="122" spans="1:19">
      <c r="A122" s="75">
        <f t="shared" si="48"/>
        <v>2023</v>
      </c>
      <c r="B122" s="131">
        <f t="shared" si="50"/>
        <v>1458617.6218569134</v>
      </c>
      <c r="C122" s="131">
        <f t="shared" si="50"/>
        <v>205440.83994118034</v>
      </c>
      <c r="D122" s="131">
        <f t="shared" si="50"/>
        <v>1011833.9868016128</v>
      </c>
      <c r="E122" s="131">
        <f t="shared" si="50"/>
        <v>74583.093965631837</v>
      </c>
      <c r="F122" s="131">
        <f t="shared" si="50"/>
        <v>166720.31716187333</v>
      </c>
      <c r="G122" s="101">
        <f t="shared" si="44"/>
        <v>1458578.2378702983</v>
      </c>
      <c r="H122" s="122"/>
      <c r="I122" s="102">
        <f t="shared" si="45"/>
        <v>205446.38717826392</v>
      </c>
      <c r="J122" s="102">
        <f t="shared" si="45"/>
        <v>1011861.3079662635</v>
      </c>
      <c r="K122" s="102">
        <f t="shared" si="45"/>
        <v>74585.107830571127</v>
      </c>
      <c r="L122" s="102">
        <f t="shared" si="45"/>
        <v>166724.81888181478</v>
      </c>
      <c r="M122" s="44">
        <f t="shared" si="46"/>
        <v>0</v>
      </c>
      <c r="N122">
        <f t="shared" si="49"/>
        <v>2023</v>
      </c>
      <c r="O122" s="105">
        <f t="shared" ref="O122:R144" si="51">I122/I$121</f>
        <v>1.0062402672645829</v>
      </c>
      <c r="P122" s="105">
        <f t="shared" si="47"/>
        <v>1.0054655680265521</v>
      </c>
      <c r="Q122" s="105">
        <f t="shared" si="47"/>
        <v>1.0076697442524913</v>
      </c>
      <c r="R122" s="105">
        <f t="shared" si="47"/>
        <v>1.0073427468382288</v>
      </c>
      <c r="S122" s="83"/>
    </row>
    <row r="123" spans="1:19">
      <c r="A123" s="75">
        <f t="shared" si="48"/>
        <v>2024</v>
      </c>
      <c r="B123" s="131">
        <f t="shared" si="50"/>
        <v>1467225.5359709333</v>
      </c>
      <c r="C123" s="131">
        <f t="shared" si="50"/>
        <v>206720.11040665454</v>
      </c>
      <c r="D123" s="131">
        <f t="shared" si="50"/>
        <v>1017350.772888074</v>
      </c>
      <c r="E123" s="131">
        <f t="shared" si="50"/>
        <v>75154.13279612195</v>
      </c>
      <c r="F123" s="131">
        <f t="shared" si="50"/>
        <v>167942.28006194552</v>
      </c>
      <c r="G123" s="101">
        <f t="shared" si="44"/>
        <v>1467167.2961527961</v>
      </c>
      <c r="H123" s="122"/>
      <c r="I123" s="102">
        <f t="shared" si="45"/>
        <v>206728.31624771096</v>
      </c>
      <c r="J123" s="102">
        <f t="shared" si="45"/>
        <v>1017391.1570515912</v>
      </c>
      <c r="K123" s="102">
        <f t="shared" si="45"/>
        <v>75157.116070788572</v>
      </c>
      <c r="L123" s="102">
        <f t="shared" si="45"/>
        <v>167948.94660084264</v>
      </c>
      <c r="M123" s="44">
        <f t="shared" si="46"/>
        <v>0</v>
      </c>
      <c r="N123">
        <f t="shared" si="49"/>
        <v>2024</v>
      </c>
      <c r="O123" s="105">
        <f t="shared" si="51"/>
        <v>1.0125189303609332</v>
      </c>
      <c r="P123" s="105">
        <f t="shared" si="47"/>
        <v>1.010960464222213</v>
      </c>
      <c r="Q123" s="105">
        <f t="shared" si="47"/>
        <v>1.0153977668282523</v>
      </c>
      <c r="R123" s="105">
        <f t="shared" si="47"/>
        <v>1.0147388633086893</v>
      </c>
      <c r="S123" s="83"/>
    </row>
    <row r="124" spans="1:19">
      <c r="A124" s="75">
        <f t="shared" si="48"/>
        <v>2025</v>
      </c>
      <c r="B124" s="142">
        <v>1475884.2489950198</v>
      </c>
      <c r="C124" s="131">
        <v>208007.34682925927</v>
      </c>
      <c r="D124" s="131">
        <v>1022897.6379490716</v>
      </c>
      <c r="E124" s="131">
        <v>75729.543734667517</v>
      </c>
      <c r="F124" s="131">
        <v>169173.19923894046</v>
      </c>
      <c r="G124" s="101">
        <f t="shared" si="44"/>
        <v>1475807.7277519389</v>
      </c>
      <c r="H124" s="122"/>
      <c r="I124" s="102">
        <f t="shared" si="45"/>
        <v>208018.13209650651</v>
      </c>
      <c r="J124" s="102">
        <f t="shared" si="45"/>
        <v>1022950.6756160579</v>
      </c>
      <c r="K124" s="102">
        <f t="shared" si="45"/>
        <v>75733.47034293467</v>
      </c>
      <c r="L124" s="102">
        <f t="shared" si="45"/>
        <v>169181.97093952063</v>
      </c>
      <c r="M124" s="97">
        <f t="shared" si="46"/>
        <v>0</v>
      </c>
      <c r="N124">
        <f t="shared" si="49"/>
        <v>2025</v>
      </c>
      <c r="O124" s="105">
        <f t="shared" si="51"/>
        <v>1.0188362215152817</v>
      </c>
      <c r="P124" s="105">
        <f t="shared" si="47"/>
        <v>1.016484842363137</v>
      </c>
      <c r="Q124" s="105">
        <f t="shared" si="47"/>
        <v>1.0231845057484614</v>
      </c>
      <c r="R124" s="105">
        <f t="shared" si="47"/>
        <v>1.0221887326956987</v>
      </c>
      <c r="S124" s="83"/>
    </row>
    <row r="125" spans="1:19">
      <c r="A125" s="75">
        <f t="shared" si="48"/>
        <v>2026</v>
      </c>
      <c r="B125" s="131">
        <f>G125</f>
        <v>1480829.5390934725</v>
      </c>
      <c r="C125" s="131">
        <v>209497.9326924411</v>
      </c>
      <c r="D125" s="131">
        <v>1025029.4294094401</v>
      </c>
      <c r="E125" s="131">
        <v>76248.763631377908</v>
      </c>
      <c r="F125" s="131">
        <v>170053.41336021337</v>
      </c>
      <c r="G125" s="101">
        <f t="shared" si="44"/>
        <v>1480829.5390934725</v>
      </c>
      <c r="H125" s="122"/>
      <c r="I125" s="102">
        <f t="shared" si="45"/>
        <v>209497.9326924411</v>
      </c>
      <c r="J125" s="102">
        <f t="shared" si="45"/>
        <v>1025029.4294094401</v>
      </c>
      <c r="K125" s="102">
        <f t="shared" si="45"/>
        <v>76248.763631377908</v>
      </c>
      <c r="L125" s="102">
        <f t="shared" si="45"/>
        <v>170053.41336021337</v>
      </c>
      <c r="M125" s="44">
        <f t="shared" si="46"/>
        <v>0</v>
      </c>
      <c r="N125">
        <f t="shared" si="49"/>
        <v>2026</v>
      </c>
      <c r="O125" s="105">
        <f t="shared" si="51"/>
        <v>1.0260840245436187</v>
      </c>
      <c r="P125" s="105">
        <f t="shared" si="47"/>
        <v>1.0185504568373689</v>
      </c>
      <c r="Q125" s="105">
        <f t="shared" si="47"/>
        <v>1.0301462903631615</v>
      </c>
      <c r="R125" s="105">
        <f t="shared" si="47"/>
        <v>1.0274539428045442</v>
      </c>
      <c r="S125" s="83"/>
    </row>
    <row r="126" spans="1:19">
      <c r="A126" s="75">
        <f t="shared" si="48"/>
        <v>2027</v>
      </c>
      <c r="B126" s="131">
        <f t="shared" ref="B126:B128" si="52">G126</f>
        <v>1485874.614496896</v>
      </c>
      <c r="C126" s="131">
        <v>210999.20013129507</v>
      </c>
      <c r="D126" s="131">
        <v>1027165.6636748967</v>
      </c>
      <c r="E126" s="131">
        <v>76771.543424105679</v>
      </c>
      <c r="F126" s="131">
        <v>170938.20726659859</v>
      </c>
      <c r="G126" s="101">
        <f t="shared" si="44"/>
        <v>1485874.614496896</v>
      </c>
      <c r="H126" s="122"/>
      <c r="I126" s="102">
        <f t="shared" si="45"/>
        <v>210999.20013129507</v>
      </c>
      <c r="J126" s="102">
        <f t="shared" si="45"/>
        <v>1027165.6636748967</v>
      </c>
      <c r="K126" s="102">
        <f t="shared" si="45"/>
        <v>76771.543424105679</v>
      </c>
      <c r="L126" s="102">
        <f t="shared" si="45"/>
        <v>170938.20726659859</v>
      </c>
      <c r="M126" s="44">
        <f t="shared" si="46"/>
        <v>0</v>
      </c>
      <c r="N126">
        <f t="shared" si="49"/>
        <v>2027</v>
      </c>
      <c r="O126" s="105">
        <f t="shared" si="51"/>
        <v>1.0334369683926496</v>
      </c>
      <c r="P126" s="105">
        <f t="shared" si="47"/>
        <v>1.0206731884629829</v>
      </c>
      <c r="Q126" s="105">
        <f t="shared" si="47"/>
        <v>1.0372092201538514</v>
      </c>
      <c r="R126" s="105">
        <f t="shared" si="47"/>
        <v>1.032799821900539</v>
      </c>
      <c r="S126" s="83"/>
    </row>
    <row r="127" spans="1:19">
      <c r="A127" s="75">
        <f t="shared" si="48"/>
        <v>2028</v>
      </c>
      <c r="B127" s="131">
        <f t="shared" si="52"/>
        <v>1490943.0880020543</v>
      </c>
      <c r="C127" s="131">
        <v>212511.2256902603</v>
      </c>
      <c r="D127" s="131">
        <v>1029306.3500045633</v>
      </c>
      <c r="E127" s="131">
        <v>77297.907520350898</v>
      </c>
      <c r="F127" s="131">
        <v>171827.6047868797</v>
      </c>
      <c r="G127" s="101">
        <f t="shared" si="44"/>
        <v>1490943.0880020543</v>
      </c>
      <c r="H127" s="122"/>
      <c r="I127" s="102">
        <f t="shared" si="45"/>
        <v>212511.2256902603</v>
      </c>
      <c r="J127" s="102">
        <f t="shared" si="45"/>
        <v>1029306.3500045633</v>
      </c>
      <c r="K127" s="102">
        <f t="shared" si="45"/>
        <v>77297.907520350898</v>
      </c>
      <c r="L127" s="102">
        <f t="shared" si="45"/>
        <v>171827.6047868797</v>
      </c>
      <c r="M127" s="97">
        <f t="shared" si="46"/>
        <v>0</v>
      </c>
      <c r="N127">
        <f t="shared" si="49"/>
        <v>2028</v>
      </c>
      <c r="O127" s="105">
        <f t="shared" si="51"/>
        <v>1.0408426036216785</v>
      </c>
      <c r="P127" s="105">
        <f t="shared" si="47"/>
        <v>1.0228003440123448</v>
      </c>
      <c r="Q127" s="105">
        <f t="shared" si="47"/>
        <v>1.0443205750834708</v>
      </c>
      <c r="R127" s="105">
        <f t="shared" si="47"/>
        <v>1.0381735157939849</v>
      </c>
      <c r="S127" s="83"/>
    </row>
    <row r="128" spans="1:19">
      <c r="A128" s="75">
        <f t="shared" si="48"/>
        <v>2029</v>
      </c>
      <c r="B128" s="131">
        <f t="shared" si="52"/>
        <v>1496035.0945079331</v>
      </c>
      <c r="C128" s="131">
        <v>214034.08646229526</v>
      </c>
      <c r="D128" s="131">
        <v>1031451.4976768584</v>
      </c>
      <c r="E128" s="131">
        <v>77827.880494957295</v>
      </c>
      <c r="F128" s="131">
        <v>172721.62987382204</v>
      </c>
      <c r="G128" s="101">
        <f t="shared" si="44"/>
        <v>1496035.0945079331</v>
      </c>
      <c r="H128" s="122"/>
      <c r="I128" s="102">
        <f t="shared" si="45"/>
        <v>214034.08646229526</v>
      </c>
      <c r="J128" s="102">
        <f t="shared" si="45"/>
        <v>1031451.4976768584</v>
      </c>
      <c r="K128" s="102">
        <f t="shared" si="45"/>
        <v>77827.880494957295</v>
      </c>
      <c r="L128" s="102">
        <f t="shared" si="45"/>
        <v>172721.62987382204</v>
      </c>
      <c r="M128" s="44">
        <f t="shared" si="46"/>
        <v>0</v>
      </c>
      <c r="N128">
        <f t="shared" si="49"/>
        <v>2029</v>
      </c>
      <c r="O128" s="105">
        <f t="shared" si="51"/>
        <v>1.0483013078184555</v>
      </c>
      <c r="P128" s="105">
        <f t="shared" si="47"/>
        <v>1.0249319327052262</v>
      </c>
      <c r="Q128" s="105">
        <f t="shared" si="47"/>
        <v>1.0514806871663747</v>
      </c>
      <c r="R128" s="105">
        <f t="shared" si="47"/>
        <v>1.0435751692062532</v>
      </c>
      <c r="S128" s="83"/>
    </row>
    <row r="129" spans="1:19">
      <c r="A129" s="75">
        <f t="shared" si="48"/>
        <v>2030</v>
      </c>
      <c r="B129" s="131">
        <v>1501150.7697784244</v>
      </c>
      <c r="C129" s="131">
        <v>215567.86009280841</v>
      </c>
      <c r="D129" s="131">
        <v>1033601.1159895385</v>
      </c>
      <c r="E129" s="131">
        <v>78361.487091259536</v>
      </c>
      <c r="F129" s="131">
        <v>173620.30660481827</v>
      </c>
      <c r="G129" s="101">
        <f t="shared" si="44"/>
        <v>1501150.7697784246</v>
      </c>
      <c r="H129" s="122"/>
      <c r="I129" s="102">
        <f t="shared" si="45"/>
        <v>215567.86009280838</v>
      </c>
      <c r="J129" s="102">
        <f t="shared" si="45"/>
        <v>1033601.1159895384</v>
      </c>
      <c r="K129" s="102">
        <f t="shared" si="45"/>
        <v>78361.487091259522</v>
      </c>
      <c r="L129" s="102">
        <f t="shared" si="45"/>
        <v>173620.30660481824</v>
      </c>
      <c r="M129" s="44">
        <f t="shared" si="46"/>
        <v>0</v>
      </c>
      <c r="N129">
        <f t="shared" si="49"/>
        <v>2030</v>
      </c>
      <c r="O129" s="105">
        <f t="shared" si="51"/>
        <v>1.0558134612765337</v>
      </c>
      <c r="P129" s="105">
        <f t="shared" si="47"/>
        <v>1.0270679637806144</v>
      </c>
      <c r="Q129" s="105">
        <f t="shared" si="47"/>
        <v>1.0586898906932871</v>
      </c>
      <c r="R129" s="105">
        <f t="shared" si="47"/>
        <v>1.049004927611707</v>
      </c>
      <c r="S129" s="83"/>
    </row>
    <row r="130" spans="1:19">
      <c r="A130" s="132">
        <f t="shared" si="48"/>
        <v>2031</v>
      </c>
      <c r="B130" s="131">
        <f t="shared" ref="B130:B133" si="53">G130</f>
        <v>1505234.5502600791</v>
      </c>
      <c r="C130" s="131">
        <v>216440.45944074311</v>
      </c>
      <c r="D130" s="131">
        <v>1035689.2690486842</v>
      </c>
      <c r="E130" s="131">
        <v>78760.201569242985</v>
      </c>
      <c r="F130" s="131">
        <v>174344.62020140878</v>
      </c>
      <c r="G130" s="143">
        <f>SUM(C130:F130)</f>
        <v>1505234.5502600791</v>
      </c>
      <c r="H130" s="122"/>
      <c r="I130" s="102">
        <f t="shared" si="45"/>
        <v>216440.45944074311</v>
      </c>
      <c r="J130" s="102">
        <f t="shared" si="45"/>
        <v>1035689.2690486842</v>
      </c>
      <c r="K130" s="102">
        <f t="shared" si="45"/>
        <v>78760.201569242985</v>
      </c>
      <c r="L130" s="102">
        <f t="shared" si="45"/>
        <v>174344.62020140878</v>
      </c>
      <c r="M130" s="44">
        <f t="shared" si="46"/>
        <v>0</v>
      </c>
      <c r="N130">
        <f t="shared" si="49"/>
        <v>2031</v>
      </c>
      <c r="O130" s="105">
        <f t="shared" si="51"/>
        <v>1.0600872993962516</v>
      </c>
      <c r="P130" s="105">
        <f t="shared" si="47"/>
        <v>1.0291429181100376</v>
      </c>
      <c r="Q130" s="105">
        <f t="shared" si="47"/>
        <v>1.0640766566006588</v>
      </c>
      <c r="R130" s="105">
        <f t="shared" si="47"/>
        <v>1.0533811929623327</v>
      </c>
      <c r="S130" s="83"/>
    </row>
    <row r="131" spans="1:19">
      <c r="A131" s="132">
        <f t="shared" si="48"/>
        <v>2032</v>
      </c>
      <c r="B131" s="131">
        <f t="shared" si="53"/>
        <v>1509331.1320042454</v>
      </c>
      <c r="C131" s="131">
        <v>217316.5909925123</v>
      </c>
      <c r="D131" s="131">
        <v>1037781.6407402705</v>
      </c>
      <c r="E131" s="131">
        <v>79160.944763638719</v>
      </c>
      <c r="F131" s="131">
        <v>175071.95550782382</v>
      </c>
      <c r="G131" s="143">
        <f t="shared" ref="G131:G144" si="54">SUM(C131:F131)</f>
        <v>1509331.1320042454</v>
      </c>
      <c r="H131" s="122"/>
      <c r="I131" s="102">
        <f t="shared" si="45"/>
        <v>217316.5909925123</v>
      </c>
      <c r="J131" s="102">
        <f>$B131/$G131*D131</f>
        <v>1037781.6407402705</v>
      </c>
      <c r="K131" s="102">
        <f>$B131/$G131*E131</f>
        <v>79160.944763638719</v>
      </c>
      <c r="L131" s="102">
        <f>$B131/$G131*F131</f>
        <v>175071.95550782382</v>
      </c>
      <c r="M131" s="44">
        <f t="shared" si="46"/>
        <v>0</v>
      </c>
      <c r="N131">
        <f t="shared" si="49"/>
        <v>2032</v>
      </c>
      <c r="O131" s="105">
        <f t="shared" si="51"/>
        <v>1.064378437629051</v>
      </c>
      <c r="P131" s="105">
        <f t="shared" si="47"/>
        <v>1.031222064406907</v>
      </c>
      <c r="Q131" s="105">
        <f t="shared" si="47"/>
        <v>1.0694908311450597</v>
      </c>
      <c r="R131" s="105">
        <f t="shared" si="47"/>
        <v>1.0577757153276917</v>
      </c>
      <c r="S131" s="83"/>
    </row>
    <row r="132" spans="1:19">
      <c r="A132" s="132">
        <f t="shared" si="48"/>
        <v>2033</v>
      </c>
      <c r="B132" s="131">
        <f t="shared" si="53"/>
        <v>1513440.5607601884</v>
      </c>
      <c r="C132" s="131">
        <v>218196.2690461601</v>
      </c>
      <c r="D132" s="131">
        <v>1039878.2395870726</v>
      </c>
      <c r="E132" s="131">
        <v>79563.726996846643</v>
      </c>
      <c r="F132" s="131">
        <v>175802.32513010903</v>
      </c>
      <c r="G132" s="143">
        <f t="shared" si="54"/>
        <v>1513440.5607601884</v>
      </c>
      <c r="H132" s="122"/>
      <c r="I132" s="102">
        <f t="shared" si="45"/>
        <v>218196.2690461601</v>
      </c>
      <c r="J132" s="102">
        <f t="shared" si="45"/>
        <v>1039878.2395870726</v>
      </c>
      <c r="K132" s="102">
        <f t="shared" si="45"/>
        <v>79563.726996846643</v>
      </c>
      <c r="L132" s="102">
        <f t="shared" si="45"/>
        <v>175802.32513010903</v>
      </c>
      <c r="M132" s="44">
        <f t="shared" si="46"/>
        <v>0</v>
      </c>
      <c r="N132">
        <f t="shared" si="49"/>
        <v>2033</v>
      </c>
      <c r="O132" s="105">
        <f t="shared" si="51"/>
        <v>1.0686869460042374</v>
      </c>
      <c r="P132" s="105">
        <f t="shared" si="47"/>
        <v>1.0333054111401274</v>
      </c>
      <c r="Q132" s="105">
        <f t="shared" si="47"/>
        <v>1.0749325537855641</v>
      </c>
      <c r="R132" s="105">
        <f t="shared" si="47"/>
        <v>1.0621885708728609</v>
      </c>
      <c r="S132" s="83"/>
    </row>
    <row r="133" spans="1:19">
      <c r="A133" s="132">
        <f t="shared" si="48"/>
        <v>2034</v>
      </c>
      <c r="B133" s="131">
        <f t="shared" si="53"/>
        <v>1517562.8824573811</v>
      </c>
      <c r="C133" s="131">
        <v>219079.50795760771</v>
      </c>
      <c r="D133" s="131">
        <v>1041979.0741290845</v>
      </c>
      <c r="E133" s="131">
        <v>79968.558643788463</v>
      </c>
      <c r="F133" s="131">
        <v>176535.74172690033</v>
      </c>
      <c r="G133" s="143">
        <f t="shared" si="54"/>
        <v>1517562.8824573811</v>
      </c>
      <c r="H133" s="122"/>
      <c r="I133" s="102">
        <f t="shared" si="45"/>
        <v>219079.50795760771</v>
      </c>
      <c r="J133" s="102">
        <f t="shared" si="45"/>
        <v>1041979.0741290845</v>
      </c>
      <c r="K133" s="102">
        <f t="shared" si="45"/>
        <v>79968.558643788463</v>
      </c>
      <c r="L133" s="102">
        <f t="shared" si="45"/>
        <v>176535.74172690033</v>
      </c>
      <c r="M133" s="44">
        <f t="shared" si="46"/>
        <v>0</v>
      </c>
      <c r="N133">
        <f t="shared" si="49"/>
        <v>2034</v>
      </c>
      <c r="O133" s="105">
        <f t="shared" si="51"/>
        <v>1.0730128948345878</v>
      </c>
      <c r="P133" s="105">
        <f t="shared" si="47"/>
        <v>1.0353929667957136</v>
      </c>
      <c r="Q133" s="105">
        <f t="shared" si="47"/>
        <v>1.0804019646908329</v>
      </c>
      <c r="R133" s="105">
        <f t="shared" si="47"/>
        <v>1.0666198360806656</v>
      </c>
      <c r="S133" s="83"/>
    </row>
    <row r="134" spans="1:19">
      <c r="A134" s="132">
        <f t="shared" si="48"/>
        <v>2035</v>
      </c>
      <c r="B134" s="131">
        <v>1521719.5477985682</v>
      </c>
      <c r="C134" s="131">
        <v>219966.32214088793</v>
      </c>
      <c r="D134" s="131">
        <v>1044084.1529235529</v>
      </c>
      <c r="E134" s="131">
        <v>80375.450132175014</v>
      </c>
      <c r="F134" s="131">
        <v>177272.21800964302</v>
      </c>
      <c r="G134" s="143">
        <f t="shared" si="54"/>
        <v>1521698.143206259</v>
      </c>
      <c r="H134" s="122"/>
      <c r="I134" s="102">
        <f t="shared" si="45"/>
        <v>219969.41624300549</v>
      </c>
      <c r="J134" s="102">
        <f t="shared" si="45"/>
        <v>1044098.8392762501</v>
      </c>
      <c r="K134" s="102">
        <f t="shared" si="45"/>
        <v>80376.580713656906</v>
      </c>
      <c r="L134" s="102">
        <f t="shared" si="45"/>
        <v>177274.71156565554</v>
      </c>
      <c r="M134" s="44">
        <f t="shared" si="46"/>
        <v>0</v>
      </c>
      <c r="N134">
        <f t="shared" si="49"/>
        <v>2035</v>
      </c>
      <c r="O134" s="105">
        <f t="shared" si="51"/>
        <v>1.0773715090854319</v>
      </c>
      <c r="P134" s="105">
        <f t="shared" si="51"/>
        <v>1.0374993334005023</v>
      </c>
      <c r="Q134" s="105">
        <f t="shared" si="51"/>
        <v>1.0859144792765554</v>
      </c>
      <c r="R134" s="105">
        <f t="shared" si="51"/>
        <v>1.0710846536896739</v>
      </c>
      <c r="S134" s="83"/>
    </row>
    <row r="135" spans="1:19">
      <c r="A135" s="132">
        <f t="shared" si="48"/>
        <v>2036</v>
      </c>
      <c r="B135" s="92">
        <f t="shared" ref="B135:B138" si="55">G135</f>
        <v>1525846.3892989804</v>
      </c>
      <c r="C135" s="131">
        <v>220856.72606838017</v>
      </c>
      <c r="D135" s="131">
        <v>1046193.4845450127</v>
      </c>
      <c r="E135" s="131">
        <v>80784.411942774823</v>
      </c>
      <c r="F135" s="131">
        <v>178011.76674281279</v>
      </c>
      <c r="G135" s="143">
        <f t="shared" si="54"/>
        <v>1525846.3892989804</v>
      </c>
      <c r="H135" s="122"/>
      <c r="I135" s="102">
        <f t="shared" si="45"/>
        <v>220856.72606838017</v>
      </c>
      <c r="J135" s="102">
        <f t="shared" si="45"/>
        <v>1046193.4845450127</v>
      </c>
      <c r="K135" s="102">
        <f t="shared" si="45"/>
        <v>80784.411942774823</v>
      </c>
      <c r="L135" s="102">
        <f t="shared" si="45"/>
        <v>178011.76674281279</v>
      </c>
      <c r="M135" s="44">
        <f t="shared" si="46"/>
        <v>0</v>
      </c>
      <c r="N135">
        <f t="shared" si="49"/>
        <v>2036</v>
      </c>
      <c r="O135" s="105">
        <f t="shared" si="51"/>
        <v>1.0817173965361409</v>
      </c>
      <c r="P135" s="105">
        <f t="shared" si="51"/>
        <v>1.0395807389037954</v>
      </c>
      <c r="Q135" s="105">
        <f t="shared" si="51"/>
        <v>1.0914244155399309</v>
      </c>
      <c r="R135" s="105">
        <f t="shared" si="51"/>
        <v>1.0755379030121712</v>
      </c>
      <c r="S135" s="83"/>
    </row>
    <row r="136" spans="1:19">
      <c r="A136" s="132">
        <f t="shared" si="48"/>
        <v>2037</v>
      </c>
      <c r="B136" s="92">
        <f t="shared" si="55"/>
        <v>1530007.6672101885</v>
      </c>
      <c r="C136" s="131">
        <v>221750.73427104679</v>
      </c>
      <c r="D136" s="131">
        <v>1048307.0775853216</v>
      </c>
      <c r="E136" s="131">
        <v>81195.454609684035</v>
      </c>
      <c r="F136" s="131">
        <v>178754.4007441361</v>
      </c>
      <c r="G136" s="143">
        <f t="shared" si="54"/>
        <v>1530007.6672101885</v>
      </c>
      <c r="H136" s="122"/>
      <c r="I136" s="102">
        <f t="shared" si="45"/>
        <v>221750.73427104679</v>
      </c>
      <c r="J136" s="102">
        <f t="shared" si="45"/>
        <v>1048307.0775853216</v>
      </c>
      <c r="K136" s="102">
        <f t="shared" si="45"/>
        <v>81195.454609684035</v>
      </c>
      <c r="L136" s="102">
        <f t="shared" si="45"/>
        <v>178754.4007441361</v>
      </c>
      <c r="M136" s="44">
        <f t="shared" si="46"/>
        <v>0</v>
      </c>
      <c r="N136">
        <f t="shared" si="49"/>
        <v>2037</v>
      </c>
      <c r="O136" s="105">
        <f t="shared" si="51"/>
        <v>1.0860960914606101</v>
      </c>
      <c r="P136" s="105">
        <f t="shared" si="51"/>
        <v>1.0416809724141789</v>
      </c>
      <c r="Q136" s="105">
        <f t="shared" si="51"/>
        <v>1.0969777394016078</v>
      </c>
      <c r="R136" s="105">
        <f t="shared" si="51"/>
        <v>1.080024859302217</v>
      </c>
      <c r="S136" s="83"/>
    </row>
    <row r="137" spans="1:19">
      <c r="A137" s="132">
        <f t="shared" si="48"/>
        <v>2038</v>
      </c>
      <c r="B137" s="92">
        <f t="shared" si="55"/>
        <v>1534182.023597776</v>
      </c>
      <c r="C137" s="131">
        <v>222648.36133867019</v>
      </c>
      <c r="D137" s="131">
        <v>1050424.9406536953</v>
      </c>
      <c r="E137" s="131">
        <v>81608.588720597807</v>
      </c>
      <c r="F137" s="131">
        <v>179500.13288481289</v>
      </c>
      <c r="G137" s="143">
        <f t="shared" si="54"/>
        <v>1534182.023597776</v>
      </c>
      <c r="H137" s="122"/>
      <c r="I137" s="102">
        <f t="shared" si="45"/>
        <v>222648.36133867019</v>
      </c>
      <c r="J137" s="102">
        <f t="shared" si="45"/>
        <v>1050424.9406536953</v>
      </c>
      <c r="K137" s="102">
        <f t="shared" si="45"/>
        <v>81608.588720597807</v>
      </c>
      <c r="L137" s="102">
        <f t="shared" si="45"/>
        <v>179500.13288481289</v>
      </c>
      <c r="M137" s="44">
        <f t="shared" si="46"/>
        <v>0</v>
      </c>
      <c r="N137">
        <f t="shared" si="49"/>
        <v>2038</v>
      </c>
      <c r="O137" s="105">
        <f t="shared" si="51"/>
        <v>1.0904925109490948</v>
      </c>
      <c r="P137" s="105">
        <f t="shared" si="51"/>
        <v>1.0437854489627729</v>
      </c>
      <c r="Q137" s="105">
        <f t="shared" si="51"/>
        <v>1.102559319371059</v>
      </c>
      <c r="R137" s="105">
        <f t="shared" si="51"/>
        <v>1.0845305343902638</v>
      </c>
      <c r="S137" s="83"/>
    </row>
    <row r="138" spans="1:19">
      <c r="A138" s="132">
        <f t="shared" si="48"/>
        <v>2039</v>
      </c>
      <c r="B138" s="92">
        <f t="shared" si="55"/>
        <v>1538369.5053036551</v>
      </c>
      <c r="C138" s="131">
        <v>223549.62192009084</v>
      </c>
      <c r="D138" s="131">
        <v>1052547.0823767418</v>
      </c>
      <c r="E138" s="131">
        <v>82023.824917083009</v>
      </c>
      <c r="F138" s="131">
        <v>180248.97608973939</v>
      </c>
      <c r="G138" s="143">
        <f t="shared" si="54"/>
        <v>1538369.5053036551</v>
      </c>
      <c r="H138" s="122"/>
      <c r="I138" s="102">
        <f t="shared" si="45"/>
        <v>223549.62192009084</v>
      </c>
      <c r="J138" s="102">
        <f t="shared" si="45"/>
        <v>1052547.0823767418</v>
      </c>
      <c r="K138" s="102">
        <f t="shared" si="45"/>
        <v>82023.824917083009</v>
      </c>
      <c r="L138" s="102">
        <f t="shared" si="45"/>
        <v>180248.97608973939</v>
      </c>
      <c r="M138" s="44">
        <f t="shared" si="46"/>
        <v>0</v>
      </c>
      <c r="N138">
        <f t="shared" si="49"/>
        <v>2039</v>
      </c>
      <c r="O138" s="105">
        <f t="shared" si="51"/>
        <v>1.0949067267490391</v>
      </c>
      <c r="P138" s="105">
        <f t="shared" si="51"/>
        <v>1.0458941771216592</v>
      </c>
      <c r="Q138" s="105">
        <f t="shared" si="51"/>
        <v>1.1081692992194103</v>
      </c>
      <c r="R138" s="105">
        <f t="shared" si="51"/>
        <v>1.0890550063678672</v>
      </c>
      <c r="S138" s="83"/>
    </row>
    <row r="139" spans="1:19">
      <c r="A139" s="132">
        <f t="shared" si="48"/>
        <v>2040</v>
      </c>
      <c r="B139" s="131">
        <v>1542570.1593545293</v>
      </c>
      <c r="C139" s="131">
        <v>224454.53072344649</v>
      </c>
      <c r="D139" s="131">
        <v>1054673.5113984984</v>
      </c>
      <c r="E139" s="131">
        <v>82441.173894852313</v>
      </c>
      <c r="F139" s="131">
        <v>181000.9433377322</v>
      </c>
      <c r="G139" s="143">
        <f t="shared" si="54"/>
        <v>1542570.1593545296</v>
      </c>
      <c r="H139" s="122"/>
      <c r="I139" s="102">
        <f t="shared" si="45"/>
        <v>224454.53072344646</v>
      </c>
      <c r="J139" s="102">
        <f t="shared" si="45"/>
        <v>1054673.5113984982</v>
      </c>
      <c r="K139" s="102">
        <f t="shared" si="45"/>
        <v>82441.173894852298</v>
      </c>
      <c r="L139" s="102">
        <f t="shared" si="45"/>
        <v>181000.94333773217</v>
      </c>
      <c r="M139" s="44">
        <f t="shared" si="46"/>
        <v>0</v>
      </c>
      <c r="N139">
        <f t="shared" si="49"/>
        <v>2040</v>
      </c>
      <c r="O139" s="105">
        <f t="shared" si="51"/>
        <v>1.0993388108983142</v>
      </c>
      <c r="P139" s="105">
        <f t="shared" si="51"/>
        <v>1.0480071654802374</v>
      </c>
      <c r="Q139" s="105">
        <f t="shared" si="51"/>
        <v>1.1138078234493163</v>
      </c>
      <c r="R139" s="105">
        <f t="shared" si="51"/>
        <v>1.0935983536523672</v>
      </c>
      <c r="S139" s="83"/>
    </row>
    <row r="140" spans="1:19">
      <c r="A140" s="132">
        <f t="shared" si="48"/>
        <v>2041</v>
      </c>
      <c r="B140" s="92">
        <f t="shared" ref="B140:B143" si="56">G140</f>
        <v>1544385.0302884402</v>
      </c>
      <c r="C140" s="131">
        <v>225074.40865298532</v>
      </c>
      <c r="D140" s="131">
        <v>1055215.7494327216</v>
      </c>
      <c r="E140" s="131">
        <v>82711.001734237783</v>
      </c>
      <c r="F140" s="131">
        <v>181383.87046849538</v>
      </c>
      <c r="G140" s="143">
        <f t="shared" si="54"/>
        <v>1544385.0302884402</v>
      </c>
      <c r="H140" s="122"/>
      <c r="I140" s="102">
        <f t="shared" si="45"/>
        <v>225074.40865298532</v>
      </c>
      <c r="J140" s="102">
        <f t="shared" si="45"/>
        <v>1055215.7494327216</v>
      </c>
      <c r="K140" s="102">
        <f t="shared" si="45"/>
        <v>82711.001734237783</v>
      </c>
      <c r="L140" s="102">
        <f t="shared" si="45"/>
        <v>181383.87046849538</v>
      </c>
      <c r="M140" s="44">
        <f t="shared" si="46"/>
        <v>0</v>
      </c>
      <c r="N140">
        <f t="shared" si="49"/>
        <v>2041</v>
      </c>
      <c r="O140" s="105">
        <f t="shared" si="51"/>
        <v>1.1023748639633377</v>
      </c>
      <c r="P140" s="105">
        <f t="shared" si="51"/>
        <v>1.0485459761539866</v>
      </c>
      <c r="Q140" s="105">
        <f t="shared" si="51"/>
        <v>1.1174532877761014</v>
      </c>
      <c r="R140" s="105">
        <f t="shared" si="51"/>
        <v>1.095911979603974</v>
      </c>
      <c r="S140" s="83"/>
    </row>
    <row r="141" spans="1:19">
      <c r="A141" s="132">
        <f t="shared" si="48"/>
        <v>2042</v>
      </c>
      <c r="B141" s="92">
        <f t="shared" si="56"/>
        <v>1546203.585187993</v>
      </c>
      <c r="C141" s="131">
        <v>225695.99850451693</v>
      </c>
      <c r="D141" s="131">
        <v>1055758.2662471384</v>
      </c>
      <c r="E141" s="131">
        <v>82981.712713193774</v>
      </c>
      <c r="F141" s="131">
        <v>181767.60772314394</v>
      </c>
      <c r="G141" s="143">
        <f t="shared" si="54"/>
        <v>1546203.585187993</v>
      </c>
      <c r="H141" s="122"/>
      <c r="I141" s="102">
        <f t="shared" si="45"/>
        <v>225695.99850451693</v>
      </c>
      <c r="J141" s="102">
        <f t="shared" si="45"/>
        <v>1055758.2662471384</v>
      </c>
      <c r="K141" s="102">
        <f t="shared" si="45"/>
        <v>82981.712713193774</v>
      </c>
      <c r="L141" s="102">
        <f t="shared" si="45"/>
        <v>181767.60772314394</v>
      </c>
      <c r="M141" s="44">
        <f t="shared" si="46"/>
        <v>0</v>
      </c>
      <c r="N141">
        <f t="shared" si="49"/>
        <v>2042</v>
      </c>
      <c r="O141" s="105">
        <f t="shared" si="51"/>
        <v>1.1054193017211622</v>
      </c>
      <c r="P141" s="105">
        <f t="shared" si="51"/>
        <v>1.0490850638458245</v>
      </c>
      <c r="Q141" s="105">
        <f t="shared" si="51"/>
        <v>1.121110683613761</v>
      </c>
      <c r="R141" s="105">
        <f t="shared" si="51"/>
        <v>1.0982305002822652</v>
      </c>
      <c r="S141" s="83"/>
    </row>
    <row r="142" spans="1:19">
      <c r="A142" s="132">
        <f t="shared" si="48"/>
        <v>2043</v>
      </c>
      <c r="B142" s="92">
        <f t="shared" si="56"/>
        <v>1548025.8335287445</v>
      </c>
      <c r="C142" s="131">
        <v>226319.30500587044</v>
      </c>
      <c r="D142" s="131">
        <v>1056301.0619850778</v>
      </c>
      <c r="E142" s="131">
        <v>83253.309722213366</v>
      </c>
      <c r="F142" s="131">
        <v>182152.15681558283</v>
      </c>
      <c r="G142" s="143">
        <f t="shared" si="54"/>
        <v>1548025.8335287445</v>
      </c>
      <c r="H142" s="122"/>
      <c r="I142" s="102">
        <f t="shared" si="45"/>
        <v>226319.30500587044</v>
      </c>
      <c r="J142" s="102">
        <f t="shared" si="45"/>
        <v>1056301.0619850778</v>
      </c>
      <c r="K142" s="102">
        <f t="shared" si="45"/>
        <v>83253.309722213366</v>
      </c>
      <c r="L142" s="102">
        <f t="shared" si="45"/>
        <v>182152.15681558283</v>
      </c>
      <c r="M142" s="44">
        <f t="shared" si="46"/>
        <v>0</v>
      </c>
      <c r="N142">
        <f t="shared" si="49"/>
        <v>2043</v>
      </c>
      <c r="O142" s="105">
        <f t="shared" si="51"/>
        <v>1.1084721473278629</v>
      </c>
      <c r="P142" s="105">
        <f t="shared" si="51"/>
        <v>1.0496244286981742</v>
      </c>
      <c r="Q142" s="105">
        <f t="shared" si="51"/>
        <v>1.1247800500138232</v>
      </c>
      <c r="R142" s="105">
        <f t="shared" si="51"/>
        <v>1.1005539260425661</v>
      </c>
      <c r="S142" s="83"/>
    </row>
    <row r="143" spans="1:19">
      <c r="A143" s="132">
        <f t="shared" si="48"/>
        <v>2044</v>
      </c>
      <c r="B143" s="92">
        <f t="shared" si="56"/>
        <v>1549851.7848124674</v>
      </c>
      <c r="C143" s="131">
        <v>226944.3328979318</v>
      </c>
      <c r="D143" s="131">
        <v>1056844.1367899424</v>
      </c>
      <c r="E143" s="131">
        <v>83525.795661250158</v>
      </c>
      <c r="F143" s="131">
        <v>182537.51946334299</v>
      </c>
      <c r="G143" s="143">
        <f t="shared" si="54"/>
        <v>1549851.7848124674</v>
      </c>
      <c r="I143" s="102">
        <f t="shared" si="45"/>
        <v>226944.3328979318</v>
      </c>
      <c r="J143" s="102">
        <f t="shared" si="45"/>
        <v>1056844.1367899424</v>
      </c>
      <c r="K143" s="102">
        <f t="shared" si="45"/>
        <v>83525.795661250158</v>
      </c>
      <c r="L143" s="102">
        <f t="shared" si="45"/>
        <v>182537.51946334299</v>
      </c>
      <c r="M143" s="44">
        <f t="shared" si="46"/>
        <v>0</v>
      </c>
      <c r="N143">
        <f t="shared" si="49"/>
        <v>2044</v>
      </c>
      <c r="O143" s="105">
        <f t="shared" si="51"/>
        <v>1.1115334240034656</v>
      </c>
      <c r="P143" s="105">
        <f t="shared" si="51"/>
        <v>1.050164070853532</v>
      </c>
      <c r="Q143" s="105">
        <f t="shared" si="51"/>
        <v>1.1284614261556307</v>
      </c>
      <c r="R143" s="105">
        <f t="shared" si="51"/>
        <v>1.1028822672621104</v>
      </c>
    </row>
    <row r="144" spans="1:19">
      <c r="A144" s="132">
        <f t="shared" si="48"/>
        <v>2045</v>
      </c>
      <c r="B144" s="131">
        <v>1551700.9510248702</v>
      </c>
      <c r="C144" s="131">
        <v>227571.08693468015</v>
      </c>
      <c r="D144" s="131">
        <v>1057387.4908052087</v>
      </c>
      <c r="E144" s="131">
        <v>83799.173439749153</v>
      </c>
      <c r="F144" s="131">
        <v>182923.69738758888</v>
      </c>
      <c r="G144" s="143">
        <f t="shared" si="54"/>
        <v>1551681.4485672268</v>
      </c>
      <c r="I144" s="102">
        <f t="shared" si="45"/>
        <v>227573.94718379117</v>
      </c>
      <c r="J144" s="102">
        <f t="shared" si="45"/>
        <v>1057400.7806816658</v>
      </c>
      <c r="K144" s="102">
        <f t="shared" si="45"/>
        <v>83800.226677726634</v>
      </c>
      <c r="L144" s="102">
        <f t="shared" si="45"/>
        <v>182925.99648168683</v>
      </c>
      <c r="M144" s="44">
        <f t="shared" si="46"/>
        <v>0</v>
      </c>
      <c r="N144">
        <f t="shared" si="49"/>
        <v>2045</v>
      </c>
      <c r="O144" s="105">
        <f t="shared" si="51"/>
        <v>1.114617164029164</v>
      </c>
      <c r="P144" s="105">
        <f t="shared" si="51"/>
        <v>1.050717196328707</v>
      </c>
      <c r="Q144" s="105">
        <f t="shared" si="51"/>
        <v>1.1321690809439833</v>
      </c>
      <c r="R144" s="105">
        <f t="shared" si="51"/>
        <v>1.1052294253479105</v>
      </c>
    </row>
    <row r="145" spans="1:18">
      <c r="A145" t="s">
        <v>64</v>
      </c>
    </row>
    <row r="146" spans="1:18">
      <c r="A146" s="134" t="s">
        <v>62</v>
      </c>
    </row>
    <row r="148" spans="1:18">
      <c r="A148" s="144" t="s">
        <v>65</v>
      </c>
      <c r="I148" s="149"/>
    </row>
    <row r="149" spans="1:18">
      <c r="A149" s="152" t="s">
        <v>0</v>
      </c>
      <c r="B149" s="153" t="s">
        <v>52</v>
      </c>
      <c r="C149" s="153"/>
      <c r="D149" s="153"/>
      <c r="E149" s="153"/>
      <c r="F149" s="153"/>
      <c r="G149" s="153"/>
      <c r="I149" s="153" t="s">
        <v>53</v>
      </c>
      <c r="J149" s="153"/>
      <c r="K149" s="153"/>
      <c r="L149" s="153"/>
      <c r="M149" s="44"/>
      <c r="O149" s="153" t="s">
        <v>66</v>
      </c>
      <c r="P149" s="153"/>
      <c r="Q149" s="153"/>
      <c r="R149" s="153"/>
    </row>
    <row r="150" spans="1:18">
      <c r="A150" s="152"/>
      <c r="B150" s="75" t="s">
        <v>39</v>
      </c>
      <c r="C150" s="98" t="s">
        <v>5</v>
      </c>
      <c r="D150" s="90" t="s">
        <v>6</v>
      </c>
      <c r="E150" s="98" t="s">
        <v>7</v>
      </c>
      <c r="F150" s="98" t="s">
        <v>8</v>
      </c>
      <c r="G150" s="90" t="s">
        <v>55</v>
      </c>
      <c r="I150" s="90" t="s">
        <v>5</v>
      </c>
      <c r="J150" s="90" t="s">
        <v>6</v>
      </c>
      <c r="K150" s="90" t="s">
        <v>7</v>
      </c>
      <c r="L150" s="90" t="s">
        <v>8</v>
      </c>
      <c r="M150" s="99" t="s">
        <v>56</v>
      </c>
      <c r="O150" s="90" t="s">
        <v>5</v>
      </c>
      <c r="P150" s="90" t="s">
        <v>6</v>
      </c>
      <c r="Q150" s="90" t="s">
        <v>7</v>
      </c>
      <c r="R150" s="90" t="s">
        <v>8</v>
      </c>
    </row>
    <row r="151" spans="1:18">
      <c r="A151" s="75">
        <v>2018</v>
      </c>
      <c r="B151" s="92">
        <v>9761.4480000000003</v>
      </c>
      <c r="C151" s="92">
        <v>1706.2180000000001</v>
      </c>
      <c r="D151" s="92">
        <v>5862.3580000000002</v>
      </c>
      <c r="E151" s="92">
        <v>1389.3</v>
      </c>
      <c r="F151" s="92">
        <v>2963.5639999999999</v>
      </c>
      <c r="G151" s="101">
        <f>SUM(C151:F151)</f>
        <v>11921.44</v>
      </c>
      <c r="I151" s="145">
        <f>C151*$B151/$G151</f>
        <v>1397.0760481673356</v>
      </c>
      <c r="J151" s="145">
        <f>D151*$B151/$G151</f>
        <v>4800.1837675972038</v>
      </c>
      <c r="K151" s="145">
        <f>E151*$B151/$G151</f>
        <v>1137.5789926720261</v>
      </c>
      <c r="L151" s="145">
        <f>F151*$B151/$G151</f>
        <v>2426.6091915634352</v>
      </c>
      <c r="M151" s="97">
        <f>B151-SUM(I151:L151)</f>
        <v>0</v>
      </c>
      <c r="N151" s="146">
        <f>A151</f>
        <v>2018</v>
      </c>
      <c r="O151" s="147">
        <f>I151/I$155</f>
        <v>0.99379359002936429</v>
      </c>
      <c r="P151" s="147">
        <f t="shared" ref="P151:R166" si="57">J151/J$155</f>
        <v>1.1720922137029881</v>
      </c>
      <c r="Q151" s="147">
        <f t="shared" si="57"/>
        <v>1.0028912194501032</v>
      </c>
      <c r="R151" s="147">
        <f t="shared" si="57"/>
        <v>0.96941222039541164</v>
      </c>
    </row>
    <row r="152" spans="1:18">
      <c r="A152" s="75">
        <f t="shared" ref="A152:A178" si="58">A151+1</f>
        <v>2019</v>
      </c>
      <c r="B152" s="92">
        <v>10243.165000000001</v>
      </c>
      <c r="C152" s="92">
        <v>1763.904</v>
      </c>
      <c r="D152" s="92">
        <v>6154.2479999999996</v>
      </c>
      <c r="E152" s="92">
        <v>1370.029</v>
      </c>
      <c r="F152" s="92">
        <v>3111.1309999999999</v>
      </c>
      <c r="G152" s="101">
        <f t="shared" ref="G152:G162" si="59">SUM(C152:F152)</f>
        <v>12399.312</v>
      </c>
      <c r="I152" s="145">
        <f t="shared" ref="I152:L178" si="60">C152*$B152/$G152</f>
        <v>1457.174375171784</v>
      </c>
      <c r="J152" s="145">
        <f t="shared" si="60"/>
        <v>5084.0706093144527</v>
      </c>
      <c r="K152" s="145">
        <f t="shared" si="60"/>
        <v>1131.7912721113075</v>
      </c>
      <c r="L152" s="145">
        <f t="shared" si="60"/>
        <v>2570.1287434024566</v>
      </c>
      <c r="M152" s="97">
        <f t="shared" ref="M152:M178" si="61">B152-SUM(I152:L152)</f>
        <v>0</v>
      </c>
      <c r="N152" s="146">
        <f t="shared" ref="N152:N178" si="62">A152</f>
        <v>2019</v>
      </c>
      <c r="O152" s="147">
        <f t="shared" ref="O152:R178" si="63">I152/I$155</f>
        <v>1.0365438270167182</v>
      </c>
      <c r="P152" s="147">
        <f t="shared" si="57"/>
        <v>1.2414107175060369</v>
      </c>
      <c r="Q152" s="147">
        <f t="shared" si="57"/>
        <v>0.99778875696761515</v>
      </c>
      <c r="R152" s="147">
        <f t="shared" si="57"/>
        <v>1.0267472077935187</v>
      </c>
    </row>
    <row r="153" spans="1:18">
      <c r="A153" s="75">
        <f t="shared" si="58"/>
        <v>2020</v>
      </c>
      <c r="B153" s="92">
        <v>2678.0729999999999</v>
      </c>
      <c r="C153" s="92">
        <v>493.81700000000001</v>
      </c>
      <c r="D153" s="92">
        <v>1506.316</v>
      </c>
      <c r="E153" s="92">
        <v>330.26299999999998</v>
      </c>
      <c r="F153" s="92">
        <v>807.30799999999999</v>
      </c>
      <c r="G153" s="101">
        <f t="shared" si="59"/>
        <v>3137.7040000000002</v>
      </c>
      <c r="I153" s="145">
        <f t="shared" si="60"/>
        <v>421.47951962358457</v>
      </c>
      <c r="J153" s="145">
        <f t="shared" si="60"/>
        <v>1285.661174243332</v>
      </c>
      <c r="K153" s="145">
        <f t="shared" si="60"/>
        <v>281.88395820606399</v>
      </c>
      <c r="L153" s="145">
        <f t="shared" si="60"/>
        <v>689.04834792701911</v>
      </c>
      <c r="M153" s="97">
        <f t="shared" si="61"/>
        <v>0</v>
      </c>
      <c r="N153" s="146">
        <f t="shared" si="62"/>
        <v>2020</v>
      </c>
      <c r="O153" s="147">
        <f t="shared" si="63"/>
        <v>0.29981449147312589</v>
      </c>
      <c r="P153" s="147">
        <f t="shared" si="57"/>
        <v>0.31392828373842774</v>
      </c>
      <c r="Q153" s="147">
        <f t="shared" si="57"/>
        <v>0.24850928894588509</v>
      </c>
      <c r="R153" s="147">
        <f t="shared" si="57"/>
        <v>0.27526966074555892</v>
      </c>
    </row>
    <row r="154" spans="1:18">
      <c r="A154" s="75">
        <f t="shared" si="58"/>
        <v>2021</v>
      </c>
      <c r="B154" s="92">
        <v>6777.76</v>
      </c>
      <c r="C154" s="92">
        <v>1183.4580000000001</v>
      </c>
      <c r="D154" s="92">
        <v>3326.6219999999998</v>
      </c>
      <c r="E154" s="92">
        <v>813.64700000000005</v>
      </c>
      <c r="F154" s="92">
        <v>2340.915</v>
      </c>
      <c r="G154" s="101">
        <f t="shared" si="59"/>
        <v>7664.6419999999998</v>
      </c>
      <c r="I154" s="145">
        <f t="shared" si="60"/>
        <v>1046.5191060560951</v>
      </c>
      <c r="J154" s="145">
        <f t="shared" si="60"/>
        <v>2941.6958452488711</v>
      </c>
      <c r="K154" s="145">
        <f t="shared" si="60"/>
        <v>719.49923958875058</v>
      </c>
      <c r="L154" s="145">
        <f t="shared" si="60"/>
        <v>2070.0458091062833</v>
      </c>
      <c r="M154" s="97">
        <f t="shared" si="61"/>
        <v>0</v>
      </c>
      <c r="N154" s="146">
        <f t="shared" si="62"/>
        <v>2021</v>
      </c>
      <c r="O154" s="147">
        <f t="shared" si="63"/>
        <v>0.74442903863830212</v>
      </c>
      <c r="P154" s="147">
        <f t="shared" si="57"/>
        <v>0.718293082563492</v>
      </c>
      <c r="Q154" s="147">
        <f t="shared" si="57"/>
        <v>0.63431152863476059</v>
      </c>
      <c r="R154" s="147">
        <f t="shared" si="57"/>
        <v>0.82696781628566574</v>
      </c>
    </row>
    <row r="155" spans="1:18">
      <c r="A155" s="75">
        <f t="shared" si="58"/>
        <v>2022</v>
      </c>
      <c r="B155" s="92">
        <v>9138.6740000000009</v>
      </c>
      <c r="C155" s="92">
        <v>1667.633</v>
      </c>
      <c r="D155" s="92">
        <v>4858.17</v>
      </c>
      <c r="E155" s="92">
        <v>1345.5640000000001</v>
      </c>
      <c r="F155" s="92">
        <v>2969.395</v>
      </c>
      <c r="G155" s="101">
        <f t="shared" si="59"/>
        <v>10840.762000000001</v>
      </c>
      <c r="I155" s="145">
        <f t="shared" si="60"/>
        <v>1405.8010256697823</v>
      </c>
      <c r="J155" s="145">
        <f t="shared" si="60"/>
        <v>4095.3977097347952</v>
      </c>
      <c r="K155" s="145">
        <f t="shared" si="60"/>
        <v>1134.2994839418116</v>
      </c>
      <c r="L155" s="145">
        <f t="shared" si="60"/>
        <v>2503.1757806536111</v>
      </c>
      <c r="M155" s="97">
        <f t="shared" si="61"/>
        <v>0</v>
      </c>
      <c r="N155" s="146">
        <f t="shared" si="62"/>
        <v>2022</v>
      </c>
      <c r="O155" s="147">
        <f t="shared" si="63"/>
        <v>1</v>
      </c>
      <c r="P155" s="147">
        <f t="shared" si="57"/>
        <v>1</v>
      </c>
      <c r="Q155" s="147">
        <f t="shared" si="57"/>
        <v>1</v>
      </c>
      <c r="R155" s="147">
        <f t="shared" si="57"/>
        <v>1</v>
      </c>
    </row>
    <row r="156" spans="1:18">
      <c r="A156" s="75">
        <f t="shared" si="58"/>
        <v>2023</v>
      </c>
      <c r="B156" s="92">
        <v>9499.9950000000008</v>
      </c>
      <c r="C156" s="92">
        <v>1779.0630000000001</v>
      </c>
      <c r="D156" s="92">
        <v>5613.4089999999997</v>
      </c>
      <c r="E156" s="92">
        <v>1418.6880000000001</v>
      </c>
      <c r="F156" s="92">
        <v>2531.1959999999999</v>
      </c>
      <c r="G156" s="101">
        <f t="shared" si="59"/>
        <v>11342.356</v>
      </c>
      <c r="I156" s="145">
        <f t="shared" si="60"/>
        <v>1490.0863281566019</v>
      </c>
      <c r="J156" s="145">
        <f t="shared" si="60"/>
        <v>4701.61203130593</v>
      </c>
      <c r="K156" s="145">
        <f t="shared" si="60"/>
        <v>1188.2477420528858</v>
      </c>
      <c r="L156" s="145">
        <f t="shared" si="60"/>
        <v>2120.0488984845829</v>
      </c>
      <c r="M156" s="97">
        <f t="shared" si="61"/>
        <v>0</v>
      </c>
      <c r="N156" s="146">
        <f t="shared" si="62"/>
        <v>2023</v>
      </c>
      <c r="O156" s="147">
        <f t="shared" si="63"/>
        <v>1.0599553570866564</v>
      </c>
      <c r="P156" s="147">
        <f t="shared" si="57"/>
        <v>1.148023309221021</v>
      </c>
      <c r="Q156" s="147">
        <f t="shared" si="57"/>
        <v>1.0475608592570265</v>
      </c>
      <c r="R156" s="147">
        <f t="shared" si="57"/>
        <v>0.84694367645687718</v>
      </c>
    </row>
    <row r="157" spans="1:18">
      <c r="A157" s="75">
        <f t="shared" si="58"/>
        <v>2024</v>
      </c>
      <c r="B157" s="92">
        <v>9565</v>
      </c>
      <c r="C157" s="92">
        <f>C156*SQRT(C158/C156)</f>
        <v>1817.8790507473263</v>
      </c>
      <c r="D157" s="92">
        <f t="shared" ref="D157:F157" si="64">D156*SQRT(D158/D156)</f>
        <v>5766.6230647382354</v>
      </c>
      <c r="E157" s="92">
        <f t="shared" si="64"/>
        <v>1424.0912106743726</v>
      </c>
      <c r="F157" s="92">
        <f t="shared" si="64"/>
        <v>2643.0213421862491</v>
      </c>
      <c r="G157" s="101">
        <f t="shared" si="59"/>
        <v>11651.614668346185</v>
      </c>
      <c r="I157" s="145">
        <f t="shared" si="60"/>
        <v>1492.3264813791004</v>
      </c>
      <c r="J157" s="145">
        <f t="shared" si="60"/>
        <v>4733.914670562157</v>
      </c>
      <c r="K157" s="145">
        <f t="shared" si="60"/>
        <v>1169.0596383268296</v>
      </c>
      <c r="L157" s="145">
        <f t="shared" si="60"/>
        <v>2169.6992097319121</v>
      </c>
      <c r="M157" s="97">
        <f t="shared" si="61"/>
        <v>0</v>
      </c>
      <c r="N157" s="146">
        <f t="shared" si="62"/>
        <v>2024</v>
      </c>
      <c r="O157" s="147">
        <f t="shared" si="63"/>
        <v>1.0615488636936323</v>
      </c>
      <c r="P157" s="147">
        <f t="shared" si="57"/>
        <v>1.1559108555707793</v>
      </c>
      <c r="Q157" s="147">
        <f t="shared" si="57"/>
        <v>1.0306446003697567</v>
      </c>
      <c r="R157" s="147">
        <f t="shared" si="57"/>
        <v>0.86677860440363319</v>
      </c>
    </row>
    <row r="158" spans="1:18">
      <c r="A158" s="75">
        <f t="shared" si="58"/>
        <v>2025</v>
      </c>
      <c r="B158" s="92">
        <f>G158</f>
        <v>11970.862999999999</v>
      </c>
      <c r="C158" s="92">
        <v>1857.5419999999999</v>
      </c>
      <c r="D158" s="92">
        <v>5924.0190000000002</v>
      </c>
      <c r="E158" s="92">
        <v>1429.5150000000001</v>
      </c>
      <c r="F158" s="92">
        <v>2759.7869999999998</v>
      </c>
      <c r="G158" s="101">
        <f t="shared" si="59"/>
        <v>11970.862999999999</v>
      </c>
      <c r="I158" s="145">
        <f t="shared" si="60"/>
        <v>1857.5419999999999</v>
      </c>
      <c r="J158" s="145">
        <f t="shared" si="60"/>
        <v>5924.0189999999993</v>
      </c>
      <c r="K158" s="145">
        <f t="shared" si="60"/>
        <v>1429.5150000000001</v>
      </c>
      <c r="L158" s="145">
        <f t="shared" si="60"/>
        <v>2759.7869999999998</v>
      </c>
      <c r="M158" s="97">
        <f t="shared" si="61"/>
        <v>0</v>
      </c>
      <c r="N158" s="146">
        <f t="shared" si="62"/>
        <v>2025</v>
      </c>
      <c r="O158" s="147">
        <f t="shared" si="63"/>
        <v>1.3213406208143783</v>
      </c>
      <c r="P158" s="147">
        <f t="shared" si="57"/>
        <v>1.4465064005672894</v>
      </c>
      <c r="Q158" s="147">
        <f t="shared" si="57"/>
        <v>1.2602624088589753</v>
      </c>
      <c r="R158" s="147">
        <f t="shared" si="57"/>
        <v>1.1025142626137843</v>
      </c>
    </row>
    <row r="159" spans="1:18">
      <c r="A159" s="75">
        <f t="shared" si="58"/>
        <v>2026</v>
      </c>
      <c r="B159" s="92">
        <f t="shared" ref="B159:B178" si="65">G159</f>
        <v>12029.992719048765</v>
      </c>
      <c r="C159" s="92">
        <v>1868.1477971026579</v>
      </c>
      <c r="D159" s="92">
        <v>5958.6436790764283</v>
      </c>
      <c r="E159" s="92">
        <v>1434.3566916232987</v>
      </c>
      <c r="F159" s="92">
        <v>2768.8445512463795</v>
      </c>
      <c r="G159" s="101">
        <f t="shared" si="59"/>
        <v>12029.992719048765</v>
      </c>
      <c r="I159" s="145">
        <f t="shared" si="60"/>
        <v>1868.1477971026579</v>
      </c>
      <c r="J159" s="145">
        <f t="shared" si="60"/>
        <v>5958.6436790764283</v>
      </c>
      <c r="K159" s="145">
        <f t="shared" si="60"/>
        <v>1434.3566916232985</v>
      </c>
      <c r="L159" s="145">
        <f t="shared" si="60"/>
        <v>2768.8445512463795</v>
      </c>
      <c r="M159" s="97">
        <f t="shared" si="61"/>
        <v>0</v>
      </c>
      <c r="N159" s="146">
        <f t="shared" si="62"/>
        <v>2026</v>
      </c>
      <c r="O159" s="147">
        <f t="shared" si="63"/>
        <v>1.3288849296525405</v>
      </c>
      <c r="P159" s="147">
        <f t="shared" si="57"/>
        <v>1.4549609345418839</v>
      </c>
      <c r="Q159" s="147">
        <f t="shared" si="57"/>
        <v>1.2645308509166875</v>
      </c>
      <c r="R159" s="147">
        <f t="shared" si="57"/>
        <v>1.1061326865839998</v>
      </c>
    </row>
    <row r="160" spans="1:18">
      <c r="A160" s="75">
        <f t="shared" si="58"/>
        <v>2027</v>
      </c>
      <c r="B160" s="92">
        <f t="shared" si="65"/>
        <v>12089.431492188745</v>
      </c>
      <c r="C160" s="92">
        <v>1878.8141489234231</v>
      </c>
      <c r="D160" s="92">
        <v>5993.4707323182911</v>
      </c>
      <c r="E160" s="92">
        <v>1439.2147817997959</v>
      </c>
      <c r="F160" s="92">
        <v>2777.9318291472364</v>
      </c>
      <c r="G160" s="101">
        <f t="shared" si="59"/>
        <v>12089.431492188745</v>
      </c>
      <c r="I160" s="145">
        <f t="shared" si="60"/>
        <v>1878.8141489234231</v>
      </c>
      <c r="J160" s="145">
        <f t="shared" si="60"/>
        <v>5993.4707323182911</v>
      </c>
      <c r="K160" s="145">
        <f t="shared" si="60"/>
        <v>1439.2147817997957</v>
      </c>
      <c r="L160" s="145">
        <f t="shared" si="60"/>
        <v>2777.9318291472364</v>
      </c>
      <c r="M160" s="97">
        <f t="shared" si="61"/>
        <v>0</v>
      </c>
      <c r="N160" s="146">
        <f t="shared" si="62"/>
        <v>2027</v>
      </c>
      <c r="O160" s="147">
        <f t="shared" si="63"/>
        <v>1.3364723133761249</v>
      </c>
      <c r="P160" s="147">
        <f t="shared" si="57"/>
        <v>1.4634648835378699</v>
      </c>
      <c r="Q160" s="147">
        <f t="shared" si="57"/>
        <v>1.2688137499616687</v>
      </c>
      <c r="R160" s="147">
        <f t="shared" si="57"/>
        <v>1.109762986130316</v>
      </c>
    </row>
    <row r="161" spans="1:18">
      <c r="A161" s="75">
        <f t="shared" si="58"/>
        <v>2028</v>
      </c>
      <c r="B161" s="92">
        <f t="shared" si="65"/>
        <v>12149.181001101117</v>
      </c>
      <c r="C161" s="92">
        <v>1889.5414012047092</v>
      </c>
      <c r="D161" s="92">
        <v>6028.5013425611842</v>
      </c>
      <c r="E161" s="92">
        <v>1444.0893260705225</v>
      </c>
      <c r="F161" s="92">
        <v>2787.0489312647005</v>
      </c>
      <c r="G161" s="101">
        <f t="shared" si="59"/>
        <v>12149.181001101117</v>
      </c>
      <c r="I161" s="145">
        <f t="shared" si="60"/>
        <v>1889.5414012047092</v>
      </c>
      <c r="J161" s="145">
        <f t="shared" si="60"/>
        <v>6028.5013425611851</v>
      </c>
      <c r="K161" s="145">
        <f t="shared" si="60"/>
        <v>1444.0893260705225</v>
      </c>
      <c r="L161" s="145">
        <f t="shared" si="60"/>
        <v>2787.0489312647005</v>
      </c>
      <c r="M161" s="97">
        <f t="shared" si="61"/>
        <v>0</v>
      </c>
      <c r="N161" s="146">
        <f t="shared" si="62"/>
        <v>2028</v>
      </c>
      <c r="O161" s="147">
        <f t="shared" si="63"/>
        <v>1.3441030179249249</v>
      </c>
      <c r="P161" s="147">
        <f t="shared" si="57"/>
        <v>1.4720185363759388</v>
      </c>
      <c r="Q161" s="147">
        <f t="shared" si="57"/>
        <v>1.2731111549589693</v>
      </c>
      <c r="R161" s="147">
        <f t="shared" si="57"/>
        <v>1.1134052002280745</v>
      </c>
    </row>
    <row r="162" spans="1:18">
      <c r="A162" s="75">
        <f t="shared" si="58"/>
        <v>2029</v>
      </c>
      <c r="B162" s="92">
        <f t="shared" si="65"/>
        <v>12209.242936862829</v>
      </c>
      <c r="C162" s="92">
        <v>1900.3299016629758</v>
      </c>
      <c r="D162" s="92">
        <v>6063.7366995541297</v>
      </c>
      <c r="E162" s="92">
        <v>1448.9803801646249</v>
      </c>
      <c r="F162" s="92">
        <v>2796.1959554810974</v>
      </c>
      <c r="G162" s="101">
        <f t="shared" si="59"/>
        <v>12209.242936862829</v>
      </c>
      <c r="I162" s="145">
        <f t="shared" si="60"/>
        <v>1900.329901662976</v>
      </c>
      <c r="J162" s="145">
        <f t="shared" si="60"/>
        <v>6063.7366995541297</v>
      </c>
      <c r="K162" s="145">
        <f t="shared" si="60"/>
        <v>1448.9803801646249</v>
      </c>
      <c r="L162" s="145">
        <f t="shared" si="60"/>
        <v>2796.1959554810974</v>
      </c>
      <c r="M162" s="97">
        <f t="shared" si="61"/>
        <v>0</v>
      </c>
      <c r="N162" s="146">
        <f t="shared" si="62"/>
        <v>2029</v>
      </c>
      <c r="O162" s="147">
        <f t="shared" si="63"/>
        <v>1.3517772906429482</v>
      </c>
      <c r="P162" s="147">
        <f t="shared" si="57"/>
        <v>1.4806221835648772</v>
      </c>
      <c r="Q162" s="147">
        <f t="shared" si="57"/>
        <v>1.2774231150394812</v>
      </c>
      <c r="R162" s="147">
        <f t="shared" si="57"/>
        <v>1.1170593679805318</v>
      </c>
    </row>
    <row r="163" spans="1:18">
      <c r="A163" s="75">
        <f t="shared" si="58"/>
        <v>2030</v>
      </c>
      <c r="B163" s="92">
        <f t="shared" si="65"/>
        <v>12269.618999999999</v>
      </c>
      <c r="C163" s="92">
        <v>1911.18</v>
      </c>
      <c r="D163" s="92">
        <v>6099.1779999999999</v>
      </c>
      <c r="E163" s="92">
        <v>1453.8879999999999</v>
      </c>
      <c r="F163" s="92">
        <v>2805.373</v>
      </c>
      <c r="G163" s="101">
        <f>SUM(C163:F163)</f>
        <v>12269.618999999999</v>
      </c>
      <c r="I163" s="145">
        <f t="shared" si="60"/>
        <v>1911.18</v>
      </c>
      <c r="J163" s="145">
        <f t="shared" si="60"/>
        <v>6099.1779999999999</v>
      </c>
      <c r="K163" s="145">
        <f t="shared" si="60"/>
        <v>1453.8879999999997</v>
      </c>
      <c r="L163" s="145">
        <f t="shared" si="60"/>
        <v>2805.373</v>
      </c>
      <c r="M163" s="97">
        <f t="shared" si="61"/>
        <v>0</v>
      </c>
      <c r="N163" s="146">
        <f t="shared" si="62"/>
        <v>2030</v>
      </c>
      <c r="O163" s="147">
        <f t="shared" si="63"/>
        <v>1.3594953802864342</v>
      </c>
      <c r="P163" s="147">
        <f t="shared" si="57"/>
        <v>1.4892761173114402</v>
      </c>
      <c r="Q163" s="147">
        <f t="shared" si="57"/>
        <v>1.2817496795005001</v>
      </c>
      <c r="R163" s="147">
        <f t="shared" si="57"/>
        <v>1.1207255286192812</v>
      </c>
    </row>
    <row r="164" spans="1:18">
      <c r="A164" s="132">
        <f t="shared" si="58"/>
        <v>2031</v>
      </c>
      <c r="B164" s="92">
        <f t="shared" si="65"/>
        <v>12324.066173136889</v>
      </c>
      <c r="C164" s="92">
        <v>1921.0499293896075</v>
      </c>
      <c r="D164" s="92">
        <v>6120.3692321229109</v>
      </c>
      <c r="E164" s="92">
        <v>1458.6524706374089</v>
      </c>
      <c r="F164" s="92">
        <v>2823.994540986962</v>
      </c>
      <c r="G164" s="143">
        <f>SUM(C164:F164)</f>
        <v>12324.066173136889</v>
      </c>
      <c r="I164" s="145">
        <f t="shared" si="60"/>
        <v>1921.0499293896075</v>
      </c>
      <c r="J164" s="145">
        <f t="shared" si="60"/>
        <v>6120.3692321229109</v>
      </c>
      <c r="K164" s="145">
        <f t="shared" si="60"/>
        <v>1458.6524706374089</v>
      </c>
      <c r="L164" s="145">
        <f t="shared" si="60"/>
        <v>2823.994540986962</v>
      </c>
      <c r="M164" s="97">
        <f t="shared" si="61"/>
        <v>0</v>
      </c>
      <c r="N164" s="146">
        <f t="shared" si="62"/>
        <v>2031</v>
      </c>
      <c r="O164" s="147">
        <f t="shared" si="63"/>
        <v>1.3665162382950595</v>
      </c>
      <c r="P164" s="147">
        <f t="shared" si="57"/>
        <v>1.4944505188286699</v>
      </c>
      <c r="Q164" s="147">
        <f t="shared" si="57"/>
        <v>1.2859500434298323</v>
      </c>
      <c r="R164" s="147">
        <f t="shared" si="57"/>
        <v>1.1281646949498612</v>
      </c>
    </row>
    <row r="165" spans="1:18">
      <c r="A165" s="132">
        <f t="shared" si="58"/>
        <v>2032</v>
      </c>
      <c r="B165" s="92">
        <f t="shared" si="65"/>
        <v>12378.777165080868</v>
      </c>
      <c r="C165" s="92">
        <v>1930.9708301718392</v>
      </c>
      <c r="D165" s="92">
        <v>6141.6340919246486</v>
      </c>
      <c r="E165" s="92">
        <v>1463.4325547061517</v>
      </c>
      <c r="F165" s="92">
        <v>2842.7396882782296</v>
      </c>
      <c r="G165" s="143">
        <f t="shared" ref="G165:G178" si="66">SUM(C165:F165)</f>
        <v>12378.777165080868</v>
      </c>
      <c r="I165" s="145">
        <f t="shared" si="60"/>
        <v>1930.9708301718395</v>
      </c>
      <c r="J165" s="145">
        <f t="shared" si="60"/>
        <v>6141.6340919246486</v>
      </c>
      <c r="K165" s="145">
        <f t="shared" si="60"/>
        <v>1463.4325547061519</v>
      </c>
      <c r="L165" s="145">
        <f t="shared" si="60"/>
        <v>2842.73968827823</v>
      </c>
      <c r="M165" s="97">
        <f t="shared" si="61"/>
        <v>0</v>
      </c>
      <c r="N165" s="146">
        <f t="shared" si="62"/>
        <v>2032</v>
      </c>
      <c r="O165" s="147">
        <f t="shared" si="63"/>
        <v>1.3735733542034116</v>
      </c>
      <c r="P165" s="147">
        <f t="shared" si="57"/>
        <v>1.4996428984969963</v>
      </c>
      <c r="Q165" s="147">
        <f t="shared" si="57"/>
        <v>1.2901641721819073</v>
      </c>
      <c r="R165" s="147">
        <f t="shared" si="57"/>
        <v>1.135653241074406</v>
      </c>
    </row>
    <row r="166" spans="1:18">
      <c r="A166" s="132">
        <f t="shared" si="58"/>
        <v>2033</v>
      </c>
      <c r="B166" s="92">
        <f t="shared" si="65"/>
        <v>12433.753366520694</v>
      </c>
      <c r="C166" s="92">
        <v>1940.9429655788588</v>
      </c>
      <c r="D166" s="92">
        <v>6162.9728352202155</v>
      </c>
      <c r="E166" s="92">
        <v>1468.2283033722979</v>
      </c>
      <c r="F166" s="92">
        <v>2861.6092623493196</v>
      </c>
      <c r="G166" s="143">
        <f t="shared" si="66"/>
        <v>12433.753366520694</v>
      </c>
      <c r="I166" s="145">
        <f t="shared" si="60"/>
        <v>1940.9429655788588</v>
      </c>
      <c r="J166" s="145">
        <f t="shared" si="60"/>
        <v>6162.9728352202146</v>
      </c>
      <c r="K166" s="145">
        <f t="shared" si="60"/>
        <v>1468.2283033722979</v>
      </c>
      <c r="L166" s="145">
        <f t="shared" si="60"/>
        <v>2861.6092623493196</v>
      </c>
      <c r="M166" s="97">
        <f t="shared" si="61"/>
        <v>0</v>
      </c>
      <c r="N166" s="146">
        <f t="shared" si="62"/>
        <v>2033</v>
      </c>
      <c r="O166" s="147">
        <f t="shared" si="63"/>
        <v>1.3806669152585889</v>
      </c>
      <c r="P166" s="147">
        <f t="shared" si="57"/>
        <v>1.5048533187804387</v>
      </c>
      <c r="Q166" s="147">
        <f t="shared" si="57"/>
        <v>1.2943921108648027</v>
      </c>
      <c r="R166" s="147">
        <f t="shared" si="57"/>
        <v>1.1431914947667465</v>
      </c>
    </row>
    <row r="167" spans="1:18">
      <c r="A167" s="132">
        <f t="shared" si="58"/>
        <v>2034</v>
      </c>
      <c r="B167" s="92">
        <f t="shared" si="65"/>
        <v>12488.996176007171</v>
      </c>
      <c r="C167" s="92">
        <v>1950.9666002022427</v>
      </c>
      <c r="D167" s="92">
        <v>6184.3857187134245</v>
      </c>
      <c r="E167" s="92">
        <v>1473.0397679695916</v>
      </c>
      <c r="F167" s="92">
        <v>2880.6040891219118</v>
      </c>
      <c r="G167" s="143">
        <f t="shared" si="66"/>
        <v>12488.996176007171</v>
      </c>
      <c r="I167" s="145">
        <f t="shared" si="60"/>
        <v>1950.9666002022427</v>
      </c>
      <c r="J167" s="145">
        <f t="shared" si="60"/>
        <v>6184.3857187134245</v>
      </c>
      <c r="K167" s="145">
        <f t="shared" si="60"/>
        <v>1473.0397679695918</v>
      </c>
      <c r="L167" s="145">
        <f t="shared" si="60"/>
        <v>2880.6040891219113</v>
      </c>
      <c r="M167" s="97">
        <f t="shared" si="61"/>
        <v>0</v>
      </c>
      <c r="N167" s="146">
        <f t="shared" si="62"/>
        <v>2034</v>
      </c>
      <c r="O167" s="147">
        <f t="shared" si="63"/>
        <v>1.3877971096746928</v>
      </c>
      <c r="P167" s="147">
        <f t="shared" si="63"/>
        <v>1.5100818423600442</v>
      </c>
      <c r="Q167" s="147">
        <f t="shared" si="63"/>
        <v>1.2986339047344195</v>
      </c>
      <c r="R167" s="147">
        <f t="shared" si="63"/>
        <v>1.1507797859764162</v>
      </c>
    </row>
    <row r="168" spans="1:18">
      <c r="A168" s="132">
        <f t="shared" si="58"/>
        <v>2035</v>
      </c>
      <c r="B168" s="92">
        <f t="shared" si="65"/>
        <v>12544.507</v>
      </c>
      <c r="C168" s="92">
        <v>1961.0419999999999</v>
      </c>
      <c r="D168" s="92">
        <v>6205.8729999999996</v>
      </c>
      <c r="E168" s="92">
        <v>1477.867</v>
      </c>
      <c r="F168" s="92">
        <v>2899.7249999999999</v>
      </c>
      <c r="G168" s="143">
        <f t="shared" si="66"/>
        <v>12544.507</v>
      </c>
      <c r="I168" s="145">
        <f t="shared" si="60"/>
        <v>1961.0419999999999</v>
      </c>
      <c r="J168" s="145">
        <f t="shared" si="60"/>
        <v>6205.8729999999996</v>
      </c>
      <c r="K168" s="145">
        <f t="shared" si="60"/>
        <v>1477.867</v>
      </c>
      <c r="L168" s="145">
        <f t="shared" si="60"/>
        <v>2899.7250000000004</v>
      </c>
      <c r="M168" s="97">
        <f t="shared" si="61"/>
        <v>0</v>
      </c>
      <c r="N168" s="146">
        <f t="shared" si="62"/>
        <v>2035</v>
      </c>
      <c r="O168" s="147">
        <f t="shared" si="63"/>
        <v>1.3949641266378203</v>
      </c>
      <c r="P168" s="147">
        <f t="shared" si="63"/>
        <v>1.5153285321346415</v>
      </c>
      <c r="Q168" s="147">
        <f t="shared" si="63"/>
        <v>1.3028895991949627</v>
      </c>
      <c r="R168" s="147">
        <f t="shared" si="63"/>
        <v>1.158418446843092</v>
      </c>
    </row>
    <row r="169" spans="1:18">
      <c r="A169" s="132">
        <f t="shared" si="58"/>
        <v>2036</v>
      </c>
      <c r="B169" s="92">
        <f t="shared" si="65"/>
        <v>12605.167450789813</v>
      </c>
      <c r="C169" s="92">
        <v>1968.0641296960114</v>
      </c>
      <c r="D169" s="92">
        <v>6239.263743222481</v>
      </c>
      <c r="E169" s="92">
        <v>1483.3743991491631</v>
      </c>
      <c r="F169" s="92">
        <v>2914.4651787221569</v>
      </c>
      <c r="G169" s="143">
        <f t="shared" si="66"/>
        <v>12605.167450789813</v>
      </c>
      <c r="I169" s="145">
        <f t="shared" si="60"/>
        <v>1968.0641296960114</v>
      </c>
      <c r="J169" s="145">
        <f t="shared" si="60"/>
        <v>6239.263743222481</v>
      </c>
      <c r="K169" s="145">
        <f t="shared" si="60"/>
        <v>1483.3743991491631</v>
      </c>
      <c r="L169" s="145">
        <f t="shared" si="60"/>
        <v>2914.4651787221565</v>
      </c>
      <c r="M169" s="97">
        <f t="shared" si="61"/>
        <v>0</v>
      </c>
      <c r="N169" s="146">
        <f t="shared" si="62"/>
        <v>2036</v>
      </c>
      <c r="O169" s="147">
        <f t="shared" si="63"/>
        <v>1.3999592358800161</v>
      </c>
      <c r="P169" s="147">
        <f t="shared" si="63"/>
        <v>1.5234817679346986</v>
      </c>
      <c r="Q169" s="147">
        <f t="shared" si="63"/>
        <v>1.3077449299318016</v>
      </c>
      <c r="R169" s="147">
        <f t="shared" si="63"/>
        <v>1.1643070379824274</v>
      </c>
    </row>
    <row r="170" spans="1:18">
      <c r="A170" s="132">
        <f t="shared" si="58"/>
        <v>2037</v>
      </c>
      <c r="B170" s="92">
        <f t="shared" si="65"/>
        <v>12666.128158242362</v>
      </c>
      <c r="C170" s="92">
        <v>1975.1114043432615</v>
      </c>
      <c r="D170" s="92">
        <v>6272.8341455731706</v>
      </c>
      <c r="E170" s="92">
        <v>1488.9023220974152</v>
      </c>
      <c r="F170" s="92">
        <v>2929.2802862285134</v>
      </c>
      <c r="G170" s="143">
        <f t="shared" si="66"/>
        <v>12666.128158242362</v>
      </c>
      <c r="I170" s="145">
        <f t="shared" si="60"/>
        <v>1975.1114043432615</v>
      </c>
      <c r="J170" s="145">
        <f t="shared" si="60"/>
        <v>6272.8341455731706</v>
      </c>
      <c r="K170" s="145">
        <f t="shared" si="60"/>
        <v>1488.9023220974152</v>
      </c>
      <c r="L170" s="145">
        <f t="shared" si="60"/>
        <v>2929.2802862285139</v>
      </c>
      <c r="M170" s="97">
        <f t="shared" si="61"/>
        <v>0</v>
      </c>
      <c r="N170" s="146">
        <f t="shared" si="62"/>
        <v>2037</v>
      </c>
      <c r="O170" s="147">
        <f t="shared" si="63"/>
        <v>1.404972231687081</v>
      </c>
      <c r="P170" s="147">
        <f t="shared" si="63"/>
        <v>1.5316788722771884</v>
      </c>
      <c r="Q170" s="147">
        <f t="shared" si="63"/>
        <v>1.3126183544784142</v>
      </c>
      <c r="R170" s="147">
        <f t="shared" si="63"/>
        <v>1.1702255626105655</v>
      </c>
    </row>
    <row r="171" spans="1:18">
      <c r="A171" s="132">
        <f t="shared" si="58"/>
        <v>2038</v>
      </c>
      <c r="B171" s="92">
        <f t="shared" si="65"/>
        <v>12727.390636423648</v>
      </c>
      <c r="C171" s="92">
        <v>1982.1839139811832</v>
      </c>
      <c r="D171" s="92">
        <v>6306.585173709268</v>
      </c>
      <c r="E171" s="92">
        <v>1494.4508453284682</v>
      </c>
      <c r="F171" s="92">
        <v>2944.1707034047286</v>
      </c>
      <c r="G171" s="143">
        <f t="shared" si="66"/>
        <v>12727.390636423648</v>
      </c>
      <c r="I171" s="145">
        <f t="shared" si="60"/>
        <v>1982.1839139811834</v>
      </c>
      <c r="J171" s="145">
        <f t="shared" si="60"/>
        <v>6306.585173709268</v>
      </c>
      <c r="K171" s="145">
        <f t="shared" si="60"/>
        <v>1494.4508453284682</v>
      </c>
      <c r="L171" s="145">
        <f t="shared" si="60"/>
        <v>2944.1707034047286</v>
      </c>
      <c r="M171" s="97">
        <f t="shared" si="61"/>
        <v>0</v>
      </c>
      <c r="N171" s="146">
        <f t="shared" si="62"/>
        <v>2038</v>
      </c>
      <c r="O171" s="147">
        <f t="shared" si="63"/>
        <v>1.4100031781075051</v>
      </c>
      <c r="P171" s="147">
        <f t="shared" si="63"/>
        <v>1.539920081197111</v>
      </c>
      <c r="Q171" s="147">
        <f t="shared" si="63"/>
        <v>1.3175099402629473</v>
      </c>
      <c r="R171" s="147">
        <f t="shared" si="63"/>
        <v>1.1761741728884769</v>
      </c>
    </row>
    <row r="172" spans="1:18">
      <c r="A172" s="132">
        <f t="shared" si="58"/>
        <v>2039</v>
      </c>
      <c r="B172" s="92">
        <f t="shared" si="65"/>
        <v>12788.956407144378</v>
      </c>
      <c r="C172" s="92">
        <v>1989.281748971624</v>
      </c>
      <c r="D172" s="92">
        <v>6340.5177994890801</v>
      </c>
      <c r="E172" s="92">
        <v>1500.0200456110565</v>
      </c>
      <c r="F172" s="92">
        <v>2959.1368130726196</v>
      </c>
      <c r="G172" s="143">
        <f t="shared" si="66"/>
        <v>12788.956407144378</v>
      </c>
      <c r="I172" s="145">
        <f t="shared" si="60"/>
        <v>1989.281748971624</v>
      </c>
      <c r="J172" s="145">
        <f t="shared" si="60"/>
        <v>6340.5177994890801</v>
      </c>
      <c r="K172" s="145">
        <f t="shared" si="60"/>
        <v>1500.0200456110565</v>
      </c>
      <c r="L172" s="145">
        <f t="shared" si="60"/>
        <v>2959.1368130726196</v>
      </c>
      <c r="M172" s="97">
        <f t="shared" si="61"/>
        <v>0</v>
      </c>
      <c r="N172" s="146">
        <f t="shared" si="62"/>
        <v>2039</v>
      </c>
      <c r="O172" s="147">
        <f t="shared" si="63"/>
        <v>1.4150521394191238</v>
      </c>
      <c r="P172" s="147">
        <f t="shared" si="63"/>
        <v>1.5482056319994553</v>
      </c>
      <c r="Q172" s="147">
        <f t="shared" si="63"/>
        <v>1.3224197549648238</v>
      </c>
      <c r="R172" s="147">
        <f t="shared" si="63"/>
        <v>1.1821530217506144</v>
      </c>
    </row>
    <row r="173" spans="1:18">
      <c r="A173" s="132">
        <f t="shared" si="58"/>
        <v>2040</v>
      </c>
      <c r="B173" s="92">
        <f t="shared" si="65"/>
        <v>12850.827000000001</v>
      </c>
      <c r="C173" s="92">
        <v>1996.405</v>
      </c>
      <c r="D173" s="92">
        <v>6374.6329999999998</v>
      </c>
      <c r="E173" s="92">
        <v>1505.61</v>
      </c>
      <c r="F173" s="92">
        <v>2974.1790000000001</v>
      </c>
      <c r="G173" s="143">
        <f t="shared" si="66"/>
        <v>12850.827000000001</v>
      </c>
      <c r="I173" s="145">
        <f t="shared" si="60"/>
        <v>1996.4050000000002</v>
      </c>
      <c r="J173" s="145">
        <f t="shared" si="60"/>
        <v>6374.6329999999998</v>
      </c>
      <c r="K173" s="145">
        <f t="shared" si="60"/>
        <v>1505.61</v>
      </c>
      <c r="L173" s="145">
        <f t="shared" si="60"/>
        <v>2974.1790000000001</v>
      </c>
      <c r="M173" s="97">
        <f t="shared" si="61"/>
        <v>0</v>
      </c>
      <c r="N173" s="146">
        <f t="shared" si="62"/>
        <v>2040</v>
      </c>
      <c r="O173" s="147">
        <f t="shared" si="63"/>
        <v>1.4201191801299402</v>
      </c>
      <c r="P173" s="147">
        <f t="shared" si="63"/>
        <v>1.5565357632660297</v>
      </c>
      <c r="Q173" s="147">
        <f t="shared" si="63"/>
        <v>1.3273478665156795</v>
      </c>
      <c r="R173" s="147">
        <f t="shared" si="63"/>
        <v>1.1881622629088413</v>
      </c>
    </row>
    <row r="174" spans="1:18">
      <c r="A174" s="132">
        <f t="shared" si="58"/>
        <v>2041</v>
      </c>
      <c r="B174" s="92">
        <f t="shared" si="65"/>
        <v>12895.492211164157</v>
      </c>
      <c r="C174" s="92">
        <v>2001.0820345584341</v>
      </c>
      <c r="D174" s="92">
        <v>6399.546502280441</v>
      </c>
      <c r="E174" s="92">
        <v>1509.431748898972</v>
      </c>
      <c r="F174" s="92">
        <v>2985.4319254263096</v>
      </c>
      <c r="G174" s="143">
        <f t="shared" si="66"/>
        <v>12895.492211164157</v>
      </c>
      <c r="I174" s="145">
        <f t="shared" si="60"/>
        <v>2001.0820345584341</v>
      </c>
      <c r="J174" s="145">
        <f t="shared" si="60"/>
        <v>6399.546502280441</v>
      </c>
      <c r="K174" s="145">
        <f t="shared" si="60"/>
        <v>1509.431748898972</v>
      </c>
      <c r="L174" s="145">
        <f t="shared" si="60"/>
        <v>2985.4319254263096</v>
      </c>
      <c r="M174" s="97">
        <f t="shared" si="61"/>
        <v>0</v>
      </c>
      <c r="N174" s="146">
        <f t="shared" si="62"/>
        <v>2041</v>
      </c>
      <c r="O174" s="147">
        <f t="shared" si="63"/>
        <v>1.4234461335700299</v>
      </c>
      <c r="P174" s="147">
        <f t="shared" si="63"/>
        <v>1.5626190557924728</v>
      </c>
      <c r="Q174" s="147">
        <f t="shared" si="63"/>
        <v>1.3307171256514514</v>
      </c>
      <c r="R174" s="147">
        <f t="shared" si="63"/>
        <v>1.1926577224419994</v>
      </c>
    </row>
    <row r="175" spans="1:18">
      <c r="A175" s="132">
        <f t="shared" si="58"/>
        <v>2042</v>
      </c>
      <c r="B175" s="92">
        <f t="shared" si="65"/>
        <v>12940.318023720187</v>
      </c>
      <c r="C175" s="92">
        <v>2005.7700261382445</v>
      </c>
      <c r="D175" s="92">
        <v>6424.5573721420233</v>
      </c>
      <c r="E175" s="92">
        <v>1513.2631986930276</v>
      </c>
      <c r="F175" s="92">
        <v>2996.7274267468906</v>
      </c>
      <c r="G175" s="143">
        <f t="shared" si="66"/>
        <v>12940.318023720187</v>
      </c>
      <c r="I175" s="145">
        <f t="shared" si="60"/>
        <v>2005.7700261382442</v>
      </c>
      <c r="J175" s="145">
        <f t="shared" si="60"/>
        <v>6424.5573721420233</v>
      </c>
      <c r="K175" s="145">
        <f t="shared" si="60"/>
        <v>1513.2631986930276</v>
      </c>
      <c r="L175" s="145">
        <f t="shared" si="60"/>
        <v>2996.7274267468906</v>
      </c>
      <c r="M175" s="97">
        <f t="shared" si="61"/>
        <v>0</v>
      </c>
      <c r="N175" s="146">
        <f t="shared" si="62"/>
        <v>2042</v>
      </c>
      <c r="O175" s="147">
        <f t="shared" si="63"/>
        <v>1.4267808811582077</v>
      </c>
      <c r="P175" s="147">
        <f t="shared" si="63"/>
        <v>1.568726123196972</v>
      </c>
      <c r="Q175" s="147">
        <f t="shared" si="63"/>
        <v>1.3340949371097981</v>
      </c>
      <c r="R175" s="147">
        <f t="shared" si="63"/>
        <v>1.1971701907264407</v>
      </c>
    </row>
    <row r="176" spans="1:18">
      <c r="A176" s="132">
        <f t="shared" si="58"/>
        <v>2043</v>
      </c>
      <c r="B176" s="92">
        <f t="shared" si="65"/>
        <v>12985.305029583627</v>
      </c>
      <c r="C176" s="92">
        <v>2010.4690004087558</v>
      </c>
      <c r="D176" s="92">
        <v>6449.665990119197</v>
      </c>
      <c r="E176" s="92">
        <v>1517.1043740063292</v>
      </c>
      <c r="F176" s="92">
        <v>3008.0656650493461</v>
      </c>
      <c r="G176" s="143">
        <f t="shared" si="66"/>
        <v>12985.305029583627</v>
      </c>
      <c r="I176" s="145">
        <f t="shared" si="60"/>
        <v>2010.4690004087558</v>
      </c>
      <c r="J176" s="145">
        <f t="shared" si="60"/>
        <v>6449.665990119197</v>
      </c>
      <c r="K176" s="145">
        <f t="shared" si="60"/>
        <v>1517.1043740063292</v>
      </c>
      <c r="L176" s="145">
        <f t="shared" si="60"/>
        <v>3008.0656650493461</v>
      </c>
      <c r="M176" s="97">
        <f t="shared" si="61"/>
        <v>0</v>
      </c>
      <c r="N176" s="146">
        <f t="shared" si="62"/>
        <v>2043</v>
      </c>
      <c r="O176" s="147">
        <f t="shared" si="63"/>
        <v>1.4301234411540455</v>
      </c>
      <c r="P176" s="147">
        <f t="shared" si="63"/>
        <v>1.5748570583971091</v>
      </c>
      <c r="Q176" s="147">
        <f t="shared" si="63"/>
        <v>1.337481322599416</v>
      </c>
      <c r="R176" s="147">
        <f t="shared" si="63"/>
        <v>1.2016997321154577</v>
      </c>
    </row>
    <row r="177" spans="1:18">
      <c r="A177" s="132">
        <f t="shared" si="58"/>
        <v>2044</v>
      </c>
      <c r="B177" s="92">
        <f t="shared" si="65"/>
        <v>13030.453822889354</v>
      </c>
      <c r="C177" s="92">
        <v>2015.1789830994283</v>
      </c>
      <c r="D177" s="92">
        <v>6474.8727382336247</v>
      </c>
      <c r="E177" s="92">
        <v>1520.9552995255433</v>
      </c>
      <c r="F177" s="92">
        <v>3019.4468020307586</v>
      </c>
      <c r="G177" s="143">
        <f t="shared" si="66"/>
        <v>13030.453822889354</v>
      </c>
      <c r="I177" s="145">
        <f t="shared" si="60"/>
        <v>2015.1789830994283</v>
      </c>
      <c r="J177" s="145">
        <f t="shared" si="60"/>
        <v>6474.8727382336256</v>
      </c>
      <c r="K177" s="145">
        <f t="shared" si="60"/>
        <v>1520.9552995255433</v>
      </c>
      <c r="L177" s="145">
        <f t="shared" si="60"/>
        <v>3019.446802030759</v>
      </c>
      <c r="M177" s="97">
        <f t="shared" si="61"/>
        <v>0</v>
      </c>
      <c r="N177" s="146">
        <f t="shared" si="62"/>
        <v>2044</v>
      </c>
      <c r="O177" s="147">
        <f t="shared" si="63"/>
        <v>1.4334738318598912</v>
      </c>
      <c r="P177" s="147">
        <f t="shared" si="63"/>
        <v>1.5810119546736079</v>
      </c>
      <c r="Q177" s="147">
        <f t="shared" si="63"/>
        <v>1.3408763038841043</v>
      </c>
      <c r="R177" s="147">
        <f t="shared" si="63"/>
        <v>1.2062464112058255</v>
      </c>
    </row>
    <row r="178" spans="1:18">
      <c r="A178" s="132">
        <f t="shared" si="58"/>
        <v>2045</v>
      </c>
      <c r="B178" s="92">
        <f t="shared" si="65"/>
        <v>13075.764999999999</v>
      </c>
      <c r="C178" s="92">
        <v>2019.9</v>
      </c>
      <c r="D178" s="92">
        <v>6500.1779999999999</v>
      </c>
      <c r="E178" s="92">
        <v>1524.816</v>
      </c>
      <c r="F178" s="92">
        <v>3030.8710000000001</v>
      </c>
      <c r="G178" s="143">
        <f t="shared" si="66"/>
        <v>13075.764999999999</v>
      </c>
      <c r="I178" s="145">
        <f t="shared" si="60"/>
        <v>2019.8999999999999</v>
      </c>
      <c r="J178" s="145">
        <f t="shared" si="60"/>
        <v>6500.1779999999999</v>
      </c>
      <c r="K178" s="145">
        <f t="shared" si="60"/>
        <v>1524.816</v>
      </c>
      <c r="L178" s="145">
        <f t="shared" si="60"/>
        <v>3030.8710000000005</v>
      </c>
      <c r="M178" s="97">
        <f t="shared" si="61"/>
        <v>0</v>
      </c>
      <c r="N178" s="146">
        <f t="shared" si="62"/>
        <v>2045</v>
      </c>
      <c r="O178" s="147">
        <f t="shared" si="63"/>
        <v>1.4368320716209715</v>
      </c>
      <c r="P178" s="147">
        <f t="shared" si="63"/>
        <v>1.5871909056717548</v>
      </c>
      <c r="Q178" s="147">
        <f t="shared" si="63"/>
        <v>1.3442799027829071</v>
      </c>
      <c r="R178" s="147">
        <f t="shared" si="63"/>
        <v>1.2108102928387241</v>
      </c>
    </row>
    <row r="180" spans="1:18">
      <c r="A180" t="s">
        <v>67</v>
      </c>
    </row>
    <row r="181" spans="1:18">
      <c r="A181" t="s">
        <v>68</v>
      </c>
    </row>
    <row r="182" spans="1:18">
      <c r="A182" t="s">
        <v>69</v>
      </c>
    </row>
    <row r="184" spans="1:18">
      <c r="I184" s="122"/>
      <c r="J184" s="150"/>
      <c r="K184" s="150"/>
      <c r="L184" s="150"/>
      <c r="M184" s="150"/>
    </row>
  </sheetData>
  <mergeCells count="18">
    <mergeCell ref="O32:R32"/>
    <mergeCell ref="A2:A3"/>
    <mergeCell ref="B2:F2"/>
    <mergeCell ref="A32:A33"/>
    <mergeCell ref="B32:G32"/>
    <mergeCell ref="I32:L32"/>
    <mergeCell ref="A149:A150"/>
    <mergeCell ref="B149:G149"/>
    <mergeCell ref="I149:L149"/>
    <mergeCell ref="O149:R149"/>
    <mergeCell ref="A73:A74"/>
    <mergeCell ref="B73:G73"/>
    <mergeCell ref="I73:L73"/>
    <mergeCell ref="O73:R73"/>
    <mergeCell ref="A116:A117"/>
    <mergeCell ref="B116:G116"/>
    <mergeCell ref="I116:L116"/>
    <mergeCell ref="O116:R116"/>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a6a9aea-fb0f-4ddd-aff8-712634b7d5fe" xsi:nil="true"/>
    <lcf76f155ced4ddcb4097134ff3c332f xmlns="da57bf1e-e8be-428a-98f6-61d2e91c4cae">
      <Terms xmlns="http://schemas.microsoft.com/office/infopath/2007/PartnerControls"/>
    </lcf76f155ced4ddcb4097134ff3c332f>
    <CheckInNotes xmlns="da57bf1e-e8be-428a-98f6-61d2e91c4ca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65377373E491046B04AA9A0BA7018B0" ma:contentTypeVersion="18" ma:contentTypeDescription="Create a new document." ma:contentTypeScope="" ma:versionID="b5c01bbb21b88f2d539c95bf5c38e841">
  <xsd:schema xmlns:xsd="http://www.w3.org/2001/XMLSchema" xmlns:xs="http://www.w3.org/2001/XMLSchema" xmlns:p="http://schemas.microsoft.com/office/2006/metadata/properties" xmlns:ns2="a9672bf0-41c1-4df4-be61-4b34b4fa2006" xmlns:ns3="da57bf1e-e8be-428a-98f6-61d2e91c4cae" xmlns:ns4="fa6a9aea-fb0f-4ddd-aff8-712634b7d5fe" targetNamespace="http://schemas.microsoft.com/office/2006/metadata/properties" ma:root="true" ma:fieldsID="d06e3518728ed02a84fab0480b064d34" ns2:_="" ns3:_="" ns4:_="">
    <xsd:import namespace="a9672bf0-41c1-4df4-be61-4b34b4fa2006"/>
    <xsd:import namespace="da57bf1e-e8be-428a-98f6-61d2e91c4cae"/>
    <xsd:import namespace="fa6a9aea-fb0f-4ddd-aff8-712634b7d5f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3:lcf76f155ced4ddcb4097134ff3c332f" minOccurs="0"/>
                <xsd:element ref="ns4:TaxCatchAll" minOccurs="0"/>
                <xsd:element ref="ns3:MediaServiceDateTaken" minOccurs="0"/>
                <xsd:element ref="ns3:CheckInNotes" minOccurs="0"/>
                <xsd:element ref="ns3:MediaServiceObjectDetectorVersion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672bf0-41c1-4df4-be61-4b34b4fa200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a57bf1e-e8be-428a-98f6-61d2e91c4c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6856f2ee-118d-42e8-91de-064c9a66b685"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CheckInNotes" ma:index="22" nillable="true" ma:displayName="Check In Notes" ma:format="Dropdown" ma:internalName="CheckInNotes">
      <xsd:simpleType>
        <xsd:restriction base="dms:Text">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6a9aea-fb0f-4ddd-aff8-712634b7d5f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57c43ba3-e373-4401-a0fd-b5ce433444d0}" ma:internalName="TaxCatchAll" ma:showField="CatchAllData" ma:web="a9672bf0-41c1-4df4-be61-4b34b4fa20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8FE852-BFAC-4EE4-8666-8EA00F842905}">
  <ds:schemaRefs>
    <ds:schemaRef ds:uri="http://schemas.microsoft.com/sharepoint/v3/contenttype/forms"/>
  </ds:schemaRefs>
</ds:datastoreItem>
</file>

<file path=customXml/itemProps2.xml><?xml version="1.0" encoding="utf-8"?>
<ds:datastoreItem xmlns:ds="http://schemas.openxmlformats.org/officeDocument/2006/customXml" ds:itemID="{6EDD82F1-BFE0-40D0-A466-1C7599058949}">
  <ds:schemaRefs>
    <ds:schemaRef ds:uri="http://schemas.microsoft.com/office/2006/metadata/properties"/>
    <ds:schemaRef ds:uri="http://schemas.openxmlformats.org/package/2006/metadata/core-properties"/>
    <ds:schemaRef ds:uri="a9672bf0-41c1-4df4-be61-4b34b4fa2006"/>
    <ds:schemaRef ds:uri="http://www.w3.org/XML/1998/namespace"/>
    <ds:schemaRef ds:uri="http://purl.org/dc/terms/"/>
    <ds:schemaRef ds:uri="da57bf1e-e8be-428a-98f6-61d2e91c4cae"/>
    <ds:schemaRef ds:uri="http://purl.org/dc/elements/1.1/"/>
    <ds:schemaRef ds:uri="http://schemas.microsoft.com/office/2006/documentManagement/types"/>
    <ds:schemaRef ds:uri="http://purl.org/dc/dcmitype/"/>
    <ds:schemaRef ds:uri="http://schemas.microsoft.com/office/infopath/2007/PartnerControls"/>
    <ds:schemaRef ds:uri="fa6a9aea-fb0f-4ddd-aff8-712634b7d5fe"/>
  </ds:schemaRefs>
</ds:datastoreItem>
</file>

<file path=customXml/itemProps3.xml><?xml version="1.0" encoding="utf-8"?>
<ds:datastoreItem xmlns:ds="http://schemas.openxmlformats.org/officeDocument/2006/customXml" ds:itemID="{A613049C-864C-4B52-AC94-12A458FDED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672bf0-41c1-4df4-be61-4b34b4fa2006"/>
    <ds:schemaRef ds:uri="da57bf1e-e8be-428a-98f6-61d2e91c4cae"/>
    <ds:schemaRef ds:uri="fa6a9aea-fb0f-4ddd-aff8-712634b7d5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Notes</vt:lpstr>
      <vt:lpstr>Summary_Format</vt:lpstr>
      <vt:lpstr>Landfills</vt:lpstr>
      <vt:lpstr>Industrial_Landfills</vt:lpstr>
      <vt:lpstr>Wastewater</vt:lpstr>
      <vt:lpstr>Composting</vt:lpstr>
      <vt:lpstr>Landfill Adj</vt:lpstr>
      <vt:lpstr>Macro</vt:lpstr>
      <vt:lpstr>DeFactoIndex</vt:lpstr>
      <vt:lpstr>GSPIndex</vt:lpstr>
      <vt:lpstr>PopIndex</vt:lpstr>
      <vt:lpstr>VisIndex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Maja</dc:creator>
  <cp:lastModifiedBy>Cliche, Anna</cp:lastModifiedBy>
  <dcterms:created xsi:type="dcterms:W3CDTF">2020-09-10T02:46:17Z</dcterms:created>
  <dcterms:modified xsi:type="dcterms:W3CDTF">2025-01-21T16:52:13Z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0x010100265377373E491046B04AA9A0BA7018B0</vt:lpwstr>
  </property>
  <property fmtid="{D5CDD505-2E9C-101B-9397-08002B2CF9AE}" pid="3" name="MediaServiceImageTags">
    <vt:lpwstr/>
  </property>
</Properties>
</file>