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mc:AlternateContent xmlns:mc="http://schemas.openxmlformats.org/markup-compatibility/2006">
    <mc:Choice Requires="x15">
      <x15ac:absPath xmlns:x15ac="http://schemas.microsoft.com/office/spreadsheetml/2010/11/ac" url="https://icfonline.sharepoint.com/teams/HawaiiInventory/Shared Documents/Project Year 3 - 2024/Projections/1.24.25 New Forecasts_Unlinked/"/>
    </mc:Choice>
  </mc:AlternateContent>
  <xr:revisionPtr revIDLastSave="0" documentId="13_ncr:1_{26A2467C-4C11-4159-B917-956C0FF7A8DA}" xr6:coauthVersionLast="47" xr6:coauthVersionMax="47" xr10:uidLastSave="{00000000-0000-0000-0000-000000000000}"/>
  <bookViews>
    <workbookView xWindow="1560" yWindow="1560" windowWidth="24765" windowHeight="11295" tabRatio="797" activeTab="1" xr2:uid="{CD1278D8-B358-4827-B327-4ECF85FD991F}"/>
  </bookViews>
  <sheets>
    <sheet name="Notes" sheetId="50" r:id="rId1"/>
    <sheet name="Summary_Format" sheetId="32" r:id="rId2"/>
    <sheet name="Domestic Air" sheetId="16" r:id="rId3"/>
    <sheet name="ICF Data" sheetId="47" r:id="rId4"/>
    <sheet name="Forecasts" sheetId="37" r:id="rId5"/>
    <sheet name="ShrVisitorComputations" sheetId="51" r:id="rId6"/>
    <sheet name="Notes_Marine" sheetId="52" r:id="rId7"/>
    <sheet name="Marine_Forecast" sheetId="53" r:id="rId8"/>
    <sheet name="Base_Year" sheetId="54" r:id="rId9"/>
    <sheet name="Historicals" sheetId="55" r:id="rId10"/>
    <sheet name="Input_Forecasts" sheetId="56" r:id="rId11"/>
  </sheets>
  <definedNames>
    <definedName name="ShrAirByIntlVis">#REF!</definedName>
    <definedName name="ShrAirByVis">'Domestic Air'!$F$33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Q15" i="32" l="1"/>
  <c r="AP15" i="32"/>
  <c r="AO15" i="32"/>
  <c r="AN15" i="32"/>
  <c r="AQ14" i="32"/>
  <c r="AP14" i="32"/>
  <c r="AN14" i="32"/>
  <c r="AQ13" i="32"/>
  <c r="AP13" i="32"/>
  <c r="AN13" i="32"/>
  <c r="AL15" i="32"/>
  <c r="AK15" i="32"/>
  <c r="AJ15" i="32"/>
  <c r="AI15" i="32"/>
  <c r="AL14" i="32"/>
  <c r="AK14" i="32"/>
  <c r="AI14" i="32"/>
  <c r="AL13" i="32"/>
  <c r="AK13" i="32"/>
  <c r="AI13" i="32"/>
  <c r="AG15" i="32"/>
  <c r="AF15" i="32"/>
  <c r="AE15" i="32"/>
  <c r="AD15" i="32"/>
  <c r="AG14" i="32"/>
  <c r="AF14" i="32"/>
  <c r="AD14" i="32"/>
  <c r="AG13" i="32"/>
  <c r="AF13" i="32"/>
  <c r="AD13" i="32"/>
  <c r="AB15" i="32"/>
  <c r="AA15" i="32"/>
  <c r="Z15" i="32"/>
  <c r="Y15" i="32"/>
  <c r="AB14" i="32"/>
  <c r="AA14" i="32"/>
  <c r="Y14" i="32"/>
  <c r="AB13" i="32"/>
  <c r="AA13" i="32"/>
  <c r="Y13" i="32"/>
  <c r="Z6" i="32" l="1"/>
  <c r="W28" i="32"/>
  <c r="W22" i="32"/>
  <c r="W29" i="32" s="1"/>
  <c r="W21" i="32"/>
  <c r="T21" i="32"/>
  <c r="T28" i="32" s="1"/>
  <c r="V20" i="32"/>
  <c r="V27" i="32" s="1"/>
  <c r="T20" i="32"/>
  <c r="T27" i="32" s="1"/>
  <c r="W15" i="32"/>
  <c r="V15" i="32"/>
  <c r="V22" i="32" s="1"/>
  <c r="V29" i="32" s="1"/>
  <c r="U15" i="32"/>
  <c r="U22" i="32" s="1"/>
  <c r="U29" i="32" s="1"/>
  <c r="T15" i="32"/>
  <c r="T22" i="32" s="1"/>
  <c r="T29" i="32" s="1"/>
  <c r="W14" i="32"/>
  <c r="V14" i="32"/>
  <c r="V21" i="32" s="1"/>
  <c r="V28" i="32" s="1"/>
  <c r="T14" i="32"/>
  <c r="W13" i="32"/>
  <c r="W20" i="32" s="1"/>
  <c r="W27" i="32" s="1"/>
  <c r="V13" i="32"/>
  <c r="T13" i="32"/>
  <c r="U7" i="32"/>
  <c r="E38" i="47"/>
  <c r="U6" i="32"/>
  <c r="E33" i="47"/>
  <c r="T2" i="32"/>
  <c r="U2" i="32" s="1"/>
  <c r="V2" i="32" s="1"/>
  <c r="W2" i="32" s="1"/>
  <c r="B101" i="37"/>
  <c r="B102" i="37"/>
  <c r="B103" i="37"/>
  <c r="B104" i="37"/>
  <c r="B105" i="37"/>
  <c r="B106" i="37"/>
  <c r="B107" i="37"/>
  <c r="B100" i="37"/>
  <c r="B108" i="37"/>
  <c r="C48" i="37"/>
  <c r="C49" i="37"/>
  <c r="C50" i="37"/>
  <c r="C51" i="37"/>
  <c r="C52" i="37"/>
  <c r="C53" i="37"/>
  <c r="C54" i="37"/>
  <c r="C55" i="37"/>
  <c r="C56" i="37"/>
  <c r="C57" i="37"/>
  <c r="C58" i="37"/>
  <c r="C59" i="37"/>
  <c r="C60" i="37"/>
  <c r="C61" i="37"/>
  <c r="C62" i="37"/>
  <c r="C63" i="37"/>
  <c r="C64" i="37"/>
  <c r="C65" i="37"/>
  <c r="C66" i="37"/>
  <c r="C67" i="37"/>
  <c r="C68" i="37"/>
  <c r="C69" i="37"/>
  <c r="C70" i="37"/>
  <c r="C71" i="37"/>
  <c r="C72" i="37"/>
  <c r="C73" i="37"/>
  <c r="C74" i="37"/>
  <c r="C75" i="37"/>
  <c r="C46" i="37"/>
  <c r="C45" i="37"/>
  <c r="C44" i="37"/>
  <c r="C47" i="37"/>
  <c r="AN15" i="51"/>
  <c r="AM15" i="51"/>
  <c r="Y15" i="51"/>
  <c r="X15" i="51"/>
  <c r="Z15" i="51" s="1"/>
  <c r="M82" i="51"/>
  <c r="K81" i="51"/>
  <c r="M81" i="51" s="1"/>
  <c r="C25" i="56"/>
  <c r="B25" i="56"/>
  <c r="C15" i="56"/>
  <c r="B15" i="56"/>
  <c r="H5" i="56"/>
  <c r="H6" i="56"/>
  <c r="H7" i="56"/>
  <c r="H8" i="56"/>
  <c r="H9" i="56"/>
  <c r="H10" i="56"/>
  <c r="H11" i="56"/>
  <c r="H12" i="56"/>
  <c r="H13" i="56"/>
  <c r="H14" i="56"/>
  <c r="H15" i="56"/>
  <c r="H16" i="56"/>
  <c r="H17" i="56"/>
  <c r="H18" i="56"/>
  <c r="H19" i="56"/>
  <c r="H20" i="56"/>
  <c r="H21" i="56"/>
  <c r="H22" i="56"/>
  <c r="H23" i="56"/>
  <c r="H24" i="56"/>
  <c r="H25" i="56"/>
  <c r="H26" i="56"/>
  <c r="H27" i="56"/>
  <c r="H28" i="56"/>
  <c r="H29" i="56"/>
  <c r="H30" i="56"/>
  <c r="H31" i="56"/>
  <c r="H32" i="56"/>
  <c r="H33" i="56"/>
  <c r="H34" i="56"/>
  <c r="H35" i="56"/>
  <c r="H4" i="56"/>
  <c r="F4" i="47"/>
  <c r="F28" i="47" s="1"/>
  <c r="X6" i="32" l="1"/>
  <c r="X7" i="32"/>
  <c r="U13" i="32"/>
  <c r="U20" i="32" s="1"/>
  <c r="U27" i="32" s="1"/>
  <c r="U14" i="32"/>
  <c r="U21" i="32" s="1"/>
  <c r="U28" i="32" s="1"/>
  <c r="Z13" i="32"/>
  <c r="AO15" i="51"/>
  <c r="X14" i="32" l="1"/>
  <c r="X21" i="32" s="1"/>
  <c r="X28" i="32" s="1"/>
  <c r="Z7" i="32"/>
  <c r="X13" i="32"/>
  <c r="X20" i="32" s="1"/>
  <c r="X27" i="32" s="1"/>
  <c r="K8" i="37"/>
  <c r="H9" i="37"/>
  <c r="I12" i="37"/>
  <c r="K12" i="37"/>
  <c r="J14" i="37"/>
  <c r="H15" i="37"/>
  <c r="K16" i="37"/>
  <c r="I17" i="37"/>
  <c r="J17" i="37"/>
  <c r="J18" i="37"/>
  <c r="I20" i="37"/>
  <c r="K20" i="37"/>
  <c r="J21" i="37"/>
  <c r="K21" i="37"/>
  <c r="I22" i="37"/>
  <c r="J22" i="37"/>
  <c r="K22" i="37"/>
  <c r="H23" i="37"/>
  <c r="J23" i="37"/>
  <c r="I24" i="37"/>
  <c r="J24" i="37"/>
  <c r="K24" i="37"/>
  <c r="H25" i="37"/>
  <c r="I25" i="37"/>
  <c r="J25" i="37"/>
  <c r="K25" i="37"/>
  <c r="I26" i="37"/>
  <c r="J26" i="37"/>
  <c r="K26" i="37"/>
  <c r="H27" i="37"/>
  <c r="I28" i="37"/>
  <c r="K28" i="37"/>
  <c r="H29" i="37"/>
  <c r="J29" i="37"/>
  <c r="K29" i="37"/>
  <c r="I30" i="37"/>
  <c r="J30" i="37"/>
  <c r="K30" i="37"/>
  <c r="H31" i="37"/>
  <c r="I31" i="37"/>
  <c r="K32" i="37"/>
  <c r="I33" i="37"/>
  <c r="J33" i="37"/>
  <c r="K33" i="37"/>
  <c r="J34" i="37"/>
  <c r="I5" i="37"/>
  <c r="J5" i="37"/>
  <c r="K5" i="37"/>
  <c r="W8" i="37"/>
  <c r="T9" i="37"/>
  <c r="T11" i="37"/>
  <c r="U11" i="37"/>
  <c r="V11" i="37"/>
  <c r="W11" i="37"/>
  <c r="W12" i="37"/>
  <c r="T13" i="37"/>
  <c r="U13" i="37"/>
  <c r="V13" i="37"/>
  <c r="W13" i="37"/>
  <c r="U14" i="37"/>
  <c r="W14" i="37"/>
  <c r="T15" i="37"/>
  <c r="U15" i="37"/>
  <c r="V15" i="37"/>
  <c r="W15" i="37"/>
  <c r="W16" i="37"/>
  <c r="T17" i="37"/>
  <c r="U17" i="37"/>
  <c r="V17" i="37"/>
  <c r="W17" i="37"/>
  <c r="U18" i="37"/>
  <c r="V18" i="37"/>
  <c r="W18" i="37"/>
  <c r="T19" i="37"/>
  <c r="U19" i="37"/>
  <c r="V19" i="37"/>
  <c r="W19" i="37"/>
  <c r="W20" i="37"/>
  <c r="T21" i="37"/>
  <c r="U21" i="37"/>
  <c r="V21" i="37"/>
  <c r="W21" i="37"/>
  <c r="U22" i="37"/>
  <c r="V22" i="37"/>
  <c r="W22" i="37"/>
  <c r="T23" i="37"/>
  <c r="U23" i="37"/>
  <c r="V23" i="37"/>
  <c r="W23" i="37"/>
  <c r="W24" i="37"/>
  <c r="T25" i="37"/>
  <c r="U25" i="37"/>
  <c r="V25" i="37"/>
  <c r="W25" i="37"/>
  <c r="U26" i="37"/>
  <c r="V26" i="37"/>
  <c r="W26" i="37"/>
  <c r="T27" i="37"/>
  <c r="U27" i="37"/>
  <c r="V27" i="37"/>
  <c r="W27" i="37"/>
  <c r="W28" i="37"/>
  <c r="T29" i="37"/>
  <c r="U29" i="37"/>
  <c r="V29" i="37"/>
  <c r="W29" i="37"/>
  <c r="U30" i="37"/>
  <c r="V30" i="37"/>
  <c r="W30" i="37"/>
  <c r="T31" i="37"/>
  <c r="U31" i="37"/>
  <c r="V31" i="37"/>
  <c r="W31" i="37"/>
  <c r="W32" i="37"/>
  <c r="T33" i="37"/>
  <c r="U33" i="37"/>
  <c r="V33" i="37"/>
  <c r="W33" i="37"/>
  <c r="U34" i="37"/>
  <c r="V34" i="37"/>
  <c r="W34" i="37"/>
  <c r="W7" i="37"/>
  <c r="U7" i="37"/>
  <c r="I7" i="37"/>
  <c r="J7" i="37"/>
  <c r="K7" i="37"/>
  <c r="I8" i="37"/>
  <c r="J8" i="37"/>
  <c r="I9" i="37"/>
  <c r="I10" i="37"/>
  <c r="I11" i="37"/>
  <c r="J11" i="37"/>
  <c r="K11" i="37"/>
  <c r="I15" i="37"/>
  <c r="J15" i="37"/>
  <c r="K15" i="37"/>
  <c r="I18" i="37"/>
  <c r="K18" i="37"/>
  <c r="I19" i="37"/>
  <c r="J19" i="37"/>
  <c r="K19" i="37"/>
  <c r="I21" i="37"/>
  <c r="I23" i="37"/>
  <c r="K23" i="37"/>
  <c r="I27" i="37"/>
  <c r="J27" i="37"/>
  <c r="K27" i="37"/>
  <c r="I29" i="37"/>
  <c r="J31" i="37"/>
  <c r="K31" i="37"/>
  <c r="I34" i="37"/>
  <c r="K34" i="37"/>
  <c r="AC7" i="32"/>
  <c r="AC6" i="32"/>
  <c r="H13" i="37" l="1"/>
  <c r="T34" i="37"/>
  <c r="T32" i="37"/>
  <c r="T30" i="37"/>
  <c r="T28" i="37"/>
  <c r="T26" i="37"/>
  <c r="T24" i="37"/>
  <c r="T22" i="37"/>
  <c r="T20" i="37"/>
  <c r="T18" i="37"/>
  <c r="T16" i="37"/>
  <c r="T14" i="37"/>
  <c r="T12" i="37"/>
  <c r="T8" i="37"/>
  <c r="H32" i="37"/>
  <c r="H30" i="37"/>
  <c r="H22" i="37"/>
  <c r="H16" i="37"/>
  <c r="H21" i="37"/>
  <c r="T7" i="37"/>
  <c r="W9" i="37"/>
  <c r="H19" i="37"/>
  <c r="I14" i="37"/>
  <c r="K17" i="37"/>
  <c r="K13" i="37"/>
  <c r="V9" i="37"/>
  <c r="J13" i="37"/>
  <c r="J9" i="37"/>
  <c r="U9" i="37"/>
  <c r="I13" i="37"/>
  <c r="AC14" i="32"/>
  <c r="Z14" i="32"/>
  <c r="AC13" i="32"/>
  <c r="V14" i="37"/>
  <c r="U10" i="37"/>
  <c r="V32" i="37"/>
  <c r="V28" i="37"/>
  <c r="V24" i="37"/>
  <c r="V20" i="37"/>
  <c r="V16" i="37"/>
  <c r="V12" i="37"/>
  <c r="V8" i="37"/>
  <c r="J32" i="37"/>
  <c r="J28" i="37"/>
  <c r="J20" i="37"/>
  <c r="J16" i="37"/>
  <c r="J12" i="37"/>
  <c r="U32" i="37"/>
  <c r="U28" i="37"/>
  <c r="U24" i="37"/>
  <c r="U20" i="37"/>
  <c r="U16" i="37"/>
  <c r="U12" i="37"/>
  <c r="U8" i="37"/>
  <c r="I32" i="37"/>
  <c r="I16" i="37"/>
  <c r="V7" i="37"/>
  <c r="T10" i="37"/>
  <c r="H14" i="37"/>
  <c r="W10" i="37"/>
  <c r="V10" i="37"/>
  <c r="H5" i="37"/>
  <c r="H7" i="37"/>
  <c r="K14" i="37"/>
  <c r="K10" i="37"/>
  <c r="K6" i="37"/>
  <c r="J10" i="37"/>
  <c r="J6" i="37"/>
  <c r="I6" i="37"/>
  <c r="H6" i="37"/>
  <c r="K9" i="37"/>
  <c r="H24" i="37"/>
  <c r="H11" i="37"/>
  <c r="H34" i="37"/>
  <c r="H18" i="37"/>
  <c r="H8" i="37"/>
  <c r="H12" i="37"/>
  <c r="H17" i="37"/>
  <c r="H28" i="37"/>
  <c r="H33" i="37"/>
  <c r="H26" i="37"/>
  <c r="H10" i="37"/>
  <c r="H20" i="37"/>
  <c r="S5" i="32"/>
  <c r="S29" i="32"/>
  <c r="S7" i="32"/>
  <c r="S6" i="32"/>
  <c r="K6" i="32"/>
  <c r="Q5" i="32" l="1"/>
  <c r="O5" i="32"/>
  <c r="R5" i="32"/>
  <c r="P5" i="32"/>
  <c r="D47" i="37"/>
  <c r="AM8" i="16" s="1"/>
  <c r="D46" i="37"/>
  <c r="AM7" i="16" s="1"/>
  <c r="D45" i="37"/>
  <c r="AM6" i="16" s="1"/>
  <c r="D44" i="37"/>
  <c r="AM5" i="16" s="1"/>
  <c r="D49" i="37"/>
  <c r="AM10" i="16" s="1"/>
  <c r="D50" i="37"/>
  <c r="AM11" i="16" s="1"/>
  <c r="D51" i="37"/>
  <c r="AM12" i="16" s="1"/>
  <c r="D52" i="37"/>
  <c r="AM13" i="16" s="1"/>
  <c r="D53" i="37"/>
  <c r="AM14" i="16" s="1"/>
  <c r="D54" i="37"/>
  <c r="AM15" i="16" s="1"/>
  <c r="D55" i="37"/>
  <c r="AM16" i="16" s="1"/>
  <c r="D56" i="37"/>
  <c r="AM17" i="16" s="1"/>
  <c r="D57" i="37"/>
  <c r="AM18" i="16" s="1"/>
  <c r="D58" i="37"/>
  <c r="AM19" i="16" s="1"/>
  <c r="D59" i="37"/>
  <c r="AM20" i="16" s="1"/>
  <c r="D60" i="37"/>
  <c r="AM21" i="16" s="1"/>
  <c r="D61" i="37"/>
  <c r="AM22" i="16" s="1"/>
  <c r="D62" i="37"/>
  <c r="AM23" i="16" s="1"/>
  <c r="D63" i="37"/>
  <c r="AM24" i="16" s="1"/>
  <c r="D64" i="37"/>
  <c r="AM25" i="16" s="1"/>
  <c r="D65" i="37"/>
  <c r="AM26" i="16" s="1"/>
  <c r="D66" i="37"/>
  <c r="AM27" i="16" s="1"/>
  <c r="D67" i="37"/>
  <c r="AM28" i="16" s="1"/>
  <c r="D68" i="37"/>
  <c r="AM29" i="16" s="1"/>
  <c r="D69" i="37"/>
  <c r="AM30" i="16" s="1"/>
  <c r="D70" i="37"/>
  <c r="AM31" i="16" s="1"/>
  <c r="D71" i="37"/>
  <c r="D72" i="37"/>
  <c r="D73" i="37"/>
  <c r="D74" i="37"/>
  <c r="D48" i="37"/>
  <c r="AM9" i="16" s="1"/>
  <c r="D75" i="37"/>
  <c r="J113" i="37"/>
  <c r="J114" i="37"/>
  <c r="J115" i="37"/>
  <c r="J116" i="37"/>
  <c r="J117" i="37"/>
  <c r="J118" i="37"/>
  <c r="J119" i="37"/>
  <c r="J120" i="37"/>
  <c r="J112" i="37"/>
  <c r="C29" i="32"/>
  <c r="D29" i="32"/>
  <c r="E29" i="32"/>
  <c r="F29" i="32"/>
  <c r="G29" i="32"/>
  <c r="H29" i="32"/>
  <c r="I29" i="32"/>
  <c r="B29" i="32"/>
  <c r="C26" i="32"/>
  <c r="D26" i="32"/>
  <c r="E26" i="32"/>
  <c r="F26" i="32"/>
  <c r="G26" i="32"/>
  <c r="H26" i="32"/>
  <c r="I26" i="32"/>
  <c r="B26" i="32"/>
  <c r="B22" i="32"/>
  <c r="C22" i="32"/>
  <c r="D22" i="32"/>
  <c r="E22" i="32"/>
  <c r="F22" i="32"/>
  <c r="G22" i="32"/>
  <c r="H22" i="32"/>
  <c r="I22" i="32"/>
  <c r="J22" i="32"/>
  <c r="K22" i="32"/>
  <c r="L22" i="32"/>
  <c r="M22" i="32"/>
  <c r="O22" i="32"/>
  <c r="P22" i="32"/>
  <c r="Q22" i="32"/>
  <c r="R22" i="32"/>
  <c r="Y22" i="32"/>
  <c r="Z22" i="32"/>
  <c r="AA22" i="32"/>
  <c r="AB22" i="32"/>
  <c r="AD22" i="32"/>
  <c r="AE22" i="32"/>
  <c r="AF22" i="32"/>
  <c r="AG22" i="32"/>
  <c r="AI22" i="32"/>
  <c r="AJ22" i="32"/>
  <c r="AK22" i="32"/>
  <c r="AL22" i="32"/>
  <c r="AN22" i="32"/>
  <c r="AO22" i="32"/>
  <c r="AP22" i="32"/>
  <c r="AQ22" i="32"/>
  <c r="AS22" i="32"/>
  <c r="AT22" i="32"/>
  <c r="AU22" i="32"/>
  <c r="AV22" i="32"/>
  <c r="B15" i="32"/>
  <c r="C15" i="32"/>
  <c r="D15" i="32"/>
  <c r="E15" i="32"/>
  <c r="F15" i="32"/>
  <c r="G15" i="32"/>
  <c r="H15" i="32"/>
  <c r="I15" i="32"/>
  <c r="J15" i="32"/>
  <c r="K15" i="32"/>
  <c r="L15" i="32"/>
  <c r="M15" i="32"/>
  <c r="O15" i="32"/>
  <c r="P15" i="32"/>
  <c r="Q15" i="32"/>
  <c r="R15" i="32"/>
  <c r="AS15" i="32"/>
  <c r="AT15" i="32"/>
  <c r="AU15" i="32"/>
  <c r="AV15" i="32"/>
  <c r="B21" i="32"/>
  <c r="C21" i="32"/>
  <c r="D21" i="32"/>
  <c r="E21" i="32"/>
  <c r="F21" i="32"/>
  <c r="G21" i="32"/>
  <c r="H21" i="32"/>
  <c r="I21" i="32"/>
  <c r="J21" i="32"/>
  <c r="L21" i="32"/>
  <c r="M21" i="32"/>
  <c r="N21" i="32"/>
  <c r="O21" i="32"/>
  <c r="Q21" i="32"/>
  <c r="R21" i="32"/>
  <c r="R14" i="32"/>
  <c r="Q14" i="32"/>
  <c r="O14" i="32"/>
  <c r="N14" i="32"/>
  <c r="M14" i="32"/>
  <c r="L14" i="32"/>
  <c r="J14" i="32"/>
  <c r="G14" i="32"/>
  <c r="H14" i="32"/>
  <c r="I14" i="32"/>
  <c r="F14" i="32"/>
  <c r="E14" i="32"/>
  <c r="D14" i="32"/>
  <c r="C14" i="32"/>
  <c r="B14" i="32"/>
  <c r="B12" i="32"/>
  <c r="B19" i="32" s="1"/>
  <c r="C12" i="32"/>
  <c r="C19" i="32" s="1"/>
  <c r="D12" i="32"/>
  <c r="D19" i="32" s="1"/>
  <c r="E12" i="32"/>
  <c r="E19" i="32" s="1"/>
  <c r="F12" i="32"/>
  <c r="F19" i="32" s="1"/>
  <c r="G12" i="32"/>
  <c r="G19" i="32" s="1"/>
  <c r="H12" i="32"/>
  <c r="H19" i="32" s="1"/>
  <c r="I12" i="32"/>
  <c r="I19" i="32" s="1"/>
  <c r="B13" i="32"/>
  <c r="B20" i="32" s="1"/>
  <c r="C13" i="32"/>
  <c r="C20" i="32" s="1"/>
  <c r="D13" i="32"/>
  <c r="D20" i="32" s="1"/>
  <c r="E13" i="32"/>
  <c r="E20" i="32" s="1"/>
  <c r="F13" i="32"/>
  <c r="F20" i="32" s="1"/>
  <c r="G13" i="32"/>
  <c r="G20" i="32" s="1"/>
  <c r="H13" i="32"/>
  <c r="H20" i="32" s="1"/>
  <c r="I13" i="32"/>
  <c r="I20" i="32" s="1"/>
  <c r="J13" i="32"/>
  <c r="L13" i="32"/>
  <c r="M13" i="32"/>
  <c r="O13" i="32"/>
  <c r="Q13" i="32"/>
  <c r="R13" i="32"/>
  <c r="AS13" i="32"/>
  <c r="AU13" i="32"/>
  <c r="AV13" i="32"/>
  <c r="Y20" i="32"/>
  <c r="AA20" i="32"/>
  <c r="AB20" i="32"/>
  <c r="AD20" i="32"/>
  <c r="AF20" i="32"/>
  <c r="AG20" i="32"/>
  <c r="AI20" i="32"/>
  <c r="AK20" i="32"/>
  <c r="AL20" i="32"/>
  <c r="AN20" i="32"/>
  <c r="AP20" i="32"/>
  <c r="AQ20" i="32"/>
  <c r="AS20" i="32"/>
  <c r="AU20" i="32"/>
  <c r="AV20" i="32"/>
  <c r="B27" i="32"/>
  <c r="C27" i="32"/>
  <c r="D27" i="32"/>
  <c r="E27" i="32"/>
  <c r="F27" i="32"/>
  <c r="G27" i="32"/>
  <c r="H27" i="32"/>
  <c r="I27" i="32"/>
  <c r="J27" i="32"/>
  <c r="L27" i="32"/>
  <c r="M27" i="32"/>
  <c r="O27" i="32"/>
  <c r="Q27" i="32"/>
  <c r="R27" i="32"/>
  <c r="Y27" i="32"/>
  <c r="AA27" i="32"/>
  <c r="AB27" i="32"/>
  <c r="AD27" i="32"/>
  <c r="AF27" i="32"/>
  <c r="AG27" i="32"/>
  <c r="AI27" i="32"/>
  <c r="AK27" i="32"/>
  <c r="AL27" i="32"/>
  <c r="AN27" i="32"/>
  <c r="AP27" i="32"/>
  <c r="AQ27" i="32"/>
  <c r="AS27" i="32"/>
  <c r="AU27" i="32"/>
  <c r="AV27" i="32"/>
  <c r="B28" i="32"/>
  <c r="C28" i="32"/>
  <c r="D28" i="32"/>
  <c r="E28" i="32"/>
  <c r="F28" i="32"/>
  <c r="G28" i="32"/>
  <c r="H28" i="32"/>
  <c r="I28" i="32"/>
  <c r="J28" i="32"/>
  <c r="L28" i="32"/>
  <c r="M28" i="32"/>
  <c r="N28" i="32"/>
  <c r="O28" i="32"/>
  <c r="Q28" i="32"/>
  <c r="R28" i="32"/>
  <c r="Y28" i="32"/>
  <c r="AA28" i="32"/>
  <c r="AB28" i="32"/>
  <c r="AD28" i="32"/>
  <c r="AF28" i="32"/>
  <c r="AG28" i="32"/>
  <c r="AI28" i="32"/>
  <c r="AK28" i="32"/>
  <c r="AL28" i="32"/>
  <c r="AN28" i="32"/>
  <c r="AP28" i="32"/>
  <c r="AQ28" i="32"/>
  <c r="AS28" i="32"/>
  <c r="AU28" i="32"/>
  <c r="AV28" i="32"/>
  <c r="S22" i="32"/>
  <c r="C30" i="53"/>
  <c r="C27" i="53"/>
  <c r="C26" i="53"/>
  <c r="C25" i="53"/>
  <c r="C23" i="53"/>
  <c r="C21" i="53"/>
  <c r="C19" i="53"/>
  <c r="C18" i="53"/>
  <c r="C15" i="53"/>
  <c r="C14" i="53"/>
  <c r="C11" i="53"/>
  <c r="C10" i="53"/>
  <c r="C9" i="56"/>
  <c r="B9" i="56"/>
  <c r="C9" i="53"/>
  <c r="C8" i="56"/>
  <c r="A5" i="56"/>
  <c r="A6" i="56" s="1"/>
  <c r="A7" i="56" s="1"/>
  <c r="A8" i="56" s="1"/>
  <c r="A9" i="56" s="1"/>
  <c r="A10" i="56" s="1"/>
  <c r="B7" i="54"/>
  <c r="D5" i="53" s="1"/>
  <c r="N8" i="32" s="1"/>
  <c r="N22" i="32" s="1"/>
  <c r="C31" i="53"/>
  <c r="C29" i="53"/>
  <c r="C28" i="53"/>
  <c r="C24" i="53"/>
  <c r="C22" i="53"/>
  <c r="C20" i="53"/>
  <c r="C17" i="53"/>
  <c r="C16" i="53"/>
  <c r="C13" i="53"/>
  <c r="C12" i="53"/>
  <c r="C8" i="53"/>
  <c r="C7" i="53"/>
  <c r="A7" i="53"/>
  <c r="A8" i="53" s="1"/>
  <c r="A9" i="53" s="1"/>
  <c r="A10" i="53" s="1"/>
  <c r="A11" i="53" s="1"/>
  <c r="A12" i="53" s="1"/>
  <c r="A13" i="53" s="1"/>
  <c r="A14" i="53" s="1"/>
  <c r="A15" i="53" s="1"/>
  <c r="A16" i="53" s="1"/>
  <c r="A17" i="53" s="1"/>
  <c r="A18" i="53" s="1"/>
  <c r="A19" i="53" s="1"/>
  <c r="A20" i="53" s="1"/>
  <c r="A21" i="53" s="1"/>
  <c r="A22" i="53" s="1"/>
  <c r="A23" i="53" s="1"/>
  <c r="A24" i="53" s="1"/>
  <c r="A25" i="53" s="1"/>
  <c r="A26" i="53" s="1"/>
  <c r="A27" i="53" s="1"/>
  <c r="A28" i="53" s="1"/>
  <c r="A29" i="53" s="1"/>
  <c r="A30" i="53" s="1"/>
  <c r="A31" i="53" s="1"/>
  <c r="C6" i="53"/>
  <c r="A6" i="53"/>
  <c r="C5" i="53"/>
  <c r="L20" i="32" l="1"/>
  <c r="J20" i="32"/>
  <c r="R20" i="32"/>
  <c r="Q20" i="32"/>
  <c r="O20" i="32"/>
  <c r="M20" i="32"/>
  <c r="S15" i="32"/>
  <c r="N15" i="32"/>
  <c r="D25" i="32"/>
  <c r="H25" i="32"/>
  <c r="B25" i="32"/>
  <c r="G25" i="32"/>
  <c r="C25" i="32"/>
  <c r="I25" i="32"/>
  <c r="F25" i="32"/>
  <c r="E25" i="32"/>
  <c r="A11" i="56"/>
  <c r="E16" i="53"/>
  <c r="AH29" i="32" s="1"/>
  <c r="E5" i="53"/>
  <c r="N29" i="32" s="1"/>
  <c r="E26" i="53"/>
  <c r="AR29" i="32" s="1"/>
  <c r="E10" i="53"/>
  <c r="A12" i="56" l="1"/>
  <c r="A13" i="56" l="1"/>
  <c r="A14" i="56" l="1"/>
  <c r="A15" i="56" l="1"/>
  <c r="C14" i="56"/>
  <c r="E15" i="53" s="1"/>
  <c r="A16" i="56" l="1"/>
  <c r="B10" i="56"/>
  <c r="C10" i="56"/>
  <c r="E11" i="53" s="1"/>
  <c r="AC29" i="32" s="1"/>
  <c r="B11" i="56"/>
  <c r="C11" i="56"/>
  <c r="E12" i="53" s="1"/>
  <c r="B12" i="56"/>
  <c r="C12" i="56"/>
  <c r="E13" i="53" s="1"/>
  <c r="B13" i="56"/>
  <c r="C13" i="56"/>
  <c r="E14" i="53" s="1"/>
  <c r="B14" i="56"/>
  <c r="A17" i="56" l="1"/>
  <c r="A18" i="56" l="1"/>
  <c r="A19" i="56" l="1"/>
  <c r="A20" i="56" l="1"/>
  <c r="A21" i="56" l="1"/>
  <c r="A22" i="56" l="1"/>
  <c r="A23" i="56" l="1"/>
  <c r="A24" i="56" l="1"/>
  <c r="A25" i="56" l="1"/>
  <c r="B24" i="56"/>
  <c r="C24" i="56"/>
  <c r="E25" i="53" s="1"/>
  <c r="A26" i="56" l="1"/>
  <c r="C16" i="56"/>
  <c r="E17" i="53" s="1"/>
  <c r="B16" i="56"/>
  <c r="B17" i="56"/>
  <c r="C17" i="56"/>
  <c r="E18" i="53" s="1"/>
  <c r="B18" i="56"/>
  <c r="C18" i="56"/>
  <c r="E19" i="53" s="1"/>
  <c r="B19" i="56"/>
  <c r="C19" i="56"/>
  <c r="E20" i="53" s="1"/>
  <c r="B20" i="56"/>
  <c r="C20" i="56"/>
  <c r="E21" i="53" s="1"/>
  <c r="AM29" i="32" s="1"/>
  <c r="C21" i="56"/>
  <c r="E22" i="53" s="1"/>
  <c r="B21" i="56"/>
  <c r="B22" i="56"/>
  <c r="C22" i="56"/>
  <c r="E23" i="53" s="1"/>
  <c r="C23" i="56"/>
  <c r="E24" i="53" s="1"/>
  <c r="B23" i="56"/>
  <c r="A27" i="56" l="1"/>
  <c r="A28" i="56" l="1"/>
  <c r="A29" i="56" l="1"/>
  <c r="A30" i="56" l="1"/>
  <c r="A31" i="56" l="1"/>
  <c r="A32" i="56" l="1"/>
  <c r="A33" i="56" l="1"/>
  <c r="A34" i="56" l="1"/>
  <c r="A35" i="56" l="1"/>
  <c r="C34" i="56"/>
  <c r="B26" i="56" l="1"/>
  <c r="C26" i="56"/>
  <c r="E27" i="53" s="1"/>
  <c r="B27" i="56"/>
  <c r="C27" i="56"/>
  <c r="E28" i="53" s="1"/>
  <c r="B28" i="56"/>
  <c r="C28" i="56"/>
  <c r="E29" i="53" s="1"/>
  <c r="C29" i="56"/>
  <c r="E30" i="53" s="1"/>
  <c r="B29" i="56"/>
  <c r="B30" i="56"/>
  <c r="C30" i="56"/>
  <c r="E31" i="53" s="1"/>
  <c r="AW29" i="32" s="1"/>
  <c r="B31" i="56"/>
  <c r="C31" i="56"/>
  <c r="B32" i="56"/>
  <c r="C32" i="56"/>
  <c r="B33" i="56"/>
  <c r="C33" i="56"/>
  <c r="B34" i="56"/>
  <c r="F101" i="37" l="1"/>
  <c r="F102" i="37"/>
  <c r="F103" i="37"/>
  <c r="F104" i="37"/>
  <c r="F105" i="37"/>
  <c r="F106" i="37"/>
  <c r="F107" i="37"/>
  <c r="F108" i="37"/>
  <c r="F110" i="37"/>
  <c r="F100" i="37"/>
  <c r="B111" i="37"/>
  <c r="F111" i="37" s="1"/>
  <c r="B110" i="37"/>
  <c r="J122" i="37" s="1"/>
  <c r="B109" i="37"/>
  <c r="J121" i="37" s="1"/>
  <c r="C43" i="50"/>
  <c r="C44" i="50" s="1"/>
  <c r="C47" i="50" s="1"/>
  <c r="F109" i="37" l="1"/>
  <c r="M111" i="37"/>
  <c r="M112" i="37" s="1"/>
  <c r="M113" i="37" s="1"/>
  <c r="M114" i="37" s="1"/>
  <c r="M115" i="37" s="1"/>
  <c r="M116" i="37" s="1"/>
  <c r="M117" i="37" s="1"/>
  <c r="M118" i="37" s="1"/>
  <c r="M119" i="37" s="1"/>
  <c r="M120" i="37" s="1"/>
  <c r="M121" i="37" s="1"/>
  <c r="M122" i="37" s="1"/>
  <c r="I111" i="37"/>
  <c r="I112" i="37" s="1"/>
  <c r="I113" i="37" s="1"/>
  <c r="I114" i="37" s="1"/>
  <c r="I115" i="37" s="1"/>
  <c r="I116" i="37" s="1"/>
  <c r="I117" i="37" s="1"/>
  <c r="I118" i="37" s="1"/>
  <c r="I119" i="37" s="1"/>
  <c r="I120" i="37" s="1"/>
  <c r="I121" i="37" s="1"/>
  <c r="I122" i="37" s="1"/>
  <c r="B127" i="37"/>
  <c r="B112" i="37"/>
  <c r="B123" i="37" l="1"/>
  <c r="B126" i="37"/>
  <c r="B113" i="37"/>
  <c r="F113" i="37" s="1"/>
  <c r="B124" i="37"/>
  <c r="B125" i="37"/>
  <c r="B116" i="37"/>
  <c r="F116" i="37" s="1"/>
  <c r="B117" i="37"/>
  <c r="F117" i="37" s="1"/>
  <c r="B118" i="37"/>
  <c r="F118" i="37" s="1"/>
  <c r="B119" i="37"/>
  <c r="F119" i="37" s="1"/>
  <c r="B115" i="37"/>
  <c r="F115" i="37" s="1"/>
  <c r="F112" i="37"/>
  <c r="B121" i="37"/>
  <c r="F121" i="37" s="1"/>
  <c r="B114" i="37"/>
  <c r="F114" i="37" s="1"/>
  <c r="B122" i="37"/>
  <c r="F122" i="37" s="1"/>
  <c r="B120" i="37"/>
  <c r="F120" i="37" s="1"/>
  <c r="B14" i="47"/>
  <c r="B13" i="47"/>
  <c r="B12" i="47"/>
  <c r="E4" i="47"/>
  <c r="F18" i="47"/>
  <c r="K15" i="51"/>
  <c r="J15" i="51"/>
  <c r="L15" i="51" s="1"/>
  <c r="B4" i="47" l="1"/>
  <c r="C4" i="47"/>
  <c r="D4" i="47"/>
  <c r="E89" i="37"/>
  <c r="M89" i="37" s="1"/>
  <c r="F89" i="37" l="1"/>
  <c r="H89" i="37"/>
  <c r="G89" i="37"/>
  <c r="I89" i="37"/>
  <c r="K89" i="37"/>
  <c r="N89" i="37"/>
  <c r="O89" i="37"/>
  <c r="P89" i="37"/>
  <c r="J89" i="37"/>
  <c r="L89" i="37"/>
  <c r="A124" i="51"/>
  <c r="B4" i="32"/>
  <c r="B11" i="32" s="1"/>
  <c r="Y21" i="32" l="1"/>
  <c r="AA21" i="32"/>
  <c r="AB21" i="32"/>
  <c r="AD21" i="32"/>
  <c r="AF21" i="32"/>
  <c r="AG21" i="32"/>
  <c r="AI21" i="32"/>
  <c r="AK21" i="32"/>
  <c r="AL21" i="32"/>
  <c r="AN21" i="32"/>
  <c r="AP21" i="32"/>
  <c r="AQ21" i="32"/>
  <c r="AS21" i="32"/>
  <c r="AU21" i="32"/>
  <c r="AV21" i="32"/>
  <c r="AV14" i="32"/>
  <c r="AU14" i="32"/>
  <c r="AS14" i="32"/>
  <c r="B18" i="32" l="1"/>
  <c r="C88" i="51"/>
  <c r="C46" i="51"/>
  <c r="C47" i="51" s="1"/>
  <c r="E138" i="51"/>
  <c r="D138" i="51"/>
  <c r="C138" i="51"/>
  <c r="B138" i="51"/>
  <c r="A138" i="51"/>
  <c r="G129" i="51"/>
  <c r="F129" i="51"/>
  <c r="J80" i="51"/>
  <c r="I80" i="51"/>
  <c r="H80" i="51"/>
  <c r="G80" i="51"/>
  <c r="F80" i="51"/>
  <c r="J8" i="51" l="1"/>
  <c r="AO8" i="51"/>
  <c r="AN8" i="51"/>
  <c r="AN19" i="51" s="1"/>
  <c r="AM8" i="51"/>
  <c r="Z8" i="51"/>
  <c r="X8" i="51"/>
  <c r="Y8" i="51"/>
  <c r="L8" i="51"/>
  <c r="K8" i="51"/>
  <c r="M80" i="51"/>
  <c r="F138" i="51"/>
  <c r="AA8" i="51" l="1"/>
  <c r="X19" i="51"/>
  <c r="Z19" i="51" s="1"/>
  <c r="Y19" i="51"/>
  <c r="AP8" i="51"/>
  <c r="AM19" i="51"/>
  <c r="AO19" i="51" s="1"/>
  <c r="D113" i="51"/>
  <c r="B113" i="51"/>
  <c r="K19" i="51"/>
  <c r="J19" i="51"/>
  <c r="N96" i="37" s="1"/>
  <c r="N97" i="37" s="1"/>
  <c r="N98" i="37" s="1"/>
  <c r="N99" i="37" s="1"/>
  <c r="N100" i="37" s="1"/>
  <c r="N101" i="37" s="1"/>
  <c r="N102" i="37" s="1"/>
  <c r="N103" i="37" s="1"/>
  <c r="N104" i="37" s="1"/>
  <c r="N105" i="37" s="1"/>
  <c r="N106" i="37" s="1"/>
  <c r="N107" i="37" s="1"/>
  <c r="N108" i="37" s="1"/>
  <c r="N109" i="37" s="1"/>
  <c r="N110" i="37" s="1"/>
  <c r="N111" i="37" s="1"/>
  <c r="N112" i="37" s="1"/>
  <c r="N113" i="37" s="1"/>
  <c r="N114" i="37" s="1"/>
  <c r="N115" i="37" s="1"/>
  <c r="N116" i="37" s="1"/>
  <c r="N117" i="37" s="1"/>
  <c r="N118" i="37" s="1"/>
  <c r="N119" i="37" s="1"/>
  <c r="N120" i="37" s="1"/>
  <c r="N121" i="37" s="1"/>
  <c r="N122" i="37" s="1"/>
  <c r="M8" i="51"/>
  <c r="C113" i="51"/>
  <c r="D118" i="51" s="1"/>
  <c r="E118" i="51"/>
  <c r="A113" i="51"/>
  <c r="B118" i="51" s="1"/>
  <c r="B124" i="51" l="1"/>
  <c r="K23" i="51"/>
  <c r="L19" i="51"/>
  <c r="J23" i="51"/>
  <c r="C124" i="51"/>
  <c r="C118" i="51"/>
  <c r="E113" i="51"/>
  <c r="A118" i="51"/>
  <c r="E124" i="51" s="1"/>
  <c r="O96" i="37" l="1"/>
  <c r="O97" i="37" s="1"/>
  <c r="O98" i="37" s="1"/>
  <c r="O99" i="37" s="1"/>
  <c r="O100" i="37" s="1"/>
  <c r="O101" i="37" s="1"/>
  <c r="O102" i="37" s="1"/>
  <c r="O103" i="37" s="1"/>
  <c r="O104" i="37" s="1"/>
  <c r="O105" i="37" s="1"/>
  <c r="O106" i="37" s="1"/>
  <c r="O107" i="37" s="1"/>
  <c r="O108" i="37" s="1"/>
  <c r="O109" i="37" s="1"/>
  <c r="O110" i="37" s="1"/>
  <c r="O111" i="37" s="1"/>
  <c r="O112" i="37" s="1"/>
  <c r="O113" i="37" s="1"/>
  <c r="O114" i="37" s="1"/>
  <c r="O115" i="37" s="1"/>
  <c r="O116" i="37" s="1"/>
  <c r="O117" i="37" s="1"/>
  <c r="O118" i="37" s="1"/>
  <c r="O119" i="37" s="1"/>
  <c r="O120" i="37" s="1"/>
  <c r="O121" i="37" s="1"/>
  <c r="O122" i="37" s="1"/>
  <c r="L23" i="51"/>
  <c r="F124" i="51"/>
  <c r="G118" i="51"/>
  <c r="H118" i="51"/>
  <c r="F118" i="51"/>
  <c r="F33" i="16"/>
  <c r="K7" i="32" l="1"/>
  <c r="K21" i="32" l="1"/>
  <c r="K14" i="32"/>
  <c r="S21" i="32"/>
  <c r="S14" i="32"/>
  <c r="K28" i="32"/>
  <c r="S28" i="32"/>
  <c r="C4" i="32"/>
  <c r="C11" i="32" s="1"/>
  <c r="D4" i="32"/>
  <c r="D11" i="32" s="1"/>
  <c r="E4" i="32"/>
  <c r="E11" i="32" s="1"/>
  <c r="F4" i="32"/>
  <c r="F11" i="32" s="1"/>
  <c r="G4" i="32"/>
  <c r="G11" i="32" s="1"/>
  <c r="H4" i="32"/>
  <c r="H11" i="32" s="1"/>
  <c r="I4" i="32"/>
  <c r="I11" i="32" s="1"/>
  <c r="D18" i="32" l="1"/>
  <c r="H18" i="32"/>
  <c r="I18" i="32"/>
  <c r="G18" i="32"/>
  <c r="F18" i="32"/>
  <c r="C18" i="32"/>
  <c r="E18" i="32"/>
  <c r="AS2" i="32" l="1"/>
  <c r="AN2" i="32"/>
  <c r="AO2" i="32" s="1"/>
  <c r="AP2" i="32" s="1"/>
  <c r="AQ2" i="32" s="1"/>
  <c r="AI2" i="32"/>
  <c r="AJ2" i="32" s="1"/>
  <c r="AK2" i="32" s="1"/>
  <c r="AL2" i="32" s="1"/>
  <c r="AD2" i="32"/>
  <c r="AE2" i="32" s="1"/>
  <c r="AF2" i="32" s="1"/>
  <c r="AG2" i="32" s="1"/>
  <c r="Y2" i="32"/>
  <c r="O2" i="32"/>
  <c r="AT2" i="32" l="1"/>
  <c r="AU2" i="32" s="1"/>
  <c r="AV2" i="32" s="1"/>
  <c r="Z2" i="32"/>
  <c r="AA2" i="32" s="1"/>
  <c r="AB2" i="32" s="1"/>
  <c r="P2" i="32"/>
  <c r="Q2" i="32" l="1"/>
  <c r="R2" i="32" s="1"/>
  <c r="M7" i="37" l="1"/>
  <c r="M8" i="37" s="1"/>
  <c r="M9" i="37" s="1"/>
  <c r="M10" i="37" s="1"/>
  <c r="M11" i="37" s="1"/>
  <c r="M12" i="37" s="1"/>
  <c r="M13" i="37" s="1"/>
  <c r="M14" i="37" s="1"/>
  <c r="M15" i="37" s="1"/>
  <c r="M16" i="37" s="1"/>
  <c r="M17" i="37" s="1"/>
  <c r="M18" i="37" s="1"/>
  <c r="M19" i="37" s="1"/>
  <c r="M20" i="37" s="1"/>
  <c r="M21" i="37" s="1"/>
  <c r="M22" i="37" s="1"/>
  <c r="M23" i="37" s="1"/>
  <c r="M24" i="37" s="1"/>
  <c r="M25" i="37" s="1"/>
  <c r="M26" i="37" s="1"/>
  <c r="M27" i="37" s="1"/>
  <c r="M28" i="37" s="1"/>
  <c r="M29" i="37" s="1"/>
  <c r="M30" i="37" s="1"/>
  <c r="M31" i="37" s="1"/>
  <c r="M32" i="37" s="1"/>
  <c r="M33" i="37" s="1"/>
  <c r="M34" i="37" s="1"/>
  <c r="B15" i="47"/>
  <c r="C15" i="47" s="1"/>
  <c r="C23" i="47" l="1"/>
  <c r="L16" i="16"/>
  <c r="L31" i="16"/>
  <c r="L15" i="16"/>
  <c r="L30" i="16"/>
  <c r="L14" i="16"/>
  <c r="L29" i="16"/>
  <c r="L13" i="16"/>
  <c r="L28" i="16"/>
  <c r="L12" i="16"/>
  <c r="L18" i="16"/>
  <c r="L27" i="16"/>
  <c r="L11" i="16"/>
  <c r="L26" i="16"/>
  <c r="L10" i="16"/>
  <c r="L9" i="16"/>
  <c r="L24" i="16"/>
  <c r="L8" i="16"/>
  <c r="L25" i="16"/>
  <c r="L23" i="16"/>
  <c r="L7" i="16"/>
  <c r="L22" i="16"/>
  <c r="L6" i="16"/>
  <c r="L5" i="16"/>
  <c r="L21" i="16"/>
  <c r="L20" i="16"/>
  <c r="L19" i="16"/>
  <c r="L17" i="16"/>
  <c r="C12" i="47"/>
  <c r="B23" i="47"/>
  <c r="N8" i="16" s="1"/>
  <c r="C13" i="47"/>
  <c r="E23" i="47"/>
  <c r="Q8" i="16" s="1"/>
  <c r="C14" i="47"/>
  <c r="D23" i="47"/>
  <c r="P8" i="16" s="1"/>
  <c r="O5" i="16" l="1"/>
  <c r="O8" i="16"/>
  <c r="E6" i="47"/>
  <c r="AI8" i="16" s="1"/>
  <c r="D6" i="47"/>
  <c r="AE8" i="16" s="1"/>
  <c r="C6" i="47"/>
  <c r="AA8" i="16" s="1"/>
  <c r="B6" i="47"/>
  <c r="W8" i="16" s="1"/>
  <c r="E5" i="47"/>
  <c r="AH8" i="16" s="1"/>
  <c r="D5" i="47"/>
  <c r="AD8" i="16" s="1"/>
  <c r="C5" i="47"/>
  <c r="Z8" i="16" s="1"/>
  <c r="B5" i="47"/>
  <c r="V8" i="16" s="1"/>
  <c r="E7" i="47"/>
  <c r="AJ8" i="16" s="1"/>
  <c r="C7" i="47"/>
  <c r="AB8" i="16" s="1"/>
  <c r="B7" i="47"/>
  <c r="X8" i="16" s="1"/>
  <c r="D7" i="47"/>
  <c r="AF8" i="16" s="1"/>
  <c r="Q5" i="16"/>
  <c r="P5" i="16"/>
  <c r="N5" i="16"/>
  <c r="BB8" i="16" l="1"/>
  <c r="AR8" i="16"/>
  <c r="BD8" i="16"/>
  <c r="AT8" i="16"/>
  <c r="AW8" i="16"/>
  <c r="BF8" i="16"/>
  <c r="AX8" i="16"/>
  <c r="BE8" i="16"/>
  <c r="AV8" i="16"/>
  <c r="AZ8" i="16"/>
  <c r="AS8" i="16"/>
  <c r="BA8" i="16"/>
  <c r="G5" i="47"/>
  <c r="G6" i="47"/>
  <c r="G7" i="47"/>
  <c r="M5" i="16"/>
  <c r="Z5" i="16"/>
  <c r="AA5" i="16"/>
  <c r="X5" i="16"/>
  <c r="AF5" i="16"/>
  <c r="AE5" i="16"/>
  <c r="W5" i="16"/>
  <c r="AD5" i="16"/>
  <c r="AB5" i="16"/>
  <c r="AI5" i="16"/>
  <c r="V5" i="16"/>
  <c r="AJ5" i="16"/>
  <c r="AH5" i="16"/>
  <c r="AZ5" i="16" l="1"/>
  <c r="AV5" i="16"/>
  <c r="AW5" i="16"/>
  <c r="BA5" i="16"/>
  <c r="BB5" i="16"/>
  <c r="AS5" i="16"/>
  <c r="AT5" i="16"/>
  <c r="BD5" i="16"/>
  <c r="BF5" i="16"/>
  <c r="AR5" i="16"/>
  <c r="BE5" i="16"/>
  <c r="AX5" i="16"/>
  <c r="S5" i="16"/>
  <c r="T5" i="16"/>
  <c r="AO5" i="16" l="1"/>
  <c r="AN5" i="16"/>
  <c r="AP5" i="16"/>
  <c r="P21" i="32"/>
  <c r="P14" i="32"/>
  <c r="AC28" i="32"/>
  <c r="P28" i="32"/>
  <c r="AC21" i="32"/>
  <c r="AH7" i="32"/>
  <c r="A7" i="37"/>
  <c r="A8" i="37" s="1"/>
  <c r="A9" i="37" s="1"/>
  <c r="A10" i="37" s="1"/>
  <c r="A11" i="37" s="1"/>
  <c r="A12" i="37" s="1"/>
  <c r="A13" i="37" s="1"/>
  <c r="A14" i="37" s="1"/>
  <c r="A15" i="37" s="1"/>
  <c r="A16" i="37" s="1"/>
  <c r="A17" i="37" s="1"/>
  <c r="A18" i="37" s="1"/>
  <c r="A19" i="37" s="1"/>
  <c r="A20" i="37" s="1"/>
  <c r="A21" i="37" s="1"/>
  <c r="A22" i="37" s="1"/>
  <c r="A23" i="37" s="1"/>
  <c r="A24" i="37" s="1"/>
  <c r="A25" i="37" s="1"/>
  <c r="A26" i="37" s="1"/>
  <c r="A27" i="37" s="1"/>
  <c r="A28" i="37" s="1"/>
  <c r="A29" i="37" s="1"/>
  <c r="A30" i="37" s="1"/>
  <c r="A31" i="37" s="1"/>
  <c r="A32" i="37" s="1"/>
  <c r="A33" i="37" s="1"/>
  <c r="A34" i="37" s="1"/>
  <c r="AH14" i="32" l="1"/>
  <c r="AH28" i="32"/>
  <c r="Z28" i="32"/>
  <c r="AH21" i="32"/>
  <c r="Z21" i="32"/>
  <c r="AE7" i="32"/>
  <c r="AM7" i="32"/>
  <c r="AE14" i="32" l="1"/>
  <c r="AM14" i="32"/>
  <c r="AE28" i="32"/>
  <c r="AM28" i="32"/>
  <c r="AM21" i="32"/>
  <c r="AE21" i="32"/>
  <c r="AJ7" i="32"/>
  <c r="AR7" i="32"/>
  <c r="AR14" i="32" l="1"/>
  <c r="AJ14" i="32"/>
  <c r="AR28" i="32"/>
  <c r="AJ28" i="32"/>
  <c r="AR21" i="32"/>
  <c r="AJ21" i="32"/>
  <c r="AO7" i="32"/>
  <c r="AW7" i="32"/>
  <c r="AO14" i="32" l="1"/>
  <c r="AW28" i="32"/>
  <c r="AO28" i="32"/>
  <c r="AT7" i="32"/>
  <c r="AW14" i="32"/>
  <c r="AW21" i="32"/>
  <c r="AO21" i="32"/>
  <c r="A6" i="16"/>
  <c r="A7" i="16" s="1"/>
  <c r="A8" i="16" s="1"/>
  <c r="A9" i="16" s="1"/>
  <c r="A10" i="16" s="1"/>
  <c r="A11" i="16" s="1"/>
  <c r="A12" i="16" s="1"/>
  <c r="A13" i="16" s="1"/>
  <c r="A14" i="16" s="1"/>
  <c r="A15" i="16" s="1"/>
  <c r="A16" i="16" s="1"/>
  <c r="A17" i="16" s="1"/>
  <c r="A18" i="16" s="1"/>
  <c r="A19" i="16" s="1"/>
  <c r="A20" i="16" s="1"/>
  <c r="A21" i="16" s="1"/>
  <c r="A22" i="16" s="1"/>
  <c r="A23" i="16" s="1"/>
  <c r="A24" i="16" s="1"/>
  <c r="A25" i="16" s="1"/>
  <c r="A26" i="16" s="1"/>
  <c r="A27" i="16" s="1"/>
  <c r="A28" i="16" s="1"/>
  <c r="A29" i="16" s="1"/>
  <c r="A30" i="16" s="1"/>
  <c r="A31" i="16" s="1"/>
  <c r="AT28" i="32" l="1"/>
  <c r="AT21" i="32"/>
  <c r="AT14" i="32"/>
  <c r="R5" i="16"/>
  <c r="AK5" i="16" l="1"/>
  <c r="AG5" i="16"/>
  <c r="Y5" i="16"/>
  <c r="L5" i="32" l="1"/>
  <c r="L4" i="32" s="1"/>
  <c r="L11" i="32" s="1"/>
  <c r="BC5" i="16"/>
  <c r="J5" i="32"/>
  <c r="AU5" i="16"/>
  <c r="M5" i="32"/>
  <c r="M12" i="32" s="1"/>
  <c r="BG5" i="16"/>
  <c r="AC5" i="16"/>
  <c r="AY5" i="16" s="1"/>
  <c r="M19" i="32" l="1"/>
  <c r="AQ5" i="16"/>
  <c r="J12" i="32"/>
  <c r="M4" i="32"/>
  <c r="M11" i="32" s="1"/>
  <c r="M26" i="32"/>
  <c r="L26" i="32"/>
  <c r="L12" i="32"/>
  <c r="J26" i="32"/>
  <c r="J4" i="32"/>
  <c r="J11" i="32" s="1"/>
  <c r="U5" i="16"/>
  <c r="K5" i="32"/>
  <c r="N5" i="32" s="1"/>
  <c r="L19" i="32" l="1"/>
  <c r="M25" i="32"/>
  <c r="J25" i="32"/>
  <c r="L25" i="32"/>
  <c r="J19" i="32"/>
  <c r="N12" i="32"/>
  <c r="N26" i="32"/>
  <c r="K12" i="32"/>
  <c r="K26" i="32"/>
  <c r="J18" i="32"/>
  <c r="M18" i="32"/>
  <c r="L18" i="32"/>
  <c r="V5" i="37"/>
  <c r="J8" i="16"/>
  <c r="N7" i="37"/>
  <c r="N9" i="37"/>
  <c r="N11" i="37"/>
  <c r="S11" i="37" s="1"/>
  <c r="W6" i="37"/>
  <c r="W5" i="37"/>
  <c r="N8" i="37"/>
  <c r="T6" i="37"/>
  <c r="T5" i="37"/>
  <c r="N10" i="37"/>
  <c r="N12" i="37"/>
  <c r="K19" i="32" l="1"/>
  <c r="N19" i="32"/>
  <c r="S8" i="37"/>
  <c r="S9" i="37"/>
  <c r="G6" i="16" s="1"/>
  <c r="S7" i="37"/>
  <c r="S10" i="37"/>
  <c r="S12" i="37"/>
  <c r="G9" i="16" s="1"/>
  <c r="I6" i="16"/>
  <c r="K8" i="16"/>
  <c r="G8" i="16"/>
  <c r="I5" i="16"/>
  <c r="U5" i="37"/>
  <c r="U6" i="37"/>
  <c r="J5" i="16"/>
  <c r="V6" i="37"/>
  <c r="J6" i="16"/>
  <c r="K9" i="16"/>
  <c r="H7" i="16"/>
  <c r="H8" i="16"/>
  <c r="H9" i="16"/>
  <c r="J10" i="16"/>
  <c r="H5" i="16"/>
  <c r="H6" i="16"/>
  <c r="I9" i="16"/>
  <c r="S5" i="37"/>
  <c r="S6" i="37"/>
  <c r="K7" i="16"/>
  <c r="K5" i="16"/>
  <c r="K10" i="16"/>
  <c r="K6" i="16" l="1"/>
  <c r="J9" i="16"/>
  <c r="J7" i="16"/>
  <c r="I7" i="16"/>
  <c r="I8" i="16"/>
  <c r="G7" i="16"/>
  <c r="G5" i="16"/>
  <c r="I14" i="16"/>
  <c r="I12" i="16"/>
  <c r="N13" i="37"/>
  <c r="S13" i="37" s="1"/>
  <c r="I10" i="16"/>
  <c r="I13" i="16"/>
  <c r="K15" i="16"/>
  <c r="K11" i="16"/>
  <c r="I11" i="16"/>
  <c r="J11" i="16"/>
  <c r="N14" i="37"/>
  <c r="S14" i="37" s="1"/>
  <c r="G11" i="16" l="1"/>
  <c r="G10" i="16"/>
  <c r="H11" i="16"/>
  <c r="H10" i="16"/>
  <c r="J15" i="16"/>
  <c r="K14" i="16"/>
  <c r="J14" i="16"/>
  <c r="K16" i="16"/>
  <c r="N17" i="37"/>
  <c r="S17" i="37" s="1"/>
  <c r="J13" i="16"/>
  <c r="N15" i="37"/>
  <c r="S15" i="37" s="1"/>
  <c r="K13" i="16"/>
  <c r="K18" i="16"/>
  <c r="N16" i="37"/>
  <c r="S16" i="37" s="1"/>
  <c r="J16" i="16"/>
  <c r="N19" i="37"/>
  <c r="S19" i="37" s="1"/>
  <c r="I16" i="16"/>
  <c r="J12" i="16"/>
  <c r="I15" i="16"/>
  <c r="K12" i="16"/>
  <c r="N18" i="37"/>
  <c r="S18" i="37" s="1"/>
  <c r="J19" i="16" l="1"/>
  <c r="K19" i="16"/>
  <c r="G16" i="16"/>
  <c r="H16" i="16"/>
  <c r="H12" i="16"/>
  <c r="G12" i="16"/>
  <c r="B7" i="37"/>
  <c r="B5" i="37"/>
  <c r="N24" i="37"/>
  <c r="S24" i="37" s="1"/>
  <c r="B6" i="37"/>
  <c r="J21" i="16"/>
  <c r="I19" i="16"/>
  <c r="J17" i="16"/>
  <c r="K21" i="16"/>
  <c r="G15" i="16"/>
  <c r="G14" i="16"/>
  <c r="N20" i="37"/>
  <c r="S20" i="37" s="1"/>
  <c r="I21" i="16"/>
  <c r="J18" i="16"/>
  <c r="H15" i="16"/>
  <c r="G13" i="16"/>
  <c r="H14" i="16"/>
  <c r="I17" i="16"/>
  <c r="I18" i="16"/>
  <c r="H13" i="16"/>
  <c r="N22" i="37"/>
  <c r="S22" i="37" s="1"/>
  <c r="K17" i="16"/>
  <c r="N21" i="37"/>
  <c r="S21" i="37" s="1"/>
  <c r="H17" i="16" l="1"/>
  <c r="G17" i="16"/>
  <c r="N29" i="37"/>
  <c r="S29" i="37" s="1"/>
  <c r="N23" i="37"/>
  <c r="S23" i="37" s="1"/>
  <c r="K31" i="16"/>
  <c r="G18" i="16"/>
  <c r="J20" i="16"/>
  <c r="J26" i="16"/>
  <c r="K20" i="16"/>
  <c r="H19" i="16"/>
  <c r="I26" i="16"/>
  <c r="H18" i="16"/>
  <c r="G19" i="16"/>
  <c r="G21" i="16"/>
  <c r="I20" i="16"/>
  <c r="K26" i="16"/>
  <c r="H21" i="16"/>
  <c r="H20" i="16" l="1"/>
  <c r="I22" i="16"/>
  <c r="G20" i="16"/>
  <c r="H26" i="16"/>
  <c r="K22" i="16"/>
  <c r="J31" i="16"/>
  <c r="G26" i="16"/>
  <c r="I31" i="16"/>
  <c r="N25" i="37"/>
  <c r="S25" i="37" s="1"/>
  <c r="N34" i="37"/>
  <c r="S34" i="37" s="1"/>
  <c r="J22" i="16"/>
  <c r="B11" i="37" l="1"/>
  <c r="G22" i="16"/>
  <c r="N26" i="37"/>
  <c r="S26" i="37" s="1"/>
  <c r="B12" i="37"/>
  <c r="G12" i="37" s="1"/>
  <c r="B9" i="53" s="1"/>
  <c r="D9" i="53" s="1"/>
  <c r="E9" i="53" s="1"/>
  <c r="H22" i="16"/>
  <c r="I23" i="16"/>
  <c r="K23" i="16"/>
  <c r="J23" i="16"/>
  <c r="B9" i="37"/>
  <c r="G9" i="37" s="1"/>
  <c r="B6" i="53" s="1"/>
  <c r="D6" i="53" s="1"/>
  <c r="E6" i="53" s="1"/>
  <c r="G31" i="16"/>
  <c r="B10" i="37"/>
  <c r="G10" i="37" s="1"/>
  <c r="B7" i="53" s="1"/>
  <c r="D7" i="53" s="1"/>
  <c r="E7" i="53" s="1"/>
  <c r="H31" i="16"/>
  <c r="G11" i="37" l="1"/>
  <c r="B8" i="53" s="1"/>
  <c r="D8" i="53" s="1"/>
  <c r="G7" i="37"/>
  <c r="G5" i="37"/>
  <c r="G6" i="37"/>
  <c r="B14" i="37"/>
  <c r="G14" i="37" s="1"/>
  <c r="B11" i="53" s="1"/>
  <c r="D11" i="53" s="1"/>
  <c r="AC8" i="32" s="1"/>
  <c r="G23" i="16"/>
  <c r="N27" i="37"/>
  <c r="S27" i="37" s="1"/>
  <c r="H23" i="16"/>
  <c r="J24" i="16"/>
  <c r="I24" i="16"/>
  <c r="K24" i="16"/>
  <c r="AC15" i="32" l="1"/>
  <c r="E8" i="53"/>
  <c r="X8" i="32"/>
  <c r="AC22" i="32"/>
  <c r="H24" i="16"/>
  <c r="G24" i="16"/>
  <c r="B13" i="37"/>
  <c r="G13" i="37" s="1"/>
  <c r="B10" i="53" s="1"/>
  <c r="D10" i="53" s="1"/>
  <c r="B18" i="37"/>
  <c r="G18" i="37" s="1"/>
  <c r="B15" i="53" s="1"/>
  <c r="D15" i="53" s="1"/>
  <c r="B17" i="37"/>
  <c r="G17" i="37" s="1"/>
  <c r="B14" i="53" s="1"/>
  <c r="D14" i="53" s="1"/>
  <c r="I25" i="16"/>
  <c r="B19" i="37"/>
  <c r="G19" i="37" s="1"/>
  <c r="B16" i="53" s="1"/>
  <c r="D16" i="53" s="1"/>
  <c r="AH8" i="32" s="1"/>
  <c r="K25" i="16"/>
  <c r="N28" i="37"/>
  <c r="S28" i="37" s="1"/>
  <c r="J25" i="16"/>
  <c r="B16" i="37"/>
  <c r="G16" i="37" s="1"/>
  <c r="B13" i="53" s="1"/>
  <c r="D13" i="53" s="1"/>
  <c r="AH15" i="32" l="1"/>
  <c r="X15" i="32"/>
  <c r="X22" i="32" s="1"/>
  <c r="X29" i="32" s="1"/>
  <c r="AH22" i="32"/>
  <c r="I27" i="16"/>
  <c r="B21" i="37"/>
  <c r="G21" i="37" s="1"/>
  <c r="B18" i="53" s="1"/>
  <c r="D18" i="53" s="1"/>
  <c r="J27" i="16"/>
  <c r="B20" i="37"/>
  <c r="G20" i="37" s="1"/>
  <c r="B17" i="53" s="1"/>
  <c r="D17" i="53" s="1"/>
  <c r="K27" i="16"/>
  <c r="G25" i="16"/>
  <c r="B22" i="37"/>
  <c r="G22" i="37" s="1"/>
  <c r="B19" i="53" s="1"/>
  <c r="D19" i="53" s="1"/>
  <c r="N30" i="37"/>
  <c r="S30" i="37" s="1"/>
  <c r="H25" i="16"/>
  <c r="G27" i="16" l="1"/>
  <c r="H27" i="16"/>
  <c r="K28" i="16"/>
  <c r="N31" i="37"/>
  <c r="S31" i="37" s="1"/>
  <c r="J28" i="16"/>
  <c r="B23" i="37"/>
  <c r="G23" i="37" s="1"/>
  <c r="B20" i="53" s="1"/>
  <c r="D20" i="53" s="1"/>
  <c r="I28" i="16"/>
  <c r="K30" i="16" l="1"/>
  <c r="N33" i="37"/>
  <c r="S33" i="37" s="1"/>
  <c r="N32" i="37"/>
  <c r="S32" i="37" s="1"/>
  <c r="K29" i="16"/>
  <c r="G28" i="16"/>
  <c r="J29" i="16"/>
  <c r="I30" i="16"/>
  <c r="H28" i="16"/>
  <c r="I29" i="16"/>
  <c r="J30" i="16"/>
  <c r="B24" i="37"/>
  <c r="G24" i="37" s="1"/>
  <c r="B21" i="53" s="1"/>
  <c r="D21" i="53" s="1"/>
  <c r="AM8" i="32" s="1"/>
  <c r="AM15" i="32" l="1"/>
  <c r="AM22" i="32"/>
  <c r="H29" i="16"/>
  <c r="G29" i="16"/>
  <c r="G30" i="16"/>
  <c r="H30" i="16"/>
  <c r="B25" i="37"/>
  <c r="G25" i="37" s="1"/>
  <c r="B22" i="53" s="1"/>
  <c r="D22" i="53" s="1"/>
  <c r="B26" i="37" l="1"/>
  <c r="G26" i="37" s="1"/>
  <c r="B23" i="53" s="1"/>
  <c r="D23" i="53" s="1"/>
  <c r="B27" i="37" l="1"/>
  <c r="G27" i="37" s="1"/>
  <c r="B24" i="53" s="1"/>
  <c r="D24" i="53" s="1"/>
  <c r="B28" i="37" l="1"/>
  <c r="G28" i="37" s="1"/>
  <c r="B25" i="53" s="1"/>
  <c r="D25" i="53" s="1"/>
  <c r="B29" i="37" l="1"/>
  <c r="G29" i="37" s="1"/>
  <c r="B26" i="53" s="1"/>
  <c r="D26" i="53" s="1"/>
  <c r="AR8" i="32" s="1"/>
  <c r="AR15" i="32" l="1"/>
  <c r="AR22" i="32"/>
  <c r="B30" i="37"/>
  <c r="G30" i="37" s="1"/>
  <c r="B27" i="53" s="1"/>
  <c r="D27" i="53" s="1"/>
  <c r="B31" i="37" l="1"/>
  <c r="G31" i="37" s="1"/>
  <c r="B28" i="53" s="1"/>
  <c r="D28" i="53" s="1"/>
  <c r="B32" i="37" l="1"/>
  <c r="G32" i="37" s="1"/>
  <c r="B29" i="53" s="1"/>
  <c r="D29" i="53" s="1"/>
  <c r="B33" i="37" l="1"/>
  <c r="G33" i="37" s="1"/>
  <c r="B30" i="53" s="1"/>
  <c r="D30" i="53" s="1"/>
  <c r="B34" i="37" l="1"/>
  <c r="G34" i="37" s="1"/>
  <c r="B31" i="53" s="1"/>
  <c r="D31" i="53" s="1"/>
  <c r="AW8" i="32" s="1"/>
  <c r="AW22" i="32" l="1"/>
  <c r="AW15" i="32"/>
  <c r="B15" i="37"/>
  <c r="G15" i="37" s="1"/>
  <c r="B12" i="53" s="1"/>
  <c r="D12" i="53" s="1"/>
  <c r="B8" i="37" l="1"/>
  <c r="G8" i="37" s="1"/>
  <c r="B5" i="53" s="1"/>
  <c r="D8" i="16" l="1"/>
  <c r="D22" i="16"/>
  <c r="F22" i="16"/>
  <c r="E18" i="16"/>
  <c r="C31" i="16"/>
  <c r="C10" i="16"/>
  <c r="C16" i="16"/>
  <c r="D21" i="16"/>
  <c r="F21" i="16"/>
  <c r="E12" i="16"/>
  <c r="E14" i="16"/>
  <c r="C30" i="16"/>
  <c r="C14" i="16"/>
  <c r="E19" i="16"/>
  <c r="F20" i="16"/>
  <c r="E31" i="16"/>
  <c r="E15" i="16"/>
  <c r="C29" i="16"/>
  <c r="C13" i="16"/>
  <c r="F8" i="16"/>
  <c r="F17" i="16"/>
  <c r="F5" i="16"/>
  <c r="E30" i="16"/>
  <c r="E13" i="16"/>
  <c r="C28" i="16"/>
  <c r="C15" i="16"/>
  <c r="F23" i="16"/>
  <c r="F19" i="16"/>
  <c r="E29" i="16"/>
  <c r="E16" i="16"/>
  <c r="C27" i="16"/>
  <c r="C11" i="16"/>
  <c r="D20" i="16"/>
  <c r="D19" i="16"/>
  <c r="F18" i="16"/>
  <c r="E28" i="16"/>
  <c r="E10" i="16"/>
  <c r="C26" i="16"/>
  <c r="C9" i="16"/>
  <c r="D12" i="16"/>
  <c r="D16" i="16"/>
  <c r="F12" i="16"/>
  <c r="F15" i="16"/>
  <c r="E27" i="16"/>
  <c r="E11" i="16"/>
  <c r="C25" i="16"/>
  <c r="C7" i="16"/>
  <c r="D17" i="16"/>
  <c r="D31" i="16"/>
  <c r="D13" i="16"/>
  <c r="F31" i="16"/>
  <c r="F14" i="16"/>
  <c r="E26" i="16"/>
  <c r="E9" i="16"/>
  <c r="C24" i="16"/>
  <c r="C8" i="16"/>
  <c r="V36" i="16" s="1"/>
  <c r="D18" i="16"/>
  <c r="D30" i="16"/>
  <c r="D15" i="16"/>
  <c r="F30" i="16"/>
  <c r="F10" i="16"/>
  <c r="E25" i="16"/>
  <c r="E8" i="16"/>
  <c r="C23" i="16"/>
  <c r="C6" i="16"/>
  <c r="D14" i="16"/>
  <c r="F29" i="16"/>
  <c r="F16" i="16"/>
  <c r="E24" i="16"/>
  <c r="E7" i="16"/>
  <c r="C22" i="16"/>
  <c r="D5" i="16"/>
  <c r="D29" i="16"/>
  <c r="D28" i="16"/>
  <c r="D10" i="16"/>
  <c r="F28" i="16"/>
  <c r="F13" i="16"/>
  <c r="E23" i="16"/>
  <c r="E6" i="16"/>
  <c r="C21" i="16"/>
  <c r="D23" i="16"/>
  <c r="C12" i="16"/>
  <c r="D11" i="16"/>
  <c r="C20" i="16"/>
  <c r="D26" i="16"/>
  <c r="D9" i="16"/>
  <c r="F26" i="16"/>
  <c r="F9" i="16"/>
  <c r="E21" i="16"/>
  <c r="C18" i="16"/>
  <c r="C5" i="16"/>
  <c r="D27" i="16"/>
  <c r="F11" i="16"/>
  <c r="E22" i="16"/>
  <c r="D25" i="16"/>
  <c r="D6" i="16"/>
  <c r="F25" i="16"/>
  <c r="F6" i="16"/>
  <c r="E20" i="16"/>
  <c r="C19" i="16"/>
  <c r="F27" i="16"/>
  <c r="D24" i="16"/>
  <c r="D7" i="16"/>
  <c r="F24" i="16"/>
  <c r="F7" i="16"/>
  <c r="E17" i="16"/>
  <c r="E5" i="16"/>
  <c r="C17" i="16"/>
  <c r="BD11" i="16" l="1"/>
  <c r="BA11" i="16"/>
  <c r="W11" i="16"/>
  <c r="BF11" i="16"/>
  <c r="AV11" i="16"/>
  <c r="V11" i="16"/>
  <c r="AW11" i="16"/>
  <c r="X11" i="16"/>
  <c r="BE11" i="16"/>
  <c r="AR11" i="16"/>
  <c r="AX11" i="16"/>
  <c r="BB11" i="16"/>
  <c r="AS11" i="16"/>
  <c r="AT11" i="16"/>
  <c r="AZ11" i="16"/>
  <c r="AE31" i="16"/>
  <c r="AD31" i="16"/>
  <c r="AF31" i="16"/>
  <c r="AV17" i="16"/>
  <c r="AX17" i="16"/>
  <c r="BD17" i="16"/>
  <c r="BE17" i="16"/>
  <c r="BF17" i="16"/>
  <c r="AZ17" i="16"/>
  <c r="V17" i="16"/>
  <c r="AT17" i="16"/>
  <c r="AW17" i="16"/>
  <c r="BB17" i="16"/>
  <c r="AR17" i="16"/>
  <c r="AS17" i="16"/>
  <c r="X17" i="16"/>
  <c r="W17" i="16"/>
  <c r="BA17" i="16"/>
  <c r="BD27" i="16"/>
  <c r="AS27" i="16"/>
  <c r="AZ27" i="16"/>
  <c r="AX27" i="16"/>
  <c r="V27" i="16"/>
  <c r="AT27" i="16"/>
  <c r="AW27" i="16"/>
  <c r="AR27" i="16"/>
  <c r="BA27" i="16"/>
  <c r="X27" i="16"/>
  <c r="AV27" i="16"/>
  <c r="BF27" i="16"/>
  <c r="BB27" i="16"/>
  <c r="W27" i="16"/>
  <c r="BE27" i="16"/>
  <c r="AJ13" i="16"/>
  <c r="AH13" i="16"/>
  <c r="AI13" i="16"/>
  <c r="AA15" i="16"/>
  <c r="AB15" i="16"/>
  <c r="Z15" i="16"/>
  <c r="AH23" i="16"/>
  <c r="AJ23" i="16"/>
  <c r="AI23" i="16"/>
  <c r="AE14" i="16"/>
  <c r="AF14" i="16"/>
  <c r="AD14" i="16"/>
  <c r="AV6" i="16"/>
  <c r="AB6" i="16"/>
  <c r="AA6" i="16"/>
  <c r="Z6" i="16"/>
  <c r="AX6" i="16"/>
  <c r="AW6" i="16"/>
  <c r="AE16" i="16"/>
  <c r="AF16" i="16"/>
  <c r="AD16" i="16"/>
  <c r="AR18" i="16"/>
  <c r="BF18" i="16"/>
  <c r="AV18" i="16"/>
  <c r="BD18" i="16"/>
  <c r="BA18" i="16"/>
  <c r="BE18" i="16"/>
  <c r="AX18" i="16"/>
  <c r="BB18" i="16"/>
  <c r="X18" i="16"/>
  <c r="AW18" i="16"/>
  <c r="AZ18" i="16"/>
  <c r="AT18" i="16"/>
  <c r="V18" i="16"/>
  <c r="W18" i="16"/>
  <c r="AS18" i="16"/>
  <c r="AD12" i="16"/>
  <c r="AE12" i="16"/>
  <c r="AF12" i="16"/>
  <c r="AH20" i="16"/>
  <c r="AJ20" i="16"/>
  <c r="AI20" i="16"/>
  <c r="AF29" i="16"/>
  <c r="AE29" i="16"/>
  <c r="AD29" i="16"/>
  <c r="AA18" i="16"/>
  <c r="Z18" i="16"/>
  <c r="AB18" i="16"/>
  <c r="AI21" i="16"/>
  <c r="AJ21" i="16"/>
  <c r="AH21" i="16"/>
  <c r="AZ14" i="16"/>
  <c r="BA14" i="16"/>
  <c r="BB14" i="16"/>
  <c r="BE14" i="16"/>
  <c r="BG14" i="16" s="1"/>
  <c r="W14" i="16"/>
  <c r="AS14" i="16"/>
  <c r="BF14" i="16"/>
  <c r="V14" i="16"/>
  <c r="BD14" i="16"/>
  <c r="X14" i="16"/>
  <c r="AT14" i="16"/>
  <c r="AR14" i="16"/>
  <c r="AV14" i="16"/>
  <c r="AX14" i="16"/>
  <c r="AW14" i="16"/>
  <c r="AB21" i="16"/>
  <c r="Z21" i="16"/>
  <c r="AA21" i="16"/>
  <c r="AW21" i="16"/>
  <c r="BD21" i="16"/>
  <c r="AV21" i="16"/>
  <c r="BF21" i="16"/>
  <c r="W21" i="16"/>
  <c r="X21" i="16"/>
  <c r="AZ21" i="16"/>
  <c r="AX21" i="16"/>
  <c r="AT21" i="16"/>
  <c r="BB21" i="16"/>
  <c r="BA21" i="16"/>
  <c r="BE21" i="16"/>
  <c r="V21" i="16"/>
  <c r="AR21" i="16"/>
  <c r="AS21" i="16"/>
  <c r="AW25" i="16"/>
  <c r="AX25" i="16"/>
  <c r="BB25" i="16"/>
  <c r="AV25" i="16"/>
  <c r="AZ25" i="16"/>
  <c r="AR25" i="16"/>
  <c r="BA25" i="16"/>
  <c r="W25" i="16"/>
  <c r="BE25" i="16"/>
  <c r="X25" i="16"/>
  <c r="BF25" i="16"/>
  <c r="V25" i="16"/>
  <c r="AS25" i="16"/>
  <c r="AT25" i="16"/>
  <c r="BD25" i="16"/>
  <c r="AW30" i="16"/>
  <c r="BF30" i="16"/>
  <c r="AX30" i="16"/>
  <c r="BA30" i="16"/>
  <c r="BD30" i="16"/>
  <c r="AV30" i="16"/>
  <c r="AZ30" i="16"/>
  <c r="AT30" i="16"/>
  <c r="BE30" i="16"/>
  <c r="AS30" i="16"/>
  <c r="W30" i="16"/>
  <c r="X30" i="16"/>
  <c r="V30" i="16"/>
  <c r="AR30" i="16"/>
  <c r="BB30" i="16"/>
  <c r="AB28" i="16"/>
  <c r="AA28" i="16"/>
  <c r="Z28" i="16"/>
  <c r="Z29" i="16"/>
  <c r="AA29" i="16"/>
  <c r="AB29" i="16"/>
  <c r="AJ26" i="16"/>
  <c r="AI26" i="16"/>
  <c r="AH26" i="16"/>
  <c r="X9" i="16"/>
  <c r="BF9" i="16"/>
  <c r="AR9" i="16"/>
  <c r="AT9" i="16"/>
  <c r="BD9" i="16"/>
  <c r="AS9" i="16"/>
  <c r="V9" i="16"/>
  <c r="V37" i="16"/>
  <c r="AW9" i="16"/>
  <c r="AV9" i="16"/>
  <c r="AX9" i="16"/>
  <c r="BE9" i="16"/>
  <c r="W9" i="16"/>
  <c r="BB9" i="16"/>
  <c r="BA9" i="16"/>
  <c r="AZ9" i="16"/>
  <c r="AD30" i="16"/>
  <c r="AE30" i="16"/>
  <c r="AF30" i="16"/>
  <c r="BB16" i="16"/>
  <c r="BA16" i="16"/>
  <c r="AW16" i="16"/>
  <c r="AS16" i="16"/>
  <c r="AX16" i="16"/>
  <c r="AV16" i="16"/>
  <c r="X16" i="16"/>
  <c r="AT16" i="16"/>
  <c r="AZ16" i="16"/>
  <c r="AR16" i="16"/>
  <c r="BD16" i="16"/>
  <c r="W16" i="16"/>
  <c r="V16" i="16"/>
  <c r="BF16" i="16"/>
  <c r="BE16" i="16"/>
  <c r="Z9" i="16"/>
  <c r="AA9" i="16"/>
  <c r="AB9" i="16"/>
  <c r="AF9" i="16"/>
  <c r="AE9" i="16"/>
  <c r="AD9" i="16"/>
  <c r="BF26" i="16"/>
  <c r="BB26" i="16"/>
  <c r="AZ26" i="16"/>
  <c r="AW26" i="16"/>
  <c r="W26" i="16"/>
  <c r="V26" i="16"/>
  <c r="X26" i="16"/>
  <c r="AV26" i="16"/>
  <c r="AT26" i="16"/>
  <c r="BD26" i="16"/>
  <c r="AS26" i="16"/>
  <c r="BA26" i="16"/>
  <c r="AR26" i="16"/>
  <c r="BE26" i="16"/>
  <c r="AX26" i="16"/>
  <c r="AV10" i="16"/>
  <c r="AW10" i="16"/>
  <c r="V38" i="16"/>
  <c r="AT10" i="16"/>
  <c r="AS10" i="16"/>
  <c r="W10" i="16"/>
  <c r="AR10" i="16"/>
  <c r="BA10" i="16"/>
  <c r="BF10" i="16"/>
  <c r="BB10" i="16"/>
  <c r="BD10" i="16"/>
  <c r="BE10" i="16"/>
  <c r="AX10" i="16"/>
  <c r="AZ10" i="16"/>
  <c r="X10" i="16"/>
  <c r="V10" i="16"/>
  <c r="Z17" i="16"/>
  <c r="AA17" i="16"/>
  <c r="AB17" i="16"/>
  <c r="AE23" i="16"/>
  <c r="AD23" i="16"/>
  <c r="AF23" i="16"/>
  <c r="AF11" i="16"/>
  <c r="AE11" i="16"/>
  <c r="AD11" i="16"/>
  <c r="AB27" i="16"/>
  <c r="AA27" i="16"/>
  <c r="Z27" i="16"/>
  <c r="AH15" i="16"/>
  <c r="AI15" i="16"/>
  <c r="AJ15" i="16"/>
  <c r="AZ28" i="16"/>
  <c r="BB28" i="16"/>
  <c r="BA28" i="16"/>
  <c r="AX28" i="16"/>
  <c r="BE28" i="16"/>
  <c r="AT28" i="16"/>
  <c r="AV28" i="16"/>
  <c r="X28" i="16"/>
  <c r="W28" i="16"/>
  <c r="BD28" i="16"/>
  <c r="AS28" i="16"/>
  <c r="V28" i="16"/>
  <c r="BF28" i="16"/>
  <c r="AR28" i="16"/>
  <c r="AW28" i="16"/>
  <c r="AJ24" i="16"/>
  <c r="AI24" i="16"/>
  <c r="AH24" i="16"/>
  <c r="BE24" i="16"/>
  <c r="BF24" i="16"/>
  <c r="BD24" i="16"/>
  <c r="BB24" i="16"/>
  <c r="AW24" i="16"/>
  <c r="AS24" i="16"/>
  <c r="BA24" i="16"/>
  <c r="AV24" i="16"/>
  <c r="W24" i="16"/>
  <c r="V24" i="16"/>
  <c r="X24" i="16"/>
  <c r="AX24" i="16"/>
  <c r="AT24" i="16"/>
  <c r="AZ24" i="16"/>
  <c r="AR24" i="16"/>
  <c r="Z26" i="16"/>
  <c r="AA26" i="16"/>
  <c r="AB26" i="16"/>
  <c r="AE24" i="16"/>
  <c r="AD24" i="16"/>
  <c r="AF24" i="16"/>
  <c r="AD26" i="16"/>
  <c r="AF26" i="16"/>
  <c r="AE26" i="16"/>
  <c r="AF10" i="16"/>
  <c r="AE10" i="16"/>
  <c r="AD10" i="16"/>
  <c r="AH17" i="16"/>
  <c r="AI17" i="16"/>
  <c r="AJ17" i="16"/>
  <c r="AV31" i="16"/>
  <c r="BA31" i="16"/>
  <c r="AW31" i="16"/>
  <c r="AZ31" i="16"/>
  <c r="AX31" i="16"/>
  <c r="BB31" i="16"/>
  <c r="AR31" i="16"/>
  <c r="AT31" i="16"/>
  <c r="W31" i="16"/>
  <c r="AS31" i="16"/>
  <c r="BE31" i="16"/>
  <c r="BF31" i="16"/>
  <c r="BD31" i="16"/>
  <c r="V31" i="16"/>
  <c r="X31" i="16"/>
  <c r="AD6" i="16"/>
  <c r="AE6" i="16"/>
  <c r="AF6" i="16"/>
  <c r="AZ6" i="16"/>
  <c r="BB6" i="16"/>
  <c r="BA6" i="16"/>
  <c r="AD25" i="16"/>
  <c r="AE25" i="16"/>
  <c r="AF25" i="16"/>
  <c r="AJ11" i="16"/>
  <c r="AH11" i="16"/>
  <c r="AI11" i="16"/>
  <c r="AI30" i="16"/>
  <c r="AJ30" i="16"/>
  <c r="AH30" i="16"/>
  <c r="AA10" i="16"/>
  <c r="AB10" i="16"/>
  <c r="Z10" i="16"/>
  <c r="Z30" i="16"/>
  <c r="AB30" i="16"/>
  <c r="AA30" i="16"/>
  <c r="AD21" i="16"/>
  <c r="AE21" i="16"/>
  <c r="AF21" i="16"/>
  <c r="AF13" i="16"/>
  <c r="AD13" i="16"/>
  <c r="AE13" i="16"/>
  <c r="AH16" i="16"/>
  <c r="AI16" i="16"/>
  <c r="AJ16" i="16"/>
  <c r="AJ14" i="16"/>
  <c r="AI14" i="16"/>
  <c r="AH14" i="16"/>
  <c r="AE28" i="16"/>
  <c r="AF28" i="16"/>
  <c r="AD28" i="16"/>
  <c r="AD18" i="16"/>
  <c r="AE18" i="16"/>
  <c r="AF18" i="16"/>
  <c r="V35" i="16"/>
  <c r="AS7" i="16"/>
  <c r="X7" i="16"/>
  <c r="BE7" i="16"/>
  <c r="BF7" i="16"/>
  <c r="V7" i="16"/>
  <c r="W7" i="16"/>
  <c r="AT7" i="16"/>
  <c r="AR7" i="16"/>
  <c r="BD7" i="16"/>
  <c r="AV7" i="16"/>
  <c r="AX7" i="16"/>
  <c r="BA7" i="16"/>
  <c r="AZ7" i="16"/>
  <c r="BB7" i="16"/>
  <c r="AW7" i="16"/>
  <c r="AI10" i="16"/>
  <c r="AH10" i="16"/>
  <c r="AJ10" i="16"/>
  <c r="AH28" i="16"/>
  <c r="AJ28" i="16"/>
  <c r="AI28" i="16"/>
  <c r="AD17" i="16"/>
  <c r="AE17" i="16"/>
  <c r="AF17" i="16"/>
  <c r="Z16" i="16"/>
  <c r="AA16" i="16"/>
  <c r="AB16" i="16"/>
  <c r="AJ9" i="16"/>
  <c r="AI9" i="16"/>
  <c r="AH9" i="16"/>
  <c r="AA7" i="16"/>
  <c r="Z7" i="16"/>
  <c r="AB7" i="16"/>
  <c r="Z24" i="16"/>
  <c r="AB24" i="16"/>
  <c r="AA24" i="16"/>
  <c r="AH27" i="16"/>
  <c r="AJ27" i="16"/>
  <c r="AI27" i="16"/>
  <c r="AD20" i="16"/>
  <c r="AE20" i="16"/>
  <c r="AF20" i="16"/>
  <c r="AB11" i="16"/>
  <c r="Z11" i="16"/>
  <c r="AA11" i="16"/>
  <c r="AH29" i="16"/>
  <c r="AI29" i="16"/>
  <c r="AJ29" i="16"/>
  <c r="AH31" i="16"/>
  <c r="AJ31" i="16"/>
  <c r="AI31" i="16"/>
  <c r="AJ18" i="16"/>
  <c r="AH18" i="16"/>
  <c r="AI18" i="16"/>
  <c r="AR13" i="16"/>
  <c r="AS13" i="16"/>
  <c r="AT13" i="16"/>
  <c r="W13" i="16"/>
  <c r="BF13" i="16"/>
  <c r="AW13" i="16"/>
  <c r="BA13" i="16"/>
  <c r="AV13" i="16"/>
  <c r="BD13" i="16"/>
  <c r="BB13" i="16"/>
  <c r="X13" i="16"/>
  <c r="AX13" i="16"/>
  <c r="BE13" i="16"/>
  <c r="AZ13" i="16"/>
  <c r="V13" i="16"/>
  <c r="AI22" i="16"/>
  <c r="AJ22" i="16"/>
  <c r="AH22" i="16"/>
  <c r="BB23" i="16"/>
  <c r="AZ23" i="16"/>
  <c r="X23" i="16"/>
  <c r="V23" i="16"/>
  <c r="W23" i="16"/>
  <c r="AW23" i="16"/>
  <c r="AS23" i="16"/>
  <c r="BF23" i="16"/>
  <c r="AR23" i="16"/>
  <c r="AV23" i="16"/>
  <c r="BE23" i="16"/>
  <c r="BA23" i="16"/>
  <c r="BD23" i="16"/>
  <c r="AT23" i="16"/>
  <c r="AX23" i="16"/>
  <c r="AD19" i="16"/>
  <c r="AF19" i="16"/>
  <c r="AE19" i="16"/>
  <c r="AH19" i="16"/>
  <c r="AI19" i="16"/>
  <c r="AJ19" i="16"/>
  <c r="BA15" i="16"/>
  <c r="X15" i="16"/>
  <c r="AV15" i="16"/>
  <c r="BB15" i="16"/>
  <c r="V15" i="16"/>
  <c r="AW15" i="16"/>
  <c r="W15" i="16"/>
  <c r="AT15" i="16"/>
  <c r="AX15" i="16"/>
  <c r="AR15" i="16"/>
  <c r="AS15" i="16"/>
  <c r="BF15" i="16"/>
  <c r="BD15" i="16"/>
  <c r="BE15" i="16"/>
  <c r="AZ15" i="16"/>
  <c r="BE22" i="16"/>
  <c r="BF22" i="16"/>
  <c r="AR22" i="16"/>
  <c r="AZ22" i="16"/>
  <c r="AV22" i="16"/>
  <c r="AX22" i="16"/>
  <c r="BA22" i="16"/>
  <c r="AT22" i="16"/>
  <c r="W22" i="16"/>
  <c r="BD22" i="16"/>
  <c r="V22" i="16"/>
  <c r="AS22" i="16"/>
  <c r="BB22" i="16"/>
  <c r="X22" i="16"/>
  <c r="AW22" i="16"/>
  <c r="AH6" i="16"/>
  <c r="AI6" i="16"/>
  <c r="AJ6" i="16"/>
  <c r="BF6" i="16"/>
  <c r="BD6" i="16"/>
  <c r="BE6" i="16"/>
  <c r="BA12" i="16"/>
  <c r="BB12" i="16"/>
  <c r="AZ12" i="16"/>
  <c r="BF12" i="16"/>
  <c r="BE12" i="16"/>
  <c r="AV12" i="16"/>
  <c r="AX12" i="16"/>
  <c r="X12" i="16"/>
  <c r="BD12" i="16"/>
  <c r="AS12" i="16"/>
  <c r="W12" i="16"/>
  <c r="AR12" i="16"/>
  <c r="AT12" i="16"/>
  <c r="V12" i="16"/>
  <c r="AW12" i="16"/>
  <c r="Z14" i="16"/>
  <c r="AB14" i="16"/>
  <c r="AA14" i="16"/>
  <c r="Z13" i="16"/>
  <c r="AA13" i="16"/>
  <c r="AB13" i="16"/>
  <c r="AB19" i="16"/>
  <c r="AA19" i="16"/>
  <c r="Z19" i="16"/>
  <c r="AZ29" i="16"/>
  <c r="BA29" i="16"/>
  <c r="BB29" i="16"/>
  <c r="BE29" i="16"/>
  <c r="AR29" i="16"/>
  <c r="AX29" i="16"/>
  <c r="AS29" i="16"/>
  <c r="BF29" i="16"/>
  <c r="AV29" i="16"/>
  <c r="BD29" i="16"/>
  <c r="V29" i="16"/>
  <c r="AW29" i="16"/>
  <c r="AT29" i="16"/>
  <c r="W29" i="16"/>
  <c r="X29" i="16"/>
  <c r="Z22" i="16"/>
  <c r="AB22" i="16"/>
  <c r="AA22" i="16"/>
  <c r="AA25" i="16"/>
  <c r="Z25" i="16"/>
  <c r="AB25" i="16"/>
  <c r="AD22" i="16"/>
  <c r="AF22" i="16"/>
  <c r="AE22" i="16"/>
  <c r="AD27" i="16"/>
  <c r="AE27" i="16"/>
  <c r="AF27" i="16"/>
  <c r="AI12" i="16"/>
  <c r="AH12" i="16"/>
  <c r="AJ12" i="16"/>
  <c r="AJ7" i="16"/>
  <c r="AH7" i="16"/>
  <c r="AI7" i="16"/>
  <c r="AA12" i="16"/>
  <c r="Z12" i="16"/>
  <c r="AB12" i="16"/>
  <c r="AD7" i="16"/>
  <c r="AE7" i="16"/>
  <c r="AF7" i="16"/>
  <c r="AW19" i="16"/>
  <c r="BF19" i="16"/>
  <c r="AV19" i="16"/>
  <c r="BD19" i="16"/>
  <c r="BB19" i="16"/>
  <c r="BA19" i="16"/>
  <c r="W19" i="16"/>
  <c r="AS19" i="16"/>
  <c r="V19" i="16"/>
  <c r="AX19" i="16"/>
  <c r="BE19" i="16"/>
  <c r="X19" i="16"/>
  <c r="AT19" i="16"/>
  <c r="AR19" i="16"/>
  <c r="AZ19" i="16"/>
  <c r="BD20" i="16"/>
  <c r="BE20" i="16"/>
  <c r="BB20" i="16"/>
  <c r="BA20" i="16"/>
  <c r="AX20" i="16"/>
  <c r="BF20" i="16"/>
  <c r="V20" i="16"/>
  <c r="AZ20" i="16"/>
  <c r="AS20" i="16"/>
  <c r="AT20" i="16"/>
  <c r="AW20" i="16"/>
  <c r="X20" i="16"/>
  <c r="W20" i="16"/>
  <c r="AV20" i="16"/>
  <c r="AR20" i="16"/>
  <c r="AI25" i="16"/>
  <c r="AJ25" i="16"/>
  <c r="AH25" i="16"/>
  <c r="AB23" i="16"/>
  <c r="AA23" i="16"/>
  <c r="Z23" i="16"/>
  <c r="X6" i="16"/>
  <c r="V6" i="16"/>
  <c r="AS6" i="16"/>
  <c r="AR6" i="16"/>
  <c r="AT6" i="16"/>
  <c r="W6" i="16"/>
  <c r="AA31" i="16"/>
  <c r="AB31" i="16"/>
  <c r="Z31" i="16"/>
  <c r="Z20" i="16"/>
  <c r="AA20" i="16"/>
  <c r="AB20" i="16"/>
  <c r="AD15" i="16"/>
  <c r="AE15" i="16"/>
  <c r="AF15" i="16"/>
  <c r="B24" i="16"/>
  <c r="B9" i="16"/>
  <c r="B23" i="16"/>
  <c r="B8" i="16"/>
  <c r="B22" i="16"/>
  <c r="B18" i="16"/>
  <c r="B20" i="16"/>
  <c r="B5" i="16"/>
  <c r="B19" i="16"/>
  <c r="B21" i="16"/>
  <c r="B17" i="16"/>
  <c r="B13" i="16"/>
  <c r="B31" i="16"/>
  <c r="B14" i="16"/>
  <c r="B12" i="16"/>
  <c r="B30" i="16"/>
  <c r="B10" i="16"/>
  <c r="B25" i="16"/>
  <c r="B29" i="16"/>
  <c r="B15" i="16"/>
  <c r="B28" i="16"/>
  <c r="B16" i="16"/>
  <c r="B27" i="16"/>
  <c r="B11" i="16"/>
  <c r="B7" i="16"/>
  <c r="B26" i="16"/>
  <c r="B6" i="16"/>
  <c r="BC15" i="16" l="1"/>
  <c r="BG7" i="16"/>
  <c r="AN7" i="16"/>
  <c r="AY23" i="16"/>
  <c r="AN6" i="16"/>
  <c r="AY6" i="16"/>
  <c r="BG30" i="16"/>
  <c r="BC11" i="16"/>
  <c r="AA26" i="32" s="1"/>
  <c r="U36" i="16"/>
  <c r="AP15" i="16"/>
  <c r="AP6" i="16"/>
  <c r="BC10" i="16"/>
  <c r="BG28" i="16"/>
  <c r="AY26" i="16"/>
  <c r="AO26" i="32" s="1"/>
  <c r="AO30" i="16"/>
  <c r="U38" i="16"/>
  <c r="U37" i="16"/>
  <c r="AP17" i="16"/>
  <c r="BC16" i="16"/>
  <c r="AF26" i="32" s="1"/>
  <c r="AY12" i="16"/>
  <c r="BC9" i="16"/>
  <c r="BC27" i="16"/>
  <c r="AO20" i="16"/>
  <c r="BG13" i="16"/>
  <c r="AO27" i="16"/>
  <c r="BG20" i="16"/>
  <c r="AO18" i="16"/>
  <c r="AO23" i="16"/>
  <c r="AP26" i="16"/>
  <c r="AY16" i="16"/>
  <c r="AE26" i="32" s="1"/>
  <c r="BG27" i="16"/>
  <c r="BG10" i="16"/>
  <c r="BC14" i="16"/>
  <c r="AY13" i="16"/>
  <c r="AO10" i="16"/>
  <c r="U35" i="16"/>
  <c r="BG24" i="16"/>
  <c r="AY29" i="16"/>
  <c r="AO14" i="16"/>
  <c r="AO15" i="16"/>
  <c r="AU17" i="16"/>
  <c r="AN17" i="16"/>
  <c r="AP28" i="16"/>
  <c r="AU24" i="16"/>
  <c r="AN24" i="16"/>
  <c r="AN18" i="16"/>
  <c r="AU18" i="16"/>
  <c r="AU19" i="16"/>
  <c r="AN19" i="16"/>
  <c r="AU20" i="16"/>
  <c r="AN20" i="16"/>
  <c r="BG18" i="16"/>
  <c r="AU23" i="16"/>
  <c r="AN23" i="16"/>
  <c r="BC31" i="16"/>
  <c r="AU26" i="32" s="1"/>
  <c r="BC24" i="16"/>
  <c r="AP9" i="16"/>
  <c r="AP18" i="16"/>
  <c r="BG31" i="16"/>
  <c r="AV26" i="32" s="1"/>
  <c r="BG15" i="16"/>
  <c r="BC21" i="16"/>
  <c r="AK26" i="32" s="1"/>
  <c r="AN26" i="16"/>
  <c r="AU26" i="16"/>
  <c r="AU25" i="16"/>
  <c r="AN25" i="16"/>
  <c r="AO13" i="16"/>
  <c r="AO9" i="16"/>
  <c r="AY19" i="16"/>
  <c r="AP23" i="16"/>
  <c r="AU31" i="16"/>
  <c r="AN31" i="16"/>
  <c r="BG17" i="16"/>
  <c r="AU11" i="16"/>
  <c r="AN11" i="16"/>
  <c r="BC25" i="16"/>
  <c r="AN29" i="16"/>
  <c r="AU29" i="16"/>
  <c r="AP20" i="16"/>
  <c r="AP13" i="16"/>
  <c r="AN9" i="16"/>
  <c r="AU9" i="16"/>
  <c r="AP22" i="16"/>
  <c r="AO26" i="16"/>
  <c r="AO11" i="16"/>
  <c r="AY7" i="16"/>
  <c r="AO25" i="16"/>
  <c r="AP29" i="16"/>
  <c r="AO12" i="16"/>
  <c r="BC18" i="16"/>
  <c r="BC22" i="16"/>
  <c r="BC6" i="16"/>
  <c r="BG26" i="16"/>
  <c r="AQ26" i="32" s="1"/>
  <c r="AY17" i="16"/>
  <c r="AP30" i="16"/>
  <c r="AP11" i="16"/>
  <c r="AY25" i="16"/>
  <c r="BG6" i="16"/>
  <c r="BC29" i="16"/>
  <c r="AU12" i="16"/>
  <c r="AN12" i="16"/>
  <c r="BC20" i="16"/>
  <c r="AY9" i="16"/>
  <c r="BG22" i="16"/>
  <c r="BC23" i="16"/>
  <c r="AO31" i="16"/>
  <c r="BC26" i="16"/>
  <c r="AP26" i="32" s="1"/>
  <c r="BC28" i="16"/>
  <c r="BC7" i="16"/>
  <c r="AP25" i="16"/>
  <c r="AO24" i="16"/>
  <c r="AO29" i="16"/>
  <c r="AU13" i="16"/>
  <c r="AN13" i="16"/>
  <c r="AY18" i="16"/>
  <c r="AO22" i="16"/>
  <c r="AY31" i="16"/>
  <c r="AT26" i="32" s="1"/>
  <c r="AP21" i="16"/>
  <c r="AP10" i="16"/>
  <c r="BC17" i="16"/>
  <c r="AU30" i="16"/>
  <c r="AN30" i="16"/>
  <c r="BG11" i="16"/>
  <c r="AB26" i="32" s="1"/>
  <c r="AP12" i="16"/>
  <c r="AY14" i="16"/>
  <c r="BG9" i="16"/>
  <c r="AY15" i="16"/>
  <c r="AO21" i="16"/>
  <c r="AO28" i="16"/>
  <c r="AO7" i="16"/>
  <c r="BG25" i="16"/>
  <c r="BG29" i="16"/>
  <c r="BG12" i="16"/>
  <c r="AP19" i="16"/>
  <c r="BG23" i="16"/>
  <c r="BG21" i="16"/>
  <c r="AL26" i="32" s="1"/>
  <c r="AU10" i="16"/>
  <c r="AN10" i="16"/>
  <c r="AU16" i="16"/>
  <c r="AN16" i="16"/>
  <c r="BC30" i="16"/>
  <c r="AY27" i="16"/>
  <c r="AY28" i="16"/>
  <c r="AU6" i="16"/>
  <c r="BC12" i="16"/>
  <c r="AP14" i="16"/>
  <c r="BC19" i="16"/>
  <c r="AU22" i="16"/>
  <c r="AN22" i="16"/>
  <c r="AP16" i="16"/>
  <c r="AY11" i="16"/>
  <c r="Z26" i="32" s="1"/>
  <c r="AO6" i="16"/>
  <c r="AP24" i="16"/>
  <c r="AU14" i="16"/>
  <c r="AN14" i="16"/>
  <c r="BG19" i="16"/>
  <c r="AU15" i="16"/>
  <c r="AN15" i="16"/>
  <c r="AU21" i="16"/>
  <c r="AN21" i="16"/>
  <c r="AY10" i="16"/>
  <c r="BG16" i="16"/>
  <c r="AG26" i="32" s="1"/>
  <c r="AU27" i="16"/>
  <c r="AN27" i="16"/>
  <c r="AU28" i="16"/>
  <c r="AN28" i="16"/>
  <c r="AP7" i="16"/>
  <c r="AY24" i="16"/>
  <c r="AY20" i="16"/>
  <c r="BC13" i="16"/>
  <c r="AO19" i="16"/>
  <c r="AY22" i="16"/>
  <c r="AP31" i="16"/>
  <c r="AY21" i="16"/>
  <c r="AJ26" i="32" s="1"/>
  <c r="AO17" i="16"/>
  <c r="AO16" i="16"/>
  <c r="AY30" i="16"/>
  <c r="AP27" i="16"/>
  <c r="AU7" i="16"/>
  <c r="S10" i="16"/>
  <c r="AG10" i="16"/>
  <c r="T20" i="16"/>
  <c r="AG21" i="16"/>
  <c r="AK26" i="16"/>
  <c r="AK17" i="16"/>
  <c r="AK6" i="16"/>
  <c r="Q6" i="16" s="1"/>
  <c r="S20" i="16"/>
  <c r="AG9" i="16"/>
  <c r="AG8" i="16"/>
  <c r="V5" i="32" s="1"/>
  <c r="AC8" i="16"/>
  <c r="T10" i="16"/>
  <c r="AG20" i="16"/>
  <c r="AG24" i="16"/>
  <c r="AK20" i="16"/>
  <c r="AG31" i="16"/>
  <c r="AK24" i="16"/>
  <c r="AG17" i="16"/>
  <c r="AG11" i="16"/>
  <c r="AG23" i="16"/>
  <c r="AK14" i="16"/>
  <c r="AC25" i="16"/>
  <c r="AK11" i="16"/>
  <c r="AC21" i="16"/>
  <c r="AK27" i="16"/>
  <c r="AC7" i="16"/>
  <c r="O7" i="16" s="1"/>
  <c r="AC27" i="16"/>
  <c r="AG25" i="16"/>
  <c r="AC23" i="16"/>
  <c r="AC31" i="16"/>
  <c r="AK29" i="16"/>
  <c r="AC18" i="16"/>
  <c r="T15" i="16"/>
  <c r="T6" i="16"/>
  <c r="S28" i="16"/>
  <c r="S12" i="16"/>
  <c r="AK9" i="16"/>
  <c r="Y13" i="16"/>
  <c r="R13" i="16"/>
  <c r="R6" i="16"/>
  <c r="Y6" i="16"/>
  <c r="N6" i="16" s="1"/>
  <c r="R25" i="16"/>
  <c r="Y25" i="16"/>
  <c r="AC28" i="16"/>
  <c r="T28" i="16"/>
  <c r="S7" i="16"/>
  <c r="R15" i="16"/>
  <c r="Y15" i="16"/>
  <c r="AC26" i="16"/>
  <c r="Y12" i="16"/>
  <c r="R12" i="16"/>
  <c r="AC11" i="16"/>
  <c r="S13" i="16"/>
  <c r="AG14" i="16"/>
  <c r="S6" i="16"/>
  <c r="S25" i="16"/>
  <c r="R28" i="16"/>
  <c r="Y28" i="16"/>
  <c r="T7" i="16"/>
  <c r="T13" i="16"/>
  <c r="Y17" i="16"/>
  <c r="R17" i="16"/>
  <c r="S22" i="16"/>
  <c r="T25" i="16"/>
  <c r="Y7" i="16"/>
  <c r="N7" i="16" s="1"/>
  <c r="R7" i="16"/>
  <c r="AG19" i="16"/>
  <c r="T24" i="16"/>
  <c r="AG15" i="16"/>
  <c r="AG6" i="16"/>
  <c r="P6" i="16" s="1"/>
  <c r="T17" i="16"/>
  <c r="S31" i="16"/>
  <c r="R22" i="16"/>
  <c r="Y22" i="16"/>
  <c r="S24" i="16"/>
  <c r="R10" i="16"/>
  <c r="Y10" i="16"/>
  <c r="AG29" i="16"/>
  <c r="AK15" i="16"/>
  <c r="AK31" i="16"/>
  <c r="S17" i="16"/>
  <c r="R31" i="16"/>
  <c r="Y31" i="16"/>
  <c r="T22" i="16"/>
  <c r="Y24" i="16"/>
  <c r="R24" i="16"/>
  <c r="AG18" i="16"/>
  <c r="T9" i="16"/>
  <c r="T31" i="16"/>
  <c r="AG26" i="16"/>
  <c r="P26" i="16" s="1"/>
  <c r="Y18" i="16"/>
  <c r="R18" i="16"/>
  <c r="AC24" i="16"/>
  <c r="T16" i="16"/>
  <c r="AK25" i="16"/>
  <c r="S9" i="16"/>
  <c r="AK7" i="16"/>
  <c r="Q7" i="16" s="1"/>
  <c r="T23" i="16"/>
  <c r="AG30" i="16"/>
  <c r="S18" i="16"/>
  <c r="Y26" i="16"/>
  <c r="R26" i="16"/>
  <c r="AC15" i="16"/>
  <c r="S16" i="16"/>
  <c r="Y9" i="16"/>
  <c r="R9" i="16"/>
  <c r="Y29" i="16"/>
  <c r="R29" i="16"/>
  <c r="S23" i="16"/>
  <c r="T18" i="16"/>
  <c r="AC30" i="16"/>
  <c r="S26" i="16"/>
  <c r="R16" i="16"/>
  <c r="Y16" i="16"/>
  <c r="AC19" i="16"/>
  <c r="AK10" i="16"/>
  <c r="T29" i="16"/>
  <c r="AK8" i="16"/>
  <c r="W5" i="32" s="1"/>
  <c r="AK23" i="16"/>
  <c r="Y23" i="16"/>
  <c r="R23" i="16"/>
  <c r="AG22" i="16"/>
  <c r="P22" i="16" s="1"/>
  <c r="AC22" i="16"/>
  <c r="O22" i="16" s="1"/>
  <c r="AC20" i="16"/>
  <c r="AG13" i="16"/>
  <c r="T26" i="16"/>
  <c r="S14" i="16"/>
  <c r="AC13" i="16"/>
  <c r="AK16" i="16"/>
  <c r="S29" i="16"/>
  <c r="S11" i="16"/>
  <c r="T14" i="16"/>
  <c r="AC6" i="16"/>
  <c r="O6" i="16" s="1"/>
  <c r="AC14" i="16"/>
  <c r="Y20" i="16"/>
  <c r="R20" i="16"/>
  <c r="Y11" i="16"/>
  <c r="R11" i="16"/>
  <c r="AG7" i="16"/>
  <c r="P7" i="16" s="1"/>
  <c r="Y14" i="16"/>
  <c r="R14" i="16"/>
  <c r="T8" i="16"/>
  <c r="AG16" i="16"/>
  <c r="T11" i="16"/>
  <c r="S19" i="16"/>
  <c r="AK30" i="16"/>
  <c r="AC16" i="16"/>
  <c r="R8" i="16"/>
  <c r="AC9" i="16"/>
  <c r="AK13" i="16"/>
  <c r="AK21" i="16"/>
  <c r="Y27" i="16"/>
  <c r="R27" i="16"/>
  <c r="AK18" i="16"/>
  <c r="AG12" i="16"/>
  <c r="T21" i="16"/>
  <c r="T19" i="16"/>
  <c r="T30" i="16"/>
  <c r="AC10" i="16"/>
  <c r="T27" i="16"/>
  <c r="S21" i="16"/>
  <c r="AG28" i="16"/>
  <c r="AC29" i="16"/>
  <c r="R19" i="16"/>
  <c r="Y19" i="16"/>
  <c r="AC12" i="16"/>
  <c r="S30" i="16"/>
  <c r="T12" i="16"/>
  <c r="AK28" i="16"/>
  <c r="AK12" i="16"/>
  <c r="S27" i="16"/>
  <c r="AG27" i="16"/>
  <c r="P27" i="16" s="1"/>
  <c r="Y21" i="16"/>
  <c r="R21" i="16"/>
  <c r="AK22" i="16"/>
  <c r="R30" i="16"/>
  <c r="Y30" i="16"/>
  <c r="S15" i="16"/>
  <c r="AC17" i="16"/>
  <c r="AK19" i="16"/>
  <c r="Q22" i="16" l="1"/>
  <c r="P16" i="16"/>
  <c r="Q25" i="16"/>
  <c r="Q15" i="16"/>
  <c r="Q29" i="16"/>
  <c r="Q20" i="16"/>
  <c r="P25" i="16"/>
  <c r="P12" i="16"/>
  <c r="Q12" i="16"/>
  <c r="Q18" i="16"/>
  <c r="Q28" i="16"/>
  <c r="AG25" i="32"/>
  <c r="AK25" i="32"/>
  <c r="AQ25" i="32"/>
  <c r="AV25" i="32"/>
  <c r="AP25" i="32"/>
  <c r="AB25" i="32"/>
  <c r="AA25" i="32"/>
  <c r="AU25" i="32"/>
  <c r="AL25" i="32"/>
  <c r="V4" i="32"/>
  <c r="V11" i="32" s="1"/>
  <c r="W4" i="32"/>
  <c r="W11" i="32" s="1"/>
  <c r="AF25" i="32"/>
  <c r="O10" i="16"/>
  <c r="O20" i="16"/>
  <c r="O28" i="16"/>
  <c r="Q16" i="16"/>
  <c r="O26" i="16"/>
  <c r="Q24" i="16"/>
  <c r="P13" i="16"/>
  <c r="P30" i="16"/>
  <c r="P19" i="16"/>
  <c r="Q13" i="16"/>
  <c r="P28" i="16"/>
  <c r="Q30" i="16"/>
  <c r="P17" i="16"/>
  <c r="P10" i="16"/>
  <c r="O17" i="16"/>
  <c r="O29" i="16"/>
  <c r="O16" i="16"/>
  <c r="O19" i="16"/>
  <c r="P11" i="16"/>
  <c r="O13" i="16"/>
  <c r="Q31" i="16"/>
  <c r="O18" i="16"/>
  <c r="P31" i="16"/>
  <c r="O30" i="16"/>
  <c r="P29" i="16"/>
  <c r="O31" i="16"/>
  <c r="P24" i="16"/>
  <c r="O24" i="16"/>
  <c r="O23" i="16"/>
  <c r="P20" i="16"/>
  <c r="V12" i="32"/>
  <c r="V19" i="32" s="1"/>
  <c r="V26" i="32" s="1"/>
  <c r="O9" i="16"/>
  <c r="U5" i="32"/>
  <c r="Y5" i="32"/>
  <c r="Q27" i="16"/>
  <c r="O21" i="16"/>
  <c r="Q21" i="16"/>
  <c r="Q23" i="16"/>
  <c r="O15" i="16"/>
  <c r="P18" i="16"/>
  <c r="AB5" i="32"/>
  <c r="Q11" i="16"/>
  <c r="W12" i="32"/>
  <c r="W19" i="32" s="1"/>
  <c r="W26" i="32" s="1"/>
  <c r="P14" i="16"/>
  <c r="O25" i="16"/>
  <c r="Q17" i="16"/>
  <c r="O27" i="16"/>
  <c r="O12" i="16"/>
  <c r="O14" i="16"/>
  <c r="P15" i="16"/>
  <c r="Q14" i="16"/>
  <c r="Q26" i="16"/>
  <c r="Q19" i="16"/>
  <c r="Q10" i="16"/>
  <c r="O11" i="16"/>
  <c r="P23" i="16"/>
  <c r="AK5" i="32"/>
  <c r="P21" i="16"/>
  <c r="Q9" i="16"/>
  <c r="P9" i="16"/>
  <c r="AQ7" i="16"/>
  <c r="AQ15" i="16"/>
  <c r="AQ10" i="16"/>
  <c r="AQ20" i="16"/>
  <c r="AQ19" i="16"/>
  <c r="AQ14" i="16"/>
  <c r="AQ29" i="16"/>
  <c r="AQ12" i="16"/>
  <c r="AQ9" i="16"/>
  <c r="R12" i="32"/>
  <c r="R26" i="32"/>
  <c r="AQ25" i="16"/>
  <c r="AD26" i="32"/>
  <c r="AQ16" i="16"/>
  <c r="AN26" i="32"/>
  <c r="AQ26" i="16"/>
  <c r="AQ18" i="16"/>
  <c r="AQ30" i="16"/>
  <c r="AQ24" i="16"/>
  <c r="AQ28" i="16"/>
  <c r="AQ22" i="16"/>
  <c r="Y26" i="32"/>
  <c r="AQ11" i="16"/>
  <c r="AQ27" i="16"/>
  <c r="AQ17" i="16"/>
  <c r="AS26" i="32"/>
  <c r="AQ31" i="16"/>
  <c r="AQ13" i="16"/>
  <c r="AI26" i="32"/>
  <c r="AQ21" i="16"/>
  <c r="AQ6" i="16"/>
  <c r="AQ23" i="16"/>
  <c r="AJ5" i="32"/>
  <c r="AQ5" i="32"/>
  <c r="AU5" i="32"/>
  <c r="AT5" i="32"/>
  <c r="AA5" i="32"/>
  <c r="U13" i="16"/>
  <c r="U27" i="16"/>
  <c r="M8" i="16"/>
  <c r="U11" i="16"/>
  <c r="AC5" i="32" s="1"/>
  <c r="U26" i="16"/>
  <c r="AR5" i="32" s="1"/>
  <c r="AN5" i="32"/>
  <c r="U25" i="16"/>
  <c r="U31" i="16"/>
  <c r="AW5" i="32" s="1"/>
  <c r="AS5" i="32"/>
  <c r="Z5" i="32"/>
  <c r="U6" i="16"/>
  <c r="AL5" i="32"/>
  <c r="U30" i="16"/>
  <c r="AG5" i="32"/>
  <c r="U18" i="16"/>
  <c r="U14" i="16"/>
  <c r="AE5" i="32"/>
  <c r="U20" i="16"/>
  <c r="AP5" i="32"/>
  <c r="AV5" i="32"/>
  <c r="U29" i="16"/>
  <c r="U24" i="16"/>
  <c r="U12" i="16"/>
  <c r="U16" i="16"/>
  <c r="AH5" i="32" s="1"/>
  <c r="AD5" i="32"/>
  <c r="U22" i="16"/>
  <c r="AF5" i="32"/>
  <c r="U17" i="16"/>
  <c r="U23" i="16"/>
  <c r="U21" i="16"/>
  <c r="AM5" i="32" s="1"/>
  <c r="AI5" i="32"/>
  <c r="U28" i="16"/>
  <c r="AO5" i="32"/>
  <c r="U9" i="16"/>
  <c r="U10" i="16"/>
  <c r="U15" i="16"/>
  <c r="M7" i="16"/>
  <c r="U7" i="16"/>
  <c r="U19" i="16"/>
  <c r="W18" i="32" l="1"/>
  <c r="V18" i="32"/>
  <c r="R19" i="32"/>
  <c r="AP12" i="32"/>
  <c r="AD12" i="32"/>
  <c r="AE12" i="32"/>
  <c r="AA12" i="32"/>
  <c r="Y19" i="32"/>
  <c r="Y12" i="32"/>
  <c r="AO12" i="32"/>
  <c r="U4" i="32"/>
  <c r="AG12" i="32"/>
  <c r="AI12" i="32"/>
  <c r="AQ12" i="32"/>
  <c r="AL12" i="32"/>
  <c r="AJ12" i="32"/>
  <c r="AF12" i="32"/>
  <c r="Z12" i="32"/>
  <c r="AK19" i="32"/>
  <c r="AK12" i="32"/>
  <c r="AB19" i="32"/>
  <c r="AB12" i="32"/>
  <c r="AN12" i="32"/>
  <c r="R25" i="32"/>
  <c r="U12" i="32"/>
  <c r="U19" i="32" s="1"/>
  <c r="U26" i="32" s="1"/>
  <c r="Y25" i="32"/>
  <c r="AC26" i="32"/>
  <c r="P12" i="32"/>
  <c r="P26" i="32"/>
  <c r="O12" i="32"/>
  <c r="O26" i="32"/>
  <c r="AN25" i="32"/>
  <c r="AR26" i="32"/>
  <c r="AM26" i="32"/>
  <c r="AI25" i="32"/>
  <c r="AH26" i="32"/>
  <c r="AD25" i="32"/>
  <c r="AW26" i="32"/>
  <c r="AS25" i="32"/>
  <c r="Q12" i="32"/>
  <c r="Q26" i="32"/>
  <c r="S12" i="32"/>
  <c r="S26" i="32"/>
  <c r="AS19" i="32"/>
  <c r="AS12" i="32"/>
  <c r="AA19" i="32"/>
  <c r="AG19" i="32"/>
  <c r="AT19" i="32"/>
  <c r="AT12" i="32"/>
  <c r="AN19" i="32"/>
  <c r="AU19" i="32"/>
  <c r="AU12" i="32"/>
  <c r="AQ19" i="32"/>
  <c r="AI19" i="32"/>
  <c r="AP19" i="32"/>
  <c r="AJ19" i="32"/>
  <c r="AL19" i="32"/>
  <c r="AF19" i="32"/>
  <c r="AV19" i="32"/>
  <c r="AV12" i="32"/>
  <c r="AE19" i="32"/>
  <c r="Z19" i="32"/>
  <c r="AO19" i="32"/>
  <c r="AD19" i="32"/>
  <c r="R4" i="32"/>
  <c r="R11" i="32" s="1"/>
  <c r="AQ4" i="32"/>
  <c r="AA4" i="32"/>
  <c r="AK4" i="32"/>
  <c r="AV4" i="32"/>
  <c r="AP4" i="32"/>
  <c r="AF4" i="32"/>
  <c r="AU4" i="32"/>
  <c r="AB4" i="32"/>
  <c r="AD4" i="32"/>
  <c r="AL4" i="32"/>
  <c r="AI4" i="32"/>
  <c r="Q4" i="32"/>
  <c r="Q11" i="32" s="1"/>
  <c r="AS4" i="32"/>
  <c r="AN4" i="32"/>
  <c r="M6" i="16"/>
  <c r="AG4" i="32"/>
  <c r="O4" i="32"/>
  <c r="O11" i="32" s="1"/>
  <c r="U11" i="32" l="1"/>
  <c r="V25" i="32"/>
  <c r="W25" i="32"/>
  <c r="Y18" i="32"/>
  <c r="AB18" i="32"/>
  <c r="AC12" i="32"/>
  <c r="P19" i="32"/>
  <c r="S19" i="32"/>
  <c r="AM12" i="32"/>
  <c r="Q19" i="32"/>
  <c r="Q25" i="32"/>
  <c r="AR12" i="32"/>
  <c r="AH12" i="32"/>
  <c r="O25" i="32"/>
  <c r="O19" i="32"/>
  <c r="AU11" i="32"/>
  <c r="AV11" i="32"/>
  <c r="AG11" i="32"/>
  <c r="AA11" i="32"/>
  <c r="AL11" i="32"/>
  <c r="AP11" i="32"/>
  <c r="AQ11" i="32"/>
  <c r="Y11" i="32"/>
  <c r="AF11" i="32"/>
  <c r="AB11" i="32"/>
  <c r="AK11" i="32"/>
  <c r="AC19" i="32"/>
  <c r="AM19" i="32"/>
  <c r="AI11" i="32"/>
  <c r="AR19" i="32"/>
  <c r="AN11" i="32"/>
  <c r="AD11" i="32"/>
  <c r="AH19" i="32"/>
  <c r="AS11" i="32"/>
  <c r="AW12" i="32"/>
  <c r="AW19" i="32"/>
  <c r="AQ18" i="32"/>
  <c r="AP18" i="32"/>
  <c r="AA18" i="32"/>
  <c r="AD18" i="32"/>
  <c r="AG18" i="32"/>
  <c r="AS18" i="32"/>
  <c r="AN18" i="32"/>
  <c r="AI18" i="32"/>
  <c r="AK18" i="32"/>
  <c r="AU18" i="32"/>
  <c r="AF18" i="32"/>
  <c r="AV18" i="32"/>
  <c r="AL18" i="32"/>
  <c r="Y4" i="32"/>
  <c r="U18" i="32" l="1"/>
  <c r="Q18" i="32"/>
  <c r="R18" i="32"/>
  <c r="O18" i="32"/>
  <c r="U25" i="32" l="1"/>
  <c r="K4" i="32"/>
  <c r="K11" i="32" s="1"/>
  <c r="K18" i="32" s="1"/>
  <c r="N4" i="32"/>
  <c r="N11" i="32" s="1"/>
  <c r="N18" i="32" s="1"/>
  <c r="S4" i="32"/>
  <c r="S11" i="32" s="1"/>
  <c r="S18" i="32" s="1"/>
  <c r="N27" i="32"/>
  <c r="N13" i="32"/>
  <c r="K27" i="32"/>
  <c r="K13" i="32"/>
  <c r="K20" i="32" l="1"/>
  <c r="N20" i="32"/>
  <c r="K25" i="32"/>
  <c r="N25" i="32"/>
  <c r="S27" i="32"/>
  <c r="S13" i="32"/>
  <c r="S20" i="32" l="1"/>
  <c r="S25" i="32"/>
  <c r="P27" i="32"/>
  <c r="P4" i="32"/>
  <c r="P11" i="32" s="1"/>
  <c r="P18" i="32" s="1"/>
  <c r="P13" i="32"/>
  <c r="AH6" i="32"/>
  <c r="AC20" i="32"/>
  <c r="AC27" i="32"/>
  <c r="AC11" i="32"/>
  <c r="AC4" i="32"/>
  <c r="AC25" i="32" l="1"/>
  <c r="AH13" i="32"/>
  <c r="P20" i="32"/>
  <c r="AC18" i="32"/>
  <c r="P25" i="32"/>
  <c r="Z4" i="32"/>
  <c r="Z27" i="32"/>
  <c r="Z11" i="32"/>
  <c r="Z20" i="32"/>
  <c r="AH4" i="32"/>
  <c r="AM6" i="32"/>
  <c r="AE6" i="32"/>
  <c r="AH20" i="32"/>
  <c r="AH27" i="32"/>
  <c r="AM13" i="32" l="1"/>
  <c r="AH25" i="32"/>
  <c r="Z18" i="32"/>
  <c r="Z25" i="32"/>
  <c r="AH18" i="32"/>
  <c r="AE13" i="32"/>
  <c r="AH11" i="32"/>
  <c r="AE4" i="32"/>
  <c r="AE27" i="32"/>
  <c r="AE20" i="32"/>
  <c r="AM27" i="32"/>
  <c r="AJ6" i="32"/>
  <c r="AR6" i="32"/>
  <c r="AM20" i="32"/>
  <c r="AM4" i="32"/>
  <c r="AM11" i="32"/>
  <c r="AM18" i="32" l="1"/>
  <c r="AR13" i="32"/>
  <c r="AE18" i="32"/>
  <c r="AE11" i="32"/>
  <c r="AJ13" i="32"/>
  <c r="AM25" i="32"/>
  <c r="AE25" i="32"/>
  <c r="AR27" i="32"/>
  <c r="AO6" i="32"/>
  <c r="AW6" i="32"/>
  <c r="AR11" i="32"/>
  <c r="AR4" i="32"/>
  <c r="AR20" i="32"/>
  <c r="AJ27" i="32"/>
  <c r="AJ20" i="32"/>
  <c r="AJ4" i="32"/>
  <c r="AJ11" i="32"/>
  <c r="AJ18" i="32" l="1"/>
  <c r="AR18" i="32"/>
  <c r="AJ25" i="32"/>
  <c r="AO13" i="32"/>
  <c r="AR25" i="32"/>
  <c r="AW27" i="32"/>
  <c r="AT6" i="32"/>
  <c r="AW4" i="32"/>
  <c r="AW20" i="32"/>
  <c r="AW13" i="32"/>
  <c r="AO20" i="32"/>
  <c r="AO4" i="32"/>
  <c r="AO11" i="32"/>
  <c r="AO27" i="32"/>
  <c r="AO25" i="32" l="1"/>
  <c r="AO18" i="32"/>
  <c r="AW11" i="32"/>
  <c r="AW18" i="32"/>
  <c r="AW25" i="32"/>
  <c r="AT4" i="32"/>
  <c r="AT27" i="32"/>
  <c r="AT13" i="32"/>
  <c r="AT20" i="32"/>
  <c r="AT25" i="32" l="1"/>
  <c r="AT18" i="32"/>
  <c r="AT11" i="32"/>
  <c r="Y8" i="16"/>
  <c r="S8" i="16"/>
  <c r="U8" i="16" l="1"/>
  <c r="X5" i="32" s="1"/>
  <c r="T5" i="32"/>
  <c r="N30" i="16"/>
  <c r="M30" i="16" s="1"/>
  <c r="N14" i="16"/>
  <c r="M14" i="16" s="1"/>
  <c r="N25" i="16"/>
  <c r="M25" i="16" s="1"/>
  <c r="N13" i="16"/>
  <c r="M13" i="16" s="1"/>
  <c r="N24" i="16"/>
  <c r="M24" i="16" s="1"/>
  <c r="N29" i="16"/>
  <c r="M29" i="16" s="1"/>
  <c r="N22" i="16"/>
  <c r="M22" i="16" s="1"/>
  <c r="N21" i="16"/>
  <c r="M21" i="16" s="1"/>
  <c r="N27" i="16"/>
  <c r="M27" i="16" s="1"/>
  <c r="N23" i="16"/>
  <c r="M23" i="16" s="1"/>
  <c r="N18" i="16"/>
  <c r="M18" i="16" s="1"/>
  <c r="N10" i="16"/>
  <c r="M10" i="16" s="1"/>
  <c r="N17" i="16"/>
  <c r="M17" i="16" s="1"/>
  <c r="N31" i="16"/>
  <c r="M31" i="16" s="1"/>
  <c r="N20" i="16"/>
  <c r="M20" i="16" s="1"/>
  <c r="N19" i="16"/>
  <c r="M19" i="16" s="1"/>
  <c r="N16" i="16"/>
  <c r="M16" i="16" s="1"/>
  <c r="N26" i="16"/>
  <c r="M26" i="16" s="1"/>
  <c r="N15" i="16"/>
  <c r="M15" i="16" s="1"/>
  <c r="N28" i="16"/>
  <c r="M28" i="16" s="1"/>
  <c r="N12" i="16"/>
  <c r="M12" i="16" s="1"/>
  <c r="N11" i="16"/>
  <c r="M11" i="16" s="1"/>
  <c r="N9" i="16"/>
  <c r="M9" i="16" s="1"/>
  <c r="AO8" i="16"/>
  <c r="AP8" i="16"/>
  <c r="AY8" i="16"/>
  <c r="BC8" i="16"/>
  <c r="BG8" i="16"/>
  <c r="AU8" i="16"/>
  <c r="AN8" i="16"/>
  <c r="T4" i="32" l="1"/>
  <c r="T11" i="32" s="1"/>
  <c r="X4" i="32"/>
  <c r="X11" i="32" s="1"/>
  <c r="T12" i="32"/>
  <c r="T19" i="32" s="1"/>
  <c r="T26" i="32" s="1"/>
  <c r="X12" i="32"/>
  <c r="X19" i="32" s="1"/>
  <c r="X26" i="32" s="1"/>
  <c r="AQ8" i="16"/>
  <c r="X18" i="32" l="1"/>
  <c r="T18" i="32"/>
  <c r="T25" i="32" l="1"/>
  <c r="X25" i="32"/>
</calcChain>
</file>

<file path=xl/sharedStrings.xml><?xml version="1.0" encoding="utf-8"?>
<sst xmlns="http://schemas.openxmlformats.org/spreadsheetml/2006/main" count="849" uniqueCount="377">
  <si>
    <t>Base Year Data from ICF</t>
  </si>
  <si>
    <t>Emissions for military assumed to be constant from 2019 onward</t>
  </si>
  <si>
    <t>Emissions_Domestic_Index(t,c,e) = EnergyIndex(t)*(GSPIndex(t,c)*(1-ShareDomVisitorTravel)+VisitorIndex(t,c)*ShareDomVisitorTravel))*Emissions_Domestic(t-1,c,e)</t>
  </si>
  <si>
    <t>Emissions_International_Index(t,c,e) = EnergyIndex(t)*(GSPIndex(t,c)*(1-ShareIntlVisitorTravel)+VisitorIndex(t,c)*ShareIntlVisitorTravel))*Emissions_International(t-1,c,e)</t>
  </si>
  <si>
    <t>Emissions_Domestic(t,c,e) = ICF(c,"JetFuel")*Emissions_Domestic_Index(t,c,e)</t>
  </si>
  <si>
    <t xml:space="preserve">Emissions_International(t,c,e) = ICF(c,"Bunker")*Emissions_International_Index(t,c,e) </t>
  </si>
  <si>
    <t>Sum over counties, c, to obtain state level emissions by emittant, e</t>
  </si>
  <si>
    <t>Sum over emittants, e, to obtain total CO2e emissions</t>
  </si>
  <si>
    <t>EnergyIndex based on AEO 2022's forecast for change in energy per seat mile</t>
  </si>
  <si>
    <t>GSPIndex(t,c) = Gross county product as per DBEDT's short and long range forecasts</t>
  </si>
  <si>
    <t>VistitorIndex(t,c) = Change in visitor arrivals as per DBEDT's short and long range forecasts</t>
  </si>
  <si>
    <t>ShareDomVisitorTravel = Share of domestic air travel by visitors</t>
  </si>
  <si>
    <t>ShareIntlVisitorTravel = Share of international air travel by visitors</t>
  </si>
  <si>
    <t>Travel broken into the following categories</t>
  </si>
  <si>
    <t>Travel Type</t>
  </si>
  <si>
    <t>Bunker Fuel</t>
  </si>
  <si>
    <t>Non-Bunker Fuel</t>
  </si>
  <si>
    <t>Type</t>
  </si>
  <si>
    <t>International visitor</t>
  </si>
  <si>
    <t>X</t>
  </si>
  <si>
    <t>Passenger</t>
  </si>
  <si>
    <t>International residential</t>
  </si>
  <si>
    <t>Domestic visitor</t>
  </si>
  <si>
    <t>Domestic residential</t>
  </si>
  <si>
    <t>Commercial</t>
  </si>
  <si>
    <t>Cargo</t>
  </si>
  <si>
    <t xml:space="preserve">International Visitor share of travel </t>
  </si>
  <si>
    <t>= Visitor Travel*Overseas travel * Share of Overseas travel from international destinations</t>
  </si>
  <si>
    <t xml:space="preserve">International Residential share of travel </t>
  </si>
  <si>
    <t>= (1-Visitor Travel)*Overseas travel * Share of overseas travel from international destinations</t>
  </si>
  <si>
    <t>Travel from Domestic Locations</t>
  </si>
  <si>
    <t>= Visitor Travel*Overseas travel *(1-Share of Overseas travel from international locations) + Visitor Interisland travel*Interisland Travel</t>
  </si>
  <si>
    <t>Domestic residential travel</t>
  </si>
  <si>
    <t>= (1-Visitor Travel)*Overseas travel * (1-Share of Residential travel from international destinations)</t>
  </si>
  <si>
    <t xml:space="preserve">Total Residential Travel </t>
  </si>
  <si>
    <t>= (1-visitor travel)*Overseas Travel*(1-Share of Residential travel from international destinations) + (1-visitor interisland travel)*Interisland travel</t>
  </si>
  <si>
    <t xml:space="preserve">Commercial Travel </t>
  </si>
  <si>
    <t>= 1 - (international visitor travel + international Residential + visitor travel from Domestic Locations + Domestic Residential travel)</t>
  </si>
  <si>
    <t>Transportation Summary</t>
  </si>
  <si>
    <t>Baseline</t>
  </si>
  <si>
    <t>State</t>
  </si>
  <si>
    <t>Hawaii</t>
  </si>
  <si>
    <t>Oahu</t>
  </si>
  <si>
    <t>Kaui</t>
  </si>
  <si>
    <t>Maui</t>
  </si>
  <si>
    <t>Air Transportation</t>
  </si>
  <si>
    <t>Domestic Aviation</t>
  </si>
  <si>
    <t>Military Aviation</t>
  </si>
  <si>
    <t>Military Non-Aviation</t>
  </si>
  <si>
    <t>High Oil Price Scenario (1A)</t>
  </si>
  <si>
    <t>Low Oil Price Scenario (1B)</t>
  </si>
  <si>
    <t>Year</t>
  </si>
  <si>
    <t>GSP Index</t>
  </si>
  <si>
    <t>Visitor Index</t>
  </si>
  <si>
    <t>Jet Fuel (commercial) Consumption</t>
  </si>
  <si>
    <t>Emissions (MMT CO2e)</t>
  </si>
  <si>
    <t>Honolulu</t>
  </si>
  <si>
    <t>Kauai</t>
  </si>
  <si>
    <t xml:space="preserve"> (Bbtu)</t>
  </si>
  <si>
    <t>CO2</t>
  </si>
  <si>
    <t>CH4</t>
  </si>
  <si>
    <t>N2O</t>
  </si>
  <si>
    <t xml:space="preserve">Total </t>
  </si>
  <si>
    <t>Share of Air Travel by Visitors</t>
  </si>
  <si>
    <t>See ShrVisitorComputations Tab</t>
  </si>
  <si>
    <t>Domestic Air (Jet Fuel)</t>
  </si>
  <si>
    <t>CO2e</t>
  </si>
  <si>
    <t>Share</t>
  </si>
  <si>
    <t>Total</t>
  </si>
  <si>
    <t>Fuel Consumption (Bbtu)</t>
  </si>
  <si>
    <t>State and County Gross Product Forecast</t>
  </si>
  <si>
    <t>Visitor Arrivals</t>
  </si>
  <si>
    <t>Base</t>
  </si>
  <si>
    <t>Sources:  See Common Forecasts spreadsheet for numbers</t>
  </si>
  <si>
    <t>Visitor Arrivals and Gross County Product from short- and long-term DBEDT forecast</t>
  </si>
  <si>
    <t>Aircraft Efficiency Improvement</t>
  </si>
  <si>
    <t>(seat miles per gallon)</t>
  </si>
  <si>
    <t>Index of improvement</t>
  </si>
  <si>
    <t>(2019=1)</t>
  </si>
  <si>
    <t>Annualized improvement</t>
  </si>
  <si>
    <t>EIA Forecasts for Jet Fuel</t>
  </si>
  <si>
    <t>% Change</t>
  </si>
  <si>
    <t>High to Reference</t>
  </si>
  <si>
    <t>Low to Reference</t>
  </si>
  <si>
    <t>Own Price</t>
  </si>
  <si>
    <t>Elasticity</t>
  </si>
  <si>
    <t>Computation of share of domestic and international commercial travel by passengers and cargo</t>
  </si>
  <si>
    <t>Passengers 1/</t>
  </si>
  <si>
    <t>Cargo (U.S. tons)</t>
  </si>
  <si>
    <t>Mail (U.S. tons)</t>
  </si>
  <si>
    <t>Airport location</t>
  </si>
  <si>
    <t>Departures</t>
  </si>
  <si>
    <t>Arrivals</t>
  </si>
  <si>
    <t>Outgoing</t>
  </si>
  <si>
    <t>Incoming</t>
  </si>
  <si>
    <t xml:space="preserve">Share of Emissions by </t>
  </si>
  <si>
    <t>OVERSEAS</t>
  </si>
  <si>
    <t>Passengers</t>
  </si>
  <si>
    <t xml:space="preserve">Overseas </t>
  </si>
  <si>
    <t>Interisland</t>
  </si>
  <si>
    <t>Check</t>
  </si>
  <si>
    <t>Note:  Passenger share computed on a weight basis</t>
  </si>
  <si>
    <t>Kahului</t>
  </si>
  <si>
    <t>-</t>
  </si>
  <si>
    <t>Kona 2/</t>
  </si>
  <si>
    <t>Lihue</t>
  </si>
  <si>
    <t>Hilo</t>
  </si>
  <si>
    <t>INTERISLAND</t>
  </si>
  <si>
    <t>Molokai</t>
  </si>
  <si>
    <t>Lanai</t>
  </si>
  <si>
    <t>Kapalua</t>
  </si>
  <si>
    <t>Waimea-Kohala</t>
  </si>
  <si>
    <t>Kalaupapa</t>
  </si>
  <si>
    <t>Kalaeloa</t>
  </si>
  <si>
    <t>Hana</t>
  </si>
  <si>
    <t>Source: DBEDT Databook Table 18.37-- PASSENGERS, CARGO, AND MAIL, OVERSEAS AND   INTERISLAND, BY AIRPORT:  2019</t>
  </si>
  <si>
    <t>1/  Revenue and non-revenue passengers, excluding passengers in transit and Military Airlift Command (MAC).</t>
  </si>
  <si>
    <t>2/  Formerly Keahole Airport.</t>
  </si>
  <si>
    <t xml:space="preserve">     Source:  Hawaii State Department of Business, Economic, Development &amp; Tourism, Airline compilation</t>
  </si>
  <si>
    <t>and United States, Department of Transportation, Bureau of Transportation Statistics, Database</t>
  </si>
  <si>
    <t>&lt;https://www.transtats.bts.gov/databases.asp?Mode_ID=1&amp;Mode_Desc=Aviation&amp;Subject_ID2=0&gt;</t>
  </si>
  <si>
    <t>accessed on July 13, 2020.</t>
  </si>
  <si>
    <t>Assumed equivalency of cargo and passengers in travel demand</t>
  </si>
  <si>
    <r>
      <t>The Boeing </t>
    </r>
    <r>
      <rPr>
        <b/>
        <sz val="11"/>
        <color rgb="FF222222"/>
        <rFont val="Calibri"/>
        <family val="2"/>
        <scheme val="minor"/>
      </rPr>
      <t>767</t>
    </r>
    <r>
      <rPr>
        <sz val="11"/>
        <color rgb="FF222222"/>
        <rFont val="Calibri"/>
        <family val="2"/>
        <scheme val="minor"/>
      </rPr>
      <t>-</t>
    </r>
    <r>
      <rPr>
        <b/>
        <sz val="11"/>
        <color rgb="FF222222"/>
        <rFont val="Calibri"/>
        <family val="2"/>
        <scheme val="minor"/>
      </rPr>
      <t>300</t>
    </r>
    <r>
      <rPr>
        <sz val="11"/>
        <color rgb="FF222222"/>
        <rFont val="Calibri"/>
        <family val="2"/>
        <scheme val="minor"/>
      </rPr>
      <t> is a two-engined medium-to-long-range widebody airliner with a capacity of maximum 351 </t>
    </r>
    <r>
      <rPr>
        <b/>
        <sz val="11"/>
        <color rgb="FF222222"/>
        <rFont val="Calibri"/>
        <family val="2"/>
        <scheme val="minor"/>
      </rPr>
      <t>passengers</t>
    </r>
    <r>
      <rPr>
        <sz val="11"/>
        <color rgb="FF222222"/>
        <rFont val="Calibri"/>
        <family val="2"/>
        <scheme val="minor"/>
      </rPr>
      <t> produced by the American manufacturer Boeing Commercial Airplanes. The </t>
    </r>
    <r>
      <rPr>
        <b/>
        <sz val="11"/>
        <color rgb="FF222222"/>
        <rFont val="Calibri"/>
        <family val="2"/>
        <scheme val="minor"/>
      </rPr>
      <t>767</t>
    </r>
    <r>
      <rPr>
        <sz val="11"/>
        <color rgb="FF222222"/>
        <rFont val="Calibri"/>
        <family val="2"/>
        <scheme val="minor"/>
      </rPr>
      <t>-300F is the cargo freighter variant of the Boeing </t>
    </r>
    <r>
      <rPr>
        <b/>
        <sz val="11"/>
        <color rgb="FF222222"/>
        <rFont val="Calibri"/>
        <family val="2"/>
        <scheme val="minor"/>
      </rPr>
      <t>767</t>
    </r>
    <r>
      <rPr>
        <sz val="11"/>
        <color rgb="FF222222"/>
        <rFont val="Calibri"/>
        <family val="2"/>
        <scheme val="minor"/>
      </rPr>
      <t>-</t>
    </r>
    <r>
      <rPr>
        <b/>
        <sz val="11"/>
        <color rgb="FF222222"/>
        <rFont val="Calibri"/>
        <family val="2"/>
        <scheme val="minor"/>
      </rPr>
      <t>300</t>
    </r>
    <r>
      <rPr>
        <sz val="11"/>
        <color rgb="FF222222"/>
        <rFont val="Calibri"/>
        <family val="2"/>
        <scheme val="minor"/>
      </rPr>
      <t>.</t>
    </r>
  </si>
  <si>
    <t>Boeing 767-300 carries</t>
  </si>
  <si>
    <t>passengers</t>
  </si>
  <si>
    <t>Source:  boeingPlane-767_5_13_2014.pdf</t>
  </si>
  <si>
    <t>Boeing 767-300F carries</t>
  </si>
  <si>
    <t>tons</t>
  </si>
  <si>
    <t>Occupancy rate</t>
  </si>
  <si>
    <t>Sources: DBEDT Tables 18.32 and 18.37</t>
  </si>
  <si>
    <t>Passenger share of Commercial Travel</t>
  </si>
  <si>
    <t>passengers/tons</t>
  </si>
  <si>
    <t>= Occupancy Rate * Passengers/Tons</t>
  </si>
  <si>
    <t>Ratio of emissions from overseas trip to interisland trip</t>
  </si>
  <si>
    <t xml:space="preserve">Note: assume overseas travel uses 5 times as much fuel as interisland travel.  About 25% of emissions from air travel depend takeoff, landing, and taxiing, which is why even though the average distance of overseas flights are more than ten times those of interisland travel, we use a value of ten to account for the large share of emissions from non-flight activities.  The results are relatively insensitive to assumptions for this factor.  </t>
  </si>
  <si>
    <t>Source:  https://www.nytimes.com/2017/07/27/climate/airplane-pollution-global-warming.html</t>
  </si>
  <si>
    <t>Table 18.32-- ESTIMATED SCHEDULED AIRLINE SEAT CAPACITY FOR</t>
  </si>
  <si>
    <t>[Non-stop flights only]</t>
  </si>
  <si>
    <t>Airport</t>
  </si>
  <si>
    <t>State of Hawaii</t>
  </si>
  <si>
    <t xml:space="preserve">   Daniel K. Inouye International</t>
  </si>
  <si>
    <t xml:space="preserve">   Kahului</t>
  </si>
  <si>
    <t xml:space="preserve">   Ellison Onizuka Kona Int'l</t>
  </si>
  <si>
    <t xml:space="preserve">   Hilo International</t>
  </si>
  <si>
    <t xml:space="preserve">   Lihue</t>
  </si>
  <si>
    <t>Domestic</t>
  </si>
  <si>
    <t>International</t>
  </si>
  <si>
    <r>
      <t xml:space="preserve">Hawaii Tourism Authority, Tourism Research, </t>
    </r>
    <r>
      <rPr>
        <i/>
        <sz val="11"/>
        <rFont val="Calibri"/>
        <family val="2"/>
        <scheme val="minor"/>
      </rPr>
      <t>Monthly Visitor Statistics, December 2020</t>
    </r>
  </si>
  <si>
    <t>&lt;https://www.hawaiitourismauthority.org/research/monthly-visitor-statistics/&gt; accessed May 31, 2021.</t>
  </si>
  <si>
    <t>Table 7.04-- VISITOR ARRIVALS BY MAJOR MARKET AREAS: 2018 AND 2019</t>
  </si>
  <si>
    <t>Share of international tourists</t>
  </si>
  <si>
    <t>US-WEST</t>
  </si>
  <si>
    <t>US-EAST</t>
  </si>
  <si>
    <t>JAPAN</t>
  </si>
  <si>
    <t>CANADA</t>
  </si>
  <si>
    <t>EUROPE</t>
  </si>
  <si>
    <t>OCEANIA</t>
  </si>
  <si>
    <t>OTHER ASIA</t>
  </si>
  <si>
    <t>LATIN AMERICA</t>
  </si>
  <si>
    <t>OTHER</t>
  </si>
  <si>
    <t>TOTAL</t>
  </si>
  <si>
    <r>
      <t xml:space="preserve">     Source:  Hawaii Tourism Authority, Tourism Research, </t>
    </r>
    <r>
      <rPr>
        <i/>
        <sz val="11"/>
        <rFont val="Calibri"/>
        <family val="2"/>
        <scheme val="minor"/>
      </rPr>
      <t>Annual Visitor Research Report</t>
    </r>
    <r>
      <rPr>
        <sz val="11"/>
        <rFont val="Calibri"/>
        <family val="2"/>
        <scheme val="minor"/>
      </rPr>
      <t xml:space="preserve"> (annual).</t>
    </r>
  </si>
  <si>
    <t xml:space="preserve">&lt;https://www.hawaiitourismauthority.org/research/annual-visitor-research-reports/&gt; accessed </t>
  </si>
  <si>
    <t>August 18, 2020 and records.</t>
  </si>
  <si>
    <t>Share of passenger arrivals by visitors</t>
  </si>
  <si>
    <t>Share of interisland passenger travel by visitors</t>
  </si>
  <si>
    <t xml:space="preserve">Assume interisland travel split evenly between visitors and residents </t>
  </si>
  <si>
    <t>Table 7.36-- RETURNING RESIDENTS AND AVERAGE NUMBER ABSENT:</t>
  </si>
  <si>
    <t xml:space="preserve"> 1993 TO 2019</t>
  </si>
  <si>
    <t>Number returning</t>
  </si>
  <si>
    <t>Average number absent</t>
  </si>
  <si>
    <t>Inter-
national</t>
  </si>
  <si>
    <r>
      <t xml:space="preserve">     Source: Hawaii Tourism Authority, Tourism Research, </t>
    </r>
    <r>
      <rPr>
        <i/>
        <sz val="11"/>
        <rFont val="Calibri"/>
        <family val="2"/>
        <scheme val="minor"/>
      </rPr>
      <t>Annual Visitor Research Report</t>
    </r>
    <r>
      <rPr>
        <sz val="11"/>
        <rFont val="Calibri"/>
        <family val="2"/>
        <scheme val="minor"/>
      </rPr>
      <t xml:space="preserve"> (annual)</t>
    </r>
  </si>
  <si>
    <t>&lt;https://www.hawaiitourismauthority.org/research/annual-visitor-research-reports/&gt; accessed August 18, 2020,</t>
  </si>
  <si>
    <t>continues report published by the Hawaii State Department of Business, Economic Development &amp; Tourism from</t>
  </si>
  <si>
    <t>1999 to 2008, and Hawaii Tourism Authority, records.</t>
  </si>
  <si>
    <t>Computations for Shares Used in Domestic Air and International Air Tabs</t>
  </si>
  <si>
    <t>Shares of travel by type in 2019</t>
  </si>
  <si>
    <t>Overseas Visitors</t>
  </si>
  <si>
    <t>Local Visitors</t>
  </si>
  <si>
    <t>Residents</t>
  </si>
  <si>
    <t>Shares of Total Travel</t>
  </si>
  <si>
    <t>International Aviation</t>
  </si>
  <si>
    <t>Visitor Travel</t>
  </si>
  <si>
    <t>Share based on DBEDT travel data</t>
  </si>
  <si>
    <t>Non-Bunker</t>
  </si>
  <si>
    <t>Bunker</t>
  </si>
  <si>
    <t>Share of Non-Bunker Fuel</t>
  </si>
  <si>
    <t>Share Bunker Fuel</t>
  </si>
  <si>
    <t>Share of Cargo from US</t>
  </si>
  <si>
    <t>Visitors</t>
  </si>
  <si>
    <t>Cargo+Residents</t>
  </si>
  <si>
    <t>Share of carbon set equal to ratio of non-bunker fuel to total aviation fuel based on ICF split between bunker and non-bunker fuel</t>
  </si>
  <si>
    <t>Type of Travel</t>
  </si>
  <si>
    <t>Overseas</t>
  </si>
  <si>
    <t>Source:  DBEDT 2016 transportation table 18.37</t>
  </si>
  <si>
    <t>TABLE 5.  VISITOR ARRIVALS BY MMA AND MONTH:  1989 - 2016 (Arrivals by Air)</t>
  </si>
  <si>
    <t>North America</t>
  </si>
  <si>
    <t>Asia</t>
  </si>
  <si>
    <t>Europe</t>
  </si>
  <si>
    <t>Oceania</t>
  </si>
  <si>
    <t>Other</t>
  </si>
  <si>
    <t>Source:  http://dbedt.hawaii.gov/visitor/</t>
  </si>
  <si>
    <t xml:space="preserve">[Covers visitors who arrived by air and stayed overnight or longer anywhere in the state.  Domestic </t>
  </si>
  <si>
    <t xml:space="preserve">  includes passengers from all flights originating from the mainland United States. International </t>
  </si>
  <si>
    <t xml:space="preserve">  includes passengers from all flights originating from U.S. territories and other countries]</t>
  </si>
  <si>
    <t>Major Market Areas      (MMA)  1/</t>
  </si>
  <si>
    <t>Inter-national</t>
  </si>
  <si>
    <t>All visitors</t>
  </si>
  <si>
    <t>US West MMA  2/</t>
  </si>
  <si>
    <t>US East MMA  3/</t>
  </si>
  <si>
    <t>Japan MMA</t>
  </si>
  <si>
    <t>Canada MMA</t>
  </si>
  <si>
    <t>Other Asia MMA  4/</t>
  </si>
  <si>
    <t>China</t>
  </si>
  <si>
    <t>Hong Kong</t>
  </si>
  <si>
    <t>Korea</t>
  </si>
  <si>
    <t>Singapore</t>
  </si>
  <si>
    <t>Taiwan</t>
  </si>
  <si>
    <t>Oceania MMA  5/</t>
  </si>
  <si>
    <t>Australia</t>
  </si>
  <si>
    <t>New Zealand</t>
  </si>
  <si>
    <t>Europe MMA  6/</t>
  </si>
  <si>
    <t>United Kingdom</t>
  </si>
  <si>
    <t>France</t>
  </si>
  <si>
    <t>Germany</t>
  </si>
  <si>
    <t>Italy</t>
  </si>
  <si>
    <t>Switzerland</t>
  </si>
  <si>
    <t>Latin America MMA  7/</t>
  </si>
  <si>
    <t>Argentina</t>
  </si>
  <si>
    <t>Brazil</t>
  </si>
  <si>
    <t>Mexico</t>
  </si>
  <si>
    <t>Other MMA  8/</t>
  </si>
  <si>
    <t>1/  MMA's are geographical areas defined by the Hawaii Tourism Authority for marketing purposes.</t>
  </si>
  <si>
    <t>2/  Pacific and Mountain States of the United States.</t>
  </si>
  <si>
    <t>3/  All other States in the continental United States not included in U.S. West.</t>
  </si>
  <si>
    <t>4/  Includes China, Hong Kong, Korea (South), Singapore, and Taiwan.</t>
  </si>
  <si>
    <t>5/  Includes Australia and New Zealand.</t>
  </si>
  <si>
    <t>6/  Includes United Kingdom, Germany, France, Italy, and Switzerland.</t>
  </si>
  <si>
    <t>7/  Includes Argentina, Brazil, and Mexico.</t>
  </si>
  <si>
    <t>8/  Includes all countries and districts not listed in other MMAs, including Guam, Puerto Rico,</t>
  </si>
  <si>
    <t>U.S. Virgin Islands, and other U.S. territories.</t>
  </si>
  <si>
    <t>Legend</t>
  </si>
  <si>
    <t>Assumptions</t>
  </si>
  <si>
    <t>Computed Values</t>
  </si>
  <si>
    <t>Source:  AEO 2019, AEO 2021 (for 2020 #), AEO 2022 (for 2021), AEO 2023 (for 2022 onward) Table 7 Reference Case</t>
  </si>
  <si>
    <t>Low</t>
  </si>
  <si>
    <t>High</t>
  </si>
  <si>
    <t>Share of Electrified Interisland travel</t>
  </si>
  <si>
    <t xml:space="preserve">Sources:  the study assumes achievement of the Biden Administration target for sustainable aviation fuel production of 3 billion gallons per year by 2030,45 which translates into a 13% blend of sustainable fuel based on AEO forecasts of national aviation fuel demand.  </t>
  </si>
  <si>
    <t>https://www.whitehouse.gov/briefing-room/statements-releases/2021/09/09/fact-sheet-biden-administration-advances-the-future-of-sustainable-fuels-in-american-aviation/</t>
  </si>
  <si>
    <t>High penetration scenario:  https://newsroom.hawaiianairlines.com/releases/hawaiian-airlines-commits-to-new-milestones-on-path-to-net-zero-carbon-emissions</t>
  </si>
  <si>
    <t>Possible alternative scenario for efficiency:  https://theicct.org/sites/default/files/publications/Airline-fuel-efficiency-standard-2020.pdf</t>
  </si>
  <si>
    <t>Princeton Study:  Annex C, pg. 9:  reductions in energy-use per seat-km of 2.6% per year</t>
  </si>
  <si>
    <t>For electrification check https://www.iea.org/reports/aviation</t>
  </si>
  <si>
    <t>Share of Passenger travel</t>
  </si>
  <si>
    <t>Share of Cargo travel</t>
  </si>
  <si>
    <t>Share of Biofuels in Aviation Fuel for overseas travel</t>
  </si>
  <si>
    <t>Share of Biofuels for Interisland travel</t>
  </si>
  <si>
    <t>Share of overseas travel</t>
  </si>
  <si>
    <t>Share of Resident and Cargo Travel</t>
  </si>
  <si>
    <t>Note:  The sum of the share of biofuel and share of electrified for interisland travel cannot exceed 100%</t>
  </si>
  <si>
    <t>Source:  https://www.icao.int/environmental-protection/LTAG/Documents/ICAO_LTAG_Report_AppendixR1.pdf</t>
  </si>
  <si>
    <t>Airplane efficiency low, med, high:  1.20%/yr, 1.26%/yr, 1.31%/yr</t>
  </si>
  <si>
    <t>Med</t>
  </si>
  <si>
    <t>Emissions as percent of 2019 Levels</t>
  </si>
  <si>
    <t>Optimistic</t>
  </si>
  <si>
    <t>All Other</t>
  </si>
  <si>
    <t>Electric aircraft</t>
  </si>
  <si>
    <t>9 passenger-250 mile trip in 2022:  https://www.popularmechanics.com/flight/a41453056/eviation-electric-aircraft/</t>
  </si>
  <si>
    <t>exajoules</t>
  </si>
  <si>
    <t>kiloliters to tonnes</t>
  </si>
  <si>
    <t>tonnes to gigajoules</t>
  </si>
  <si>
    <t>For kerosene</t>
  </si>
  <si>
    <t>kiloliters/GJ</t>
  </si>
  <si>
    <t>GJ/kiloliter</t>
  </si>
  <si>
    <t>Million liters</t>
  </si>
  <si>
    <t>EJ</t>
  </si>
  <si>
    <t>2026 estimate from IEA</t>
  </si>
  <si>
    <t>Biojet fuel consumption</t>
  </si>
  <si>
    <t>Global energy for air travel 2023</t>
  </si>
  <si>
    <t>Source:  https://www.iea.org/reports/renewables-2021/biofuels?mode=transport&amp;region=World&amp;publication=2021&amp;flow=Consumption&amp;product=Biojet</t>
  </si>
  <si>
    <t>Biojet kerosene used in air travel increases from around zero in 2022 to account for 10% of all aviation fuel demand in 2030.  </t>
  </si>
  <si>
    <t>https://www.iea.org/energy-system/renewables/bioenergy</t>
  </si>
  <si>
    <t>Bioenergy use in industry increases substantially, from supplying a little over 11 EJ (7% of energy use) of energy in 2022 to more than 17 EJ (10%) in 2030, mostly in cement, pulp and paper, light industry and other industry.  </t>
  </si>
  <si>
    <r>
      <t>The IMO’s 80</t>
    </r>
    <r>
      <rPr>
        <vertAlign val="superscript"/>
        <sz val="11"/>
        <color theme="1"/>
        <rFont val="Calibri"/>
        <family val="2"/>
        <scheme val="minor"/>
      </rPr>
      <t>th</t>
    </r>
    <r>
      <rPr>
        <sz val="11"/>
        <color theme="1"/>
        <rFont val="Calibri"/>
        <family val="2"/>
        <scheme val="minor"/>
      </rPr>
      <t xml:space="preserve"> Marine Environment Protection Committee settled on emission reduction checkpoints of up to 30% by 2030 and up to 80% by 2040. </t>
    </r>
  </si>
  <si>
    <t>Member States also set a timeline for the adoption of mid-term measures, such as a global fuel standard and a greenhouse gas pricing mechanism, to be designed in the next two years and come into force in 2027.</t>
  </si>
  <si>
    <t>Source:  https://www.edf.org/media/global-shipping-negotiations-wrap-limited-commitments-reduce-climate-pollution</t>
  </si>
  <si>
    <t>Princeton Study has a range of 12 to 22 quads of biomass in 2050 for the US</t>
  </si>
  <si>
    <t>According to EIA AEO 2023, energy use for international and domestic shipping is about 1 quad.</t>
  </si>
  <si>
    <t>Global shipping stats</t>
  </si>
  <si>
    <t>2022 Fuel Consumption</t>
  </si>
  <si>
    <t>9.2 EJ</t>
  </si>
  <si>
    <t>2030 biofuels</t>
  </si>
  <si>
    <t>0.6 EJ</t>
  </si>
  <si>
    <t>9.2 EJ total energy needed so biofuels represent about 7% of alternative fuels</t>
  </si>
  <si>
    <r>
      <t xml:space="preserve">Member states agreed to “indicative checkpoints” that call for reducing total GHG emissions by 20% and striving for 30% by 2030 and 70% and striving for 80% by 2040, both relative to </t>
    </r>
    <r>
      <rPr>
        <b/>
        <sz val="11"/>
        <color theme="1"/>
        <rFont val="Calibri"/>
        <family val="2"/>
        <scheme val="minor"/>
      </rPr>
      <t>2008</t>
    </r>
    <r>
      <rPr>
        <sz val="11"/>
        <color theme="1"/>
        <rFont val="Calibri"/>
        <family val="2"/>
        <scheme val="minor"/>
      </rPr>
      <t xml:space="preserve">. </t>
    </r>
  </si>
  <si>
    <t>Source:  https://www.iea.org/energy-system/transport/international-shipping</t>
  </si>
  <si>
    <t>Marine</t>
  </si>
  <si>
    <t>GSP</t>
  </si>
  <si>
    <t>Efficiency</t>
  </si>
  <si>
    <t>Ref (Eff only)</t>
  </si>
  <si>
    <t>Opt (IMO goals)</t>
  </si>
  <si>
    <t>(MM MT CO2e)</t>
  </si>
  <si>
    <t>Note:  Optimistic scenario based on IMO's goals rather than what they're striving for because the shipping industry is behind on meeting its goals</t>
  </si>
  <si>
    <t>Global emissions for marine</t>
  </si>
  <si>
    <t>MM MT CO2</t>
  </si>
  <si>
    <t>Emissions Index Based on Int'l Maritime Org.</t>
  </si>
  <si>
    <t>Efficiency Forecast Marine</t>
  </si>
  <si>
    <t>(ton miles/thousand Btu)</t>
  </si>
  <si>
    <t>Source:  Efficiency gains based on EIA's 2023 Annual Energy Outlook for Domestic Shipping in Table 7</t>
  </si>
  <si>
    <t>Net zero scenario assumes global emissions to be 605 MM MT CO2 in 2030.  Because modernizing shipping will likely be slow to come to HI, we take the more conservative path and assume acceleration toward zero after 2030</t>
  </si>
  <si>
    <t>Member states agreed to “indicative checkpoints” that call for reducing total GHG emissions by 20% and striving for 30% by 2030 and 70% and striving for 80% by 2040, both relative to 2008.</t>
  </si>
  <si>
    <t>Marine Transportation</t>
  </si>
  <si>
    <t>Optimistic (4)</t>
  </si>
  <si>
    <t>Reference Case</t>
  </si>
  <si>
    <t>Air - Reference Case</t>
  </si>
  <si>
    <t>Energy Index</t>
  </si>
  <si>
    <t>Optimistic Case (4)</t>
  </si>
  <si>
    <t>Boeing planning on E-Plane in 2035</t>
  </si>
  <si>
    <t>Seems as if can have enough electric planes by 2045/2050</t>
  </si>
  <si>
    <t xml:space="preserve">Optimistic </t>
  </si>
  <si>
    <t xml:space="preserve">Final Emissions </t>
  </si>
  <si>
    <t>= 2019Emis * EfficiencyIndex * (ShrAirByVis*GSPIndex*(1-EleIndex(Visitor))*(1-BioFuelIndex) + (1-ShrAirByVis)*PopIndex*(1-EleIndex(Non-Visitor))*(1-BioFuelIndex))</t>
  </si>
  <si>
    <t>Optimistic scenario's efficiency improvement uses ICAO medium forecast</t>
  </si>
  <si>
    <t>GSP (2017$s)</t>
  </si>
  <si>
    <t>(2022 = 1)</t>
  </si>
  <si>
    <t>Index (2022 = 1)</t>
  </si>
  <si>
    <t>CO2e by county in 2022</t>
  </si>
  <si>
    <t>Source:   Energy_2022 Inventory.xlsx County share taken from County Data tab's Domestic Miles shares</t>
  </si>
  <si>
    <t xml:space="preserve">Source:  Energy_2022 Inventory.xlsx  State total from Source Final - Summary Tab (see Air). </t>
  </si>
  <si>
    <t>2022 Share</t>
  </si>
  <si>
    <t>Source:   Energy_2022 Inventory.xlsx  County and Source File tabs</t>
  </si>
  <si>
    <t>Source:   Energy_2022 Inventory.xlsx  2022 tab - Adjusted energy consumption for aviation gasoline and jet fuel kerosene</t>
  </si>
  <si>
    <t>Statewide GHG emissions from marine in 2022</t>
  </si>
  <si>
    <t xml:space="preserve">Source:  ICF  Energy_2022 Inventory.xlsx (2022 tab, data for Transportation-Water) Includes diesel, motor gasoline, and residual diesel </t>
  </si>
  <si>
    <t>Index (2022=1)</t>
  </si>
  <si>
    <t>To find on website, choose Transport under Energy Systems in top menu, then choose international shipping, then choose tracking shipping</t>
  </si>
  <si>
    <t>2022 data from DBEDT Table 7.35-- RETURNING RESIDENTS AND AVERAGE NUMBER ABSENT:  1992-2023</t>
  </si>
  <si>
    <t>Table 7.04-- VISITOR ARRIVALS BY MAJOR MARKET AREAS: 2019 AND 2022</t>
  </si>
  <si>
    <t>For 2022 and 2023:  Table 7.04-- VISITOR ARRIVALS BY MAJOR MARKET AREAS:  2022 AND 2023</t>
  </si>
  <si>
    <t>Tourism Research Branch, Monthly Visitors Statistics, December 2022 and 2023</t>
  </si>
  <si>
    <t>&lt;https://www.hawaiitourismauthority.org/research/monthly-visitor-statistics/&gt; accessed July 3, 2024.</t>
  </si>
  <si>
    <t xml:space="preserve">     Source:  For 2021-2023:  Hawaii State Department of Business, Economic Development and Tourism, </t>
  </si>
  <si>
    <r>
      <t xml:space="preserve">     Source: For 2018-2020:  Hawaii Tourism Authority, Tourism Research, </t>
    </r>
    <r>
      <rPr>
        <i/>
        <sz val="11"/>
        <rFont val="Calibri"/>
        <family val="2"/>
        <scheme val="minor"/>
      </rPr>
      <t xml:space="preserve">Monthly Visitors Statistics, December 2019 </t>
    </r>
    <r>
      <rPr>
        <sz val="11"/>
        <rFont val="Calibri"/>
        <family val="2"/>
        <scheme val="minor"/>
      </rPr>
      <t>and</t>
    </r>
  </si>
  <si>
    <t xml:space="preserve">  ARRIVING FLIGHTS:  2018 TO 2023</t>
  </si>
  <si>
    <t>Kona</t>
  </si>
  <si>
    <t>2/  Rounds to less than zero.</t>
  </si>
  <si>
    <t xml:space="preserve">     Source:  Hawaii State Department of Business, Economic, Development &amp; Tourism; and U.S. Department of</t>
  </si>
  <si>
    <t>Transportation, Bureau of Transportation Statistics &lt;https://www.transtats.bts.gov/Fields.asp?gnoyr_VQ=</t>
  </si>
  <si>
    <t>FMF&gt; accessed on July 3, 2024.</t>
  </si>
  <si>
    <t>FMF&gt; accessed on June 16, 2023.</t>
  </si>
  <si>
    <t>2019 Values</t>
  </si>
  <si>
    <t>2022 Values</t>
  </si>
  <si>
    <t>2023 Values</t>
  </si>
  <si>
    <t>For Air emissions using 2019 data because it likely better represents long-term steady state conditions</t>
  </si>
  <si>
    <t xml:space="preserve"> (2022 = 1)</t>
  </si>
  <si>
    <t>Based on IEA:  https://www.iea.org/energy-system/transport/aviation  Using values for SAF-FTG + LCAF for the F2-Med scenario</t>
  </si>
  <si>
    <t>F2-Medium</t>
  </si>
  <si>
    <t>SAF-FTG</t>
  </si>
  <si>
    <t>LCAF</t>
  </si>
  <si>
    <t>Source:  https://www.icao.int/environmental-protection/LTAG/Pages/LTAG-data-spreadsheet.aspx</t>
  </si>
  <si>
    <t>F1</t>
  </si>
  <si>
    <t>F2</t>
  </si>
  <si>
    <t>F3</t>
  </si>
  <si>
    <t>Emissions Reductions Factors Low Scenario</t>
  </si>
  <si>
    <t>Emissions Reductions Factors Med Scenario</t>
  </si>
  <si>
    <t>Emissions Reductions Factors High Scenario</t>
  </si>
  <si>
    <t>Source:  Excel file from ICAO  Low, Med, and High Tabs</t>
  </si>
  <si>
    <t>See CommonForecasts_2024.xlsx for computation of % change in Jet Fuel prices and elasticity values</t>
  </si>
  <si>
    <t>Military Aviation (State)</t>
  </si>
  <si>
    <t>Source:   Energy_2022 Inventory.xlsx  2022 tab</t>
  </si>
  <si>
    <t>Military Non-Aviation (State)</t>
  </si>
  <si>
    <t>Military Aviation emissions for forecasted years taken to be average of 2015-2019 and 2022 emissions</t>
  </si>
  <si>
    <t>Military Non-Aviation emissions for forecasted years taken to be average of 2016-2019 and 2022 emissions</t>
  </si>
  <si>
    <t xml:space="preserve">For all scenarios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</si>
</sst>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5" formatCode="&quot;$&quot;#,##0_);\(&quot;$&quot;#,##0\)"/>
    <numFmt numFmtId="44" formatCode="_(&quot;$&quot;* #,##0.00_);_(&quot;$&quot;* \(#,##0.00\);_(&quot;$&quot;* &quot;-&quot;??_);_(@_)"/>
    <numFmt numFmtId="43" formatCode="_(* #,##0.00_);_(* \(#,##0.00\);_(* &quot;-&quot;??_);_(@_)"/>
    <numFmt numFmtId="164" formatCode="0.0%"/>
    <numFmt numFmtId="165" formatCode="_(* #,##0_);_(* \(#,##0\);_(* &quot;-&quot;??_);_(@_)"/>
    <numFmt numFmtId="166" formatCode="#,##0\ \ \ \ \ \ \ "/>
    <numFmt numFmtId="167" formatCode="\ \ \ \ \ @"/>
    <numFmt numFmtId="168" formatCode="\ \ \ \ \ \ @"/>
    <numFmt numFmtId="169" formatCode="\ \ \ @"/>
    <numFmt numFmtId="170" formatCode="\ \ \ \ \ \ \ \ \ @"/>
    <numFmt numFmtId="171" formatCode="0.0"/>
    <numFmt numFmtId="172" formatCode="0.000"/>
    <numFmt numFmtId="173" formatCode="\ \ \ \ \ \ \ \ \ \ \ \ @"/>
    <numFmt numFmtId="174" formatCode="\ \ \ \ \ \ \ \ \ \ \ \ \ \ \ @"/>
    <numFmt numFmtId="175" formatCode="\ \ \ \ \ \ \ \ \ \ \ \ \ \ \ \ \ \ @"/>
    <numFmt numFmtId="176" formatCode="#."/>
    <numFmt numFmtId="177" formatCode="@\ \ "/>
    <numFmt numFmtId="178" formatCode="###,##0\ \ \ \ \ \ \ "/>
    <numFmt numFmtId="179" formatCode="0.0000"/>
    <numFmt numFmtId="180" formatCode="\ \ @"/>
    <numFmt numFmtId="181" formatCode="#,##0\ \ \ \ "/>
    <numFmt numFmtId="182" formatCode="@\ \ \ "/>
    <numFmt numFmtId="183" formatCode="#,##0\ \ \ \ \ "/>
    <numFmt numFmtId="184" formatCode="#,##0\ \ \ \ \ \ "/>
    <numFmt numFmtId="185" formatCode="#,##0\ \ \ "/>
    <numFmt numFmtId="186" formatCode="#,##0&quot;  &quot;;\-#,##0&quot;  &quot;;\ \-\-&quot;  &quot;;@&quot;  &quot;"/>
    <numFmt numFmtId="187" formatCode="#,##0.00\ \ \ \ \ "/>
    <numFmt numFmtId="188" formatCode="#,##0.0\ "/>
    <numFmt numFmtId="189" formatCode="#,##0\ "/>
    <numFmt numFmtId="190" formatCode="#,##0\ \ "/>
    <numFmt numFmtId="191" formatCode="#,##0&quot; &quot;;\-#,##0&quot; &quot;;\-\-&quot; &quot;;@&quot; &quot;"/>
    <numFmt numFmtId="192" formatCode="#,##0\ \ \ \ \ \ \ \ \ \ \ \ \ \ \ "/>
    <numFmt numFmtId="193" formatCode="0.00\ \ \ \ \ \ \ \ "/>
    <numFmt numFmtId="194" formatCode="&quot;** &quot;#,##0;&quot;** &quot;\-#,##0;&quot;**&quot;0;@"/>
    <numFmt numFmtId="195" formatCode="#,###\ \ "/>
    <numFmt numFmtId="196" formatCode="#,##0.00000_);\(#,##0.00000\)"/>
    <numFmt numFmtId="197" formatCode="#,##0.0"/>
    <numFmt numFmtId="198" formatCode="0.00000"/>
    <numFmt numFmtId="199" formatCode="&quot;(2/)  &quot;"/>
  </numFmts>
  <fonts count="73">
    <font>
      <sz val="11"/>
      <color theme="1"/>
      <name val="Calibri"/>
      <family val="2"/>
      <scheme val="minor"/>
    </font>
    <font>
      <sz val="11"/>
      <color theme="1"/>
      <name val="Calibri"/>
      <family val="2"/>
      <scheme val="minor"/>
    </font>
    <font>
      <b/>
      <sz val="10"/>
      <name val="Arial"/>
      <family val="2"/>
    </font>
    <font>
      <sz val="10"/>
      <name val="Arial"/>
      <family val="2"/>
    </font>
    <font>
      <b/>
      <sz val="12"/>
      <name val="Arial"/>
      <family val="2"/>
    </font>
    <font>
      <sz val="10"/>
      <name val="Times New Roman"/>
      <family val="1"/>
    </font>
    <font>
      <b/>
      <sz val="11"/>
      <color theme="1"/>
      <name val="Calibri"/>
      <family val="2"/>
      <scheme val="minor"/>
    </font>
    <font>
      <b/>
      <sz val="9"/>
      <color theme="1"/>
      <name val="Calibri"/>
      <family val="2"/>
      <scheme val="minor"/>
    </font>
    <font>
      <sz val="12"/>
      <color theme="1"/>
      <name val="Calibri"/>
      <family val="2"/>
      <charset val="129"/>
      <scheme val="minor"/>
    </font>
    <font>
      <sz val="12"/>
      <color theme="1"/>
      <name val="Calibri"/>
      <family val="2"/>
      <scheme val="minor"/>
    </font>
    <font>
      <sz val="10"/>
      <color theme="1"/>
      <name val="Arial"/>
      <family val="2"/>
    </font>
    <font>
      <sz val="11"/>
      <color indexed="8"/>
      <name val="Calibri"/>
      <family val="2"/>
    </font>
    <font>
      <sz val="11"/>
      <color indexed="9"/>
      <name val="Calibri"/>
      <family val="2"/>
    </font>
    <font>
      <sz val="10"/>
      <color indexed="20"/>
      <name val="Arial"/>
      <family val="2"/>
    </font>
    <font>
      <sz val="11"/>
      <color indexed="20"/>
      <name val="Calibri"/>
      <family val="2"/>
    </font>
    <font>
      <sz val="10"/>
      <color rgb="FF9C0006"/>
      <name val="Arial"/>
      <family val="2"/>
    </font>
    <font>
      <sz val="9"/>
      <color theme="1"/>
      <name val="Calibri"/>
      <family val="2"/>
      <scheme val="minor"/>
    </font>
    <font>
      <b/>
      <sz val="11"/>
      <color indexed="52"/>
      <name val="Calibri"/>
      <family val="2"/>
    </font>
    <font>
      <b/>
      <sz val="11"/>
      <color indexed="9"/>
      <name val="Calibri"/>
      <family val="2"/>
    </font>
    <font>
      <sz val="10"/>
      <name val="Tahoma"/>
      <family val="2"/>
    </font>
    <font>
      <sz val="1"/>
      <color indexed="16"/>
      <name val="Courier"/>
      <family val="3"/>
    </font>
    <font>
      <i/>
      <sz val="11"/>
      <color indexed="23"/>
      <name val="Calibri"/>
      <family val="2"/>
    </font>
    <font>
      <sz val="11"/>
      <color indexed="17"/>
      <name val="Calibri"/>
      <family val="2"/>
    </font>
    <font>
      <b/>
      <sz val="18"/>
      <name val="Arial"/>
      <family val="2"/>
    </font>
    <font>
      <b/>
      <sz val="1"/>
      <color indexed="16"/>
      <name val="Courier"/>
      <family val="3"/>
    </font>
    <font>
      <b/>
      <sz val="11"/>
      <color indexed="56"/>
      <name val="Calibri"/>
      <family val="2"/>
    </font>
    <font>
      <b/>
      <sz val="11"/>
      <color indexed="62"/>
      <name val="Calibri"/>
      <family val="2"/>
    </font>
    <font>
      <u/>
      <sz val="7.5"/>
      <color indexed="12"/>
      <name val="Arial"/>
      <family val="2"/>
    </font>
    <font>
      <sz val="11"/>
      <color indexed="62"/>
      <name val="Calibri"/>
      <family val="2"/>
    </font>
    <font>
      <sz val="11"/>
      <color indexed="52"/>
      <name val="Calibri"/>
      <family val="2"/>
    </font>
    <font>
      <sz val="11"/>
      <color indexed="60"/>
      <name val="Calibri"/>
      <family val="2"/>
    </font>
    <font>
      <sz val="11"/>
      <color indexed="8"/>
      <name val="Calibri"/>
      <family val="2"/>
      <scheme val="minor"/>
    </font>
    <font>
      <sz val="12"/>
      <name val="Courier"/>
      <family val="3"/>
    </font>
    <font>
      <sz val="10"/>
      <name val="MS Sans Serif"/>
      <family val="2"/>
    </font>
    <font>
      <sz val="9"/>
      <name val="Times New Roman"/>
      <family val="1"/>
    </font>
    <font>
      <b/>
      <sz val="11"/>
      <color indexed="63"/>
      <name val="Calibri"/>
      <family val="2"/>
    </font>
    <font>
      <sz val="12"/>
      <color theme="1"/>
      <name val="Calibri"/>
      <family val="2"/>
      <charset val="204"/>
      <scheme val="minor"/>
    </font>
    <font>
      <b/>
      <sz val="12"/>
      <color theme="4"/>
      <name val="Calibri"/>
      <family val="2"/>
      <scheme val="minor"/>
    </font>
    <font>
      <sz val="11"/>
      <color indexed="10"/>
      <name val="Calibri"/>
      <family val="2"/>
    </font>
    <font>
      <i/>
      <sz val="11"/>
      <name val="Calibri"/>
      <family val="2"/>
      <scheme val="minor"/>
    </font>
    <font>
      <sz val="11"/>
      <name val="Calibri"/>
      <family val="2"/>
    </font>
    <font>
      <sz val="10"/>
      <name val="SWISS"/>
    </font>
    <font>
      <u/>
      <sz val="11"/>
      <color indexed="12"/>
      <name val="Calibri"/>
      <family val="2"/>
    </font>
    <font>
      <u/>
      <sz val="10"/>
      <color indexed="12"/>
      <name val="Arial"/>
      <family val="2"/>
    </font>
    <font>
      <sz val="10"/>
      <name val="Courier"/>
      <family val="3"/>
    </font>
    <font>
      <sz val="10"/>
      <name val="Courier New"/>
      <family val="3"/>
    </font>
    <font>
      <sz val="12"/>
      <name val="Arial"/>
      <family val="2"/>
    </font>
    <font>
      <sz val="8"/>
      <color indexed="61"/>
      <name val="Arial"/>
      <family val="2"/>
    </font>
    <font>
      <b/>
      <sz val="8"/>
      <color indexed="38"/>
      <name val="Arial"/>
      <family val="2"/>
    </font>
    <font>
      <b/>
      <sz val="8"/>
      <name val="arial"/>
      <family val="2"/>
    </font>
    <font>
      <b/>
      <i/>
      <sz val="10"/>
      <color indexed="32"/>
      <name val="Arial"/>
      <family val="2"/>
    </font>
    <font>
      <b/>
      <sz val="12"/>
      <name val="Tahoma"/>
      <family val="2"/>
    </font>
    <font>
      <b/>
      <sz val="10"/>
      <name val="Tahoma"/>
      <family val="2"/>
    </font>
    <font>
      <b/>
      <sz val="11"/>
      <name val="Tahoma"/>
      <family val="2"/>
    </font>
    <font>
      <sz val="7"/>
      <name val="Helvetica"/>
      <family val="2"/>
    </font>
    <font>
      <b/>
      <sz val="10"/>
      <name val="Times New Roman"/>
      <family val="1"/>
    </font>
    <font>
      <b/>
      <sz val="18"/>
      <color indexed="62"/>
      <name val="Cambria"/>
      <family val="2"/>
    </font>
    <font>
      <sz val="10"/>
      <name val="Geneva"/>
      <family val="2"/>
    </font>
    <font>
      <sz val="10"/>
      <name val="Courier"/>
      <family val="1"/>
    </font>
    <font>
      <b/>
      <sz val="11"/>
      <color theme="0"/>
      <name val="Calibri"/>
      <family val="2"/>
      <scheme val="minor"/>
    </font>
    <font>
      <sz val="11"/>
      <color theme="0"/>
      <name val="Calibri"/>
      <family val="2"/>
      <scheme val="minor"/>
    </font>
    <font>
      <i/>
      <sz val="11"/>
      <color theme="1"/>
      <name val="Calibri"/>
      <family val="2"/>
      <scheme val="minor"/>
    </font>
    <font>
      <b/>
      <sz val="11"/>
      <name val="Calibri"/>
      <family val="2"/>
      <scheme val="minor"/>
    </font>
    <font>
      <sz val="11"/>
      <name val="Calibri"/>
      <family val="2"/>
      <scheme val="minor"/>
    </font>
    <font>
      <sz val="11"/>
      <color rgb="FF222222"/>
      <name val="Calibri"/>
      <family val="2"/>
      <scheme val="minor"/>
    </font>
    <font>
      <b/>
      <sz val="11"/>
      <color rgb="FF222222"/>
      <name val="Calibri"/>
      <family val="2"/>
      <scheme val="minor"/>
    </font>
    <font>
      <sz val="11"/>
      <color rgb="FF000000"/>
      <name val="Calibri"/>
      <family val="2"/>
      <scheme val="minor"/>
    </font>
    <font>
      <sz val="9"/>
      <name val="Calibri"/>
      <family val="2"/>
    </font>
    <font>
      <sz val="11"/>
      <color rgb="FFFF0000"/>
      <name val="Calibri"/>
      <family val="2"/>
      <scheme val="minor"/>
    </font>
    <font>
      <vertAlign val="superscript"/>
      <sz val="11"/>
      <color theme="1"/>
      <name val="Calibri"/>
      <family val="2"/>
      <scheme val="minor"/>
    </font>
    <font>
      <sz val="9"/>
      <color indexed="8"/>
      <name val="Calibri"/>
      <family val="2"/>
    </font>
    <font>
      <u/>
      <sz val="10"/>
      <color indexed="12"/>
      <name val="MS Sans Serif"/>
      <family val="2"/>
    </font>
    <font>
      <b/>
      <sz val="10"/>
      <color theme="1"/>
      <name val="Arial"/>
      <family val="2"/>
    </font>
  </fonts>
  <fills count="49">
    <fill>
      <patternFill patternType="none"/>
    </fill>
    <fill>
      <patternFill patternType="gray125"/>
    </fill>
    <fill>
      <patternFill patternType="solid">
        <fgColor rgb="FFFFC7CE"/>
      </patternFill>
    </fill>
    <fill>
      <patternFill patternType="solid">
        <fgColor indexed="31"/>
      </patternFill>
    </fill>
    <fill>
      <patternFill patternType="solid">
        <fgColor indexed="47"/>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27"/>
      </patternFill>
    </fill>
    <fill>
      <patternFill patternType="solid">
        <fgColor indexed="44"/>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49"/>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9"/>
      </patternFill>
    </fill>
    <fill>
      <patternFill patternType="solid">
        <fgColor indexed="55"/>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indexed="26"/>
        <bgColor indexed="41"/>
      </patternFill>
    </fill>
    <fill>
      <patternFill patternType="solid">
        <fgColor indexed="26"/>
        <bgColor indexed="31"/>
      </patternFill>
    </fill>
    <fill>
      <patternFill patternType="solid">
        <fgColor indexed="22"/>
        <bgColor indexed="26"/>
      </patternFill>
    </fill>
    <fill>
      <patternFill patternType="solid">
        <fgColor rgb="FF00B0F0"/>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4" tint="-0.249977111117893"/>
        <bgColor indexed="64"/>
      </patternFill>
    </fill>
    <fill>
      <patternFill patternType="solid">
        <fgColor theme="0" tint="-4.9989318521683403E-2"/>
        <bgColor indexed="64"/>
      </patternFill>
    </fill>
    <fill>
      <patternFill patternType="solid">
        <fgColor theme="1" tint="0.34998626667073579"/>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rgb="FFFFFF00"/>
        <bgColor indexed="64"/>
      </patternFill>
    </fill>
    <fill>
      <patternFill patternType="solid">
        <fgColor rgb="FFBFBFBF"/>
        <bgColor rgb="FF000000"/>
      </patternFill>
    </fill>
    <fill>
      <patternFill patternType="solid">
        <fgColor rgb="FFFFFF00"/>
        <bgColor rgb="FF000000"/>
      </patternFill>
    </fill>
    <fill>
      <patternFill patternType="solid">
        <fgColor rgb="FFFFC0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s>
  <borders count="111">
    <border>
      <left/>
      <right/>
      <top/>
      <bottom/>
      <diagonal/>
    </border>
    <border>
      <left/>
      <right style="thin">
        <color indexed="64"/>
      </right>
      <top/>
      <bottom/>
      <diagonal/>
    </border>
    <border>
      <left style="thin">
        <color indexed="64"/>
      </left>
      <right/>
      <top/>
      <bottom/>
      <diagonal/>
    </border>
    <border>
      <left/>
      <right/>
      <top/>
      <bottom style="thin">
        <color indexed="64"/>
      </bottom>
      <diagonal/>
    </border>
    <border>
      <left/>
      <right/>
      <top/>
      <bottom style="thick">
        <color theme="4"/>
      </bottom>
      <diagonal/>
    </border>
    <border>
      <left/>
      <right/>
      <top/>
      <bottom style="dashed">
        <color theme="0" tint="-0.2499465926084170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theme="4"/>
      </top>
      <bottom/>
      <diagonal/>
    </border>
    <border>
      <left style="thick">
        <color theme="0"/>
      </left>
      <right style="thick">
        <color theme="0"/>
      </right>
      <top/>
      <bottom style="thin">
        <color theme="0" tint="-0.24994659260841701"/>
      </bottom>
      <diagonal/>
    </border>
    <border>
      <left/>
      <right/>
      <top/>
      <bottom style="medium">
        <color indexed="30"/>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n">
        <color theme="0" tint="-0.249977111117893"/>
      </bottom>
      <diagonal/>
    </border>
    <border>
      <left/>
      <right/>
      <top style="thin">
        <color theme="4"/>
      </top>
      <bottom style="dashed">
        <color theme="0" tint="-0.24994659260841701"/>
      </bottom>
      <diagonal/>
    </border>
    <border>
      <left/>
      <right/>
      <top style="thin">
        <color theme="4"/>
      </top>
      <bottom style="thin">
        <color theme="0" tint="-0.24994659260841701"/>
      </bottom>
      <diagonal/>
    </border>
    <border>
      <left/>
      <right/>
      <top style="double">
        <color auto="1"/>
      </top>
      <bottom/>
      <diagonal/>
    </border>
    <border>
      <left/>
      <right/>
      <top style="double">
        <color indexed="0"/>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double">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bottom style="thin">
        <color indexed="64"/>
      </bottom>
      <diagonal/>
    </border>
    <border>
      <left/>
      <right style="double">
        <color indexed="64"/>
      </right>
      <top/>
      <bottom style="thin">
        <color indexed="64"/>
      </bottom>
      <diagonal/>
    </border>
    <border>
      <left style="double">
        <color indexed="64"/>
      </left>
      <right style="thin">
        <color indexed="64"/>
      </right>
      <top/>
      <bottom/>
      <diagonal/>
    </border>
    <border>
      <left/>
      <right style="double">
        <color indexed="64"/>
      </right>
      <top/>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right/>
      <top style="double">
        <color indexed="64"/>
      </top>
      <bottom style="thin">
        <color indexed="64"/>
      </bottom>
      <diagonal/>
    </border>
    <border>
      <left style="double">
        <color indexed="64"/>
      </left>
      <right/>
      <top/>
      <bottom/>
      <diagonal/>
    </border>
    <border>
      <left style="thin">
        <color indexed="64"/>
      </left>
      <right style="double">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theme="0" tint="-0.249977111117893"/>
      </left>
      <right style="thin">
        <color theme="0" tint="-0.249977111117893"/>
      </right>
      <top style="medium">
        <color indexed="64"/>
      </top>
      <bottom style="thin">
        <color theme="0" tint="-0.249977111117893"/>
      </bottom>
      <diagonal/>
    </border>
    <border>
      <left/>
      <right/>
      <top style="medium">
        <color indexed="64"/>
      </top>
      <bottom style="thick">
        <color theme="4"/>
      </bottom>
      <diagonal/>
    </border>
    <border>
      <left/>
      <right style="medium">
        <color indexed="64"/>
      </right>
      <top style="medium">
        <color indexed="64"/>
      </top>
      <bottom style="thick">
        <color theme="4"/>
      </bottom>
      <diagonal/>
    </border>
    <border>
      <left style="medium">
        <color indexed="64"/>
      </left>
      <right/>
      <top/>
      <bottom style="thin">
        <color indexed="64"/>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top/>
      <bottom/>
      <diagonal/>
    </border>
    <border>
      <left/>
      <right/>
      <top/>
      <bottom style="dashed">
        <color rgb="FFBFBFBF"/>
      </bottom>
      <diagonal/>
    </border>
    <border>
      <left style="medium">
        <color indexed="64"/>
      </left>
      <right/>
      <top style="medium">
        <color indexed="64"/>
      </top>
      <bottom style="thin">
        <color theme="0" tint="-0.249977111117893"/>
      </bottom>
      <diagonal/>
    </border>
    <border>
      <left/>
      <right/>
      <top style="medium">
        <color indexed="64"/>
      </top>
      <bottom style="thin">
        <color theme="0" tint="-0.249977111117893"/>
      </bottom>
      <diagonal/>
    </border>
    <border>
      <left/>
      <right style="medium">
        <color indexed="64"/>
      </right>
      <top style="medium">
        <color indexed="64"/>
      </top>
      <bottom style="thin">
        <color theme="0" tint="-0.249977111117893"/>
      </bottom>
      <diagonal/>
    </border>
    <border>
      <left style="medium">
        <color indexed="64"/>
      </left>
      <right style="thin">
        <color theme="0" tint="-0.249977111117893"/>
      </right>
      <top style="thin">
        <color theme="0" tint="-0.249977111117893"/>
      </top>
      <bottom style="thin">
        <color theme="0" tint="-0.249977111117893"/>
      </bottom>
      <diagonal/>
    </border>
    <border>
      <left style="thin">
        <color theme="0" tint="-0.249977111117893"/>
      </left>
      <right style="medium">
        <color indexed="64"/>
      </right>
      <top style="thin">
        <color theme="0" tint="-0.249977111117893"/>
      </top>
      <bottom style="thin">
        <color theme="0" tint="-0.249977111117893"/>
      </bottom>
      <diagonal/>
    </border>
    <border>
      <left style="medium">
        <color indexed="64"/>
      </left>
      <right/>
      <top style="thin">
        <color theme="0" tint="-0.249977111117893"/>
      </top>
      <bottom style="thin">
        <color theme="0" tint="-0.249977111117893"/>
      </bottom>
      <diagonal/>
    </border>
    <border>
      <left style="medium">
        <color indexed="64"/>
      </left>
      <right style="thin">
        <color theme="0" tint="-0.249977111117893"/>
      </right>
      <top style="thin">
        <color theme="0" tint="-0.249977111117893"/>
      </top>
      <bottom style="medium">
        <color indexed="64"/>
      </bottom>
      <diagonal/>
    </border>
    <border>
      <left style="thin">
        <color theme="0" tint="-0.249977111117893"/>
      </left>
      <right style="thin">
        <color theme="0" tint="-0.249977111117893"/>
      </right>
      <top style="thin">
        <color theme="0" tint="-0.249977111117893"/>
      </top>
      <bottom style="medium">
        <color indexed="64"/>
      </bottom>
      <diagonal/>
    </border>
    <border>
      <left style="thin">
        <color theme="0" tint="-0.249977111117893"/>
      </left>
      <right style="medium">
        <color indexed="64"/>
      </right>
      <top style="thin">
        <color theme="0" tint="-0.249977111117893"/>
      </top>
      <bottom style="medium">
        <color indexed="64"/>
      </bottom>
      <diagonal/>
    </border>
    <border>
      <left style="medium">
        <color indexed="64"/>
      </left>
      <right style="thin">
        <color theme="0" tint="-0.249977111117893"/>
      </right>
      <top style="medium">
        <color indexed="64"/>
      </top>
      <bottom style="thin">
        <color theme="0" tint="-0.249977111117893"/>
      </bottom>
      <diagonal/>
    </border>
    <border>
      <left style="thin">
        <color theme="0" tint="-0.249977111117893"/>
      </left>
      <right style="medium">
        <color indexed="64"/>
      </right>
      <top style="medium">
        <color indexed="64"/>
      </top>
      <bottom style="thin">
        <color theme="0" tint="-0.249977111117893"/>
      </bottom>
      <diagonal/>
    </border>
    <border>
      <left/>
      <right style="medium">
        <color indexed="64"/>
      </right>
      <top style="thin">
        <color theme="0" tint="-0.249977111117893"/>
      </top>
      <bottom style="thin">
        <color theme="0" tint="-0.249977111117893"/>
      </bottom>
      <diagonal/>
    </border>
    <border>
      <left style="medium">
        <color indexed="64"/>
      </left>
      <right style="medium">
        <color indexed="64"/>
      </right>
      <top style="medium">
        <color indexed="64"/>
      </top>
      <bottom style="thin">
        <color theme="0" tint="-0.249977111117893"/>
      </bottom>
      <diagonal/>
    </border>
    <border>
      <left style="medium">
        <color indexed="64"/>
      </left>
      <right style="medium">
        <color indexed="64"/>
      </right>
      <top style="thin">
        <color theme="0" tint="-0.249977111117893"/>
      </top>
      <bottom style="thin">
        <color theme="0" tint="-0.249977111117893"/>
      </bottom>
      <diagonal/>
    </border>
    <border>
      <left style="medium">
        <color indexed="64"/>
      </left>
      <right style="medium">
        <color indexed="64"/>
      </right>
      <top style="thin">
        <color theme="0" tint="-0.249977111117893"/>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style="thin">
        <color theme="0" tint="-0.249977111117893"/>
      </top>
      <bottom/>
      <diagonal/>
    </border>
    <border>
      <left/>
      <right style="thin">
        <color theme="0" tint="-0.249977111117893"/>
      </right>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411">
    <xf numFmtId="0" fontId="0" fillId="0" borderId="0"/>
    <xf numFmtId="43" fontId="1" fillId="0" borderId="0" applyFont="0" applyFill="0" applyBorder="0" applyAlignment="0" applyProtection="0"/>
    <xf numFmtId="9" fontId="1" fillId="0" borderId="0" applyFont="0" applyFill="0" applyBorder="0" applyAlignment="0" applyProtection="0"/>
    <xf numFmtId="167" fontId="5" fillId="0" borderId="0"/>
    <xf numFmtId="168" fontId="3" fillId="0" borderId="1" applyBorder="0"/>
    <xf numFmtId="169" fontId="3" fillId="0" borderId="1" applyBorder="0"/>
    <xf numFmtId="0" fontId="3" fillId="0" borderId="0"/>
    <xf numFmtId="0" fontId="8" fillId="0" borderId="0"/>
    <xf numFmtId="0" fontId="10" fillId="0" borderId="0"/>
    <xf numFmtId="0" fontId="2" fillId="0" borderId="0">
      <alignment horizontal="center" wrapText="1"/>
    </xf>
    <xf numFmtId="0" fontId="9" fillId="0" borderId="0"/>
    <xf numFmtId="9" fontId="8" fillId="0" borderId="0" applyFont="0" applyFill="0" applyBorder="0" applyAlignment="0" applyProtection="0"/>
    <xf numFmtId="43" fontId="8" fillId="0" borderId="0" applyFont="0" applyFill="0" applyBorder="0" applyAlignment="0" applyProtection="0"/>
    <xf numFmtId="169" fontId="3" fillId="0" borderId="1" applyBorder="0"/>
    <xf numFmtId="169" fontId="3" fillId="0" borderId="1" applyBorder="0"/>
    <xf numFmtId="169" fontId="3" fillId="0" borderId="1" applyBorder="0"/>
    <xf numFmtId="169" fontId="3" fillId="0" borderId="1" applyBorder="0"/>
    <xf numFmtId="169" fontId="3" fillId="0" borderId="1" applyBorder="0"/>
    <xf numFmtId="169" fontId="3" fillId="0" borderId="1" applyBorder="0"/>
    <xf numFmtId="169" fontId="3" fillId="0" borderId="1" applyBorder="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4" borderId="0" applyNumberFormat="0" applyBorder="0" applyAlignment="0" applyProtection="0"/>
    <xf numFmtId="0" fontId="11" fillId="10" borderId="0" applyNumberFormat="0" applyBorder="0" applyAlignment="0" applyProtection="0"/>
    <xf numFmtId="0" fontId="11" fillId="4" borderId="0" applyNumberFormat="0" applyBorder="0" applyAlignment="0" applyProtection="0"/>
    <xf numFmtId="0" fontId="11" fillId="8" borderId="0" applyNumberFormat="0" applyBorder="0" applyAlignment="0" applyProtection="0"/>
    <xf numFmtId="168" fontId="3" fillId="0" borderId="1" applyBorder="0"/>
    <xf numFmtId="168" fontId="3" fillId="0" borderId="1" applyBorder="0"/>
    <xf numFmtId="168" fontId="3" fillId="0" borderId="1" applyBorder="0"/>
    <xf numFmtId="168" fontId="3" fillId="0" borderId="1" applyBorder="0"/>
    <xf numFmtId="168" fontId="3" fillId="0" borderId="1" applyBorder="0"/>
    <xf numFmtId="170" fontId="3" fillId="0" borderId="1"/>
    <xf numFmtId="170" fontId="3" fillId="0" borderId="1"/>
    <xf numFmtId="170" fontId="3" fillId="0" borderId="1"/>
    <xf numFmtId="170" fontId="3" fillId="0" borderId="1"/>
    <xf numFmtId="170" fontId="3" fillId="0" borderId="1"/>
    <xf numFmtId="0" fontId="11" fillId="11" borderId="0" applyNumberFormat="0" applyBorder="0" applyAlignment="0" applyProtection="0"/>
    <xf numFmtId="0" fontId="11" fillId="12" borderId="0" applyNumberFormat="0" applyBorder="0" applyAlignment="0" applyProtection="0"/>
    <xf numFmtId="0" fontId="11" fillId="6"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9" borderId="0" applyNumberFormat="0" applyBorder="0" applyAlignment="0" applyProtection="0"/>
    <xf numFmtId="0" fontId="11" fillId="12" borderId="0" applyNumberFormat="0" applyBorder="0" applyAlignment="0" applyProtection="0"/>
    <xf numFmtId="0" fontId="11" fillId="11" borderId="0" applyNumberFormat="0" applyBorder="0" applyAlignment="0" applyProtection="0"/>
    <xf numFmtId="0" fontId="11" fillId="15" borderId="0" applyNumberFormat="0" applyBorder="0" applyAlignment="0" applyProtection="0"/>
    <xf numFmtId="0" fontId="11" fillId="14" borderId="0" applyNumberFormat="0" applyBorder="0" applyAlignment="0" applyProtection="0"/>
    <xf numFmtId="173" fontId="3" fillId="0" borderId="1"/>
    <xf numFmtId="173" fontId="3" fillId="0" borderId="1"/>
    <xf numFmtId="173" fontId="3" fillId="0" borderId="1"/>
    <xf numFmtId="173" fontId="3" fillId="0" borderId="1"/>
    <xf numFmtId="173" fontId="3" fillId="0" borderId="1"/>
    <xf numFmtId="174" fontId="3" fillId="0" borderId="1"/>
    <xf numFmtId="174" fontId="3" fillId="0" borderId="1"/>
    <xf numFmtId="174" fontId="3" fillId="0" borderId="1"/>
    <xf numFmtId="174" fontId="3" fillId="0" borderId="1"/>
    <xf numFmtId="174" fontId="3" fillId="0" borderId="1"/>
    <xf numFmtId="0" fontId="12" fillId="16" borderId="0" applyNumberFormat="0" applyBorder="0" applyAlignment="0" applyProtection="0"/>
    <xf numFmtId="0" fontId="12" fillId="17"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8" borderId="0" applyNumberFormat="0" applyBorder="0" applyAlignment="0" applyProtection="0"/>
    <xf numFmtId="0" fontId="12" fillId="12" borderId="0" applyNumberFormat="0" applyBorder="0" applyAlignment="0" applyProtection="0"/>
    <xf numFmtId="0" fontId="12" fillId="17"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175" fontId="3" fillId="0" borderId="1"/>
    <xf numFmtId="175" fontId="3" fillId="0" borderId="1"/>
    <xf numFmtId="175" fontId="3" fillId="0" borderId="1"/>
    <xf numFmtId="175" fontId="3" fillId="0" borderId="1"/>
    <xf numFmtId="175" fontId="3" fillId="0" borderId="1"/>
    <xf numFmtId="0" fontId="12" fillId="20" borderId="0" applyNumberFormat="0" applyBorder="0" applyAlignment="0" applyProtection="0"/>
    <xf numFmtId="0" fontId="12" fillId="17"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12" fillId="18" borderId="0" applyNumberFormat="0" applyBorder="0" applyAlignment="0" applyProtection="0"/>
    <xf numFmtId="0" fontId="12" fillId="23" borderId="0" applyNumberFormat="0" applyBorder="0" applyAlignment="0" applyProtection="0"/>
    <xf numFmtId="0" fontId="12" fillId="17" borderId="0" applyNumberFormat="0" applyBorder="0" applyAlignment="0" applyProtection="0"/>
    <xf numFmtId="0" fontId="12" fillId="24" borderId="0" applyNumberFormat="0" applyBorder="0" applyAlignment="0" applyProtection="0"/>
    <xf numFmtId="0" fontId="13" fillId="9" borderId="0" applyNumberFormat="0" applyBorder="0" applyAlignment="0" applyProtection="0"/>
    <xf numFmtId="0" fontId="14" fillId="5" borderId="0" applyNumberFormat="0" applyBorder="0" applyAlignment="0" applyProtection="0"/>
    <xf numFmtId="0" fontId="15" fillId="2" borderId="0" applyNumberFormat="0" applyBorder="0" applyAlignment="0" applyProtection="0"/>
    <xf numFmtId="0" fontId="16" fillId="0" borderId="5" applyNumberFormat="0" applyFont="0" applyProtection="0">
      <alignment wrapText="1"/>
    </xf>
    <xf numFmtId="0" fontId="17" fillId="12" borderId="6" applyNumberFormat="0" applyAlignment="0" applyProtection="0"/>
    <xf numFmtId="0" fontId="17" fillId="25" borderId="6" applyNumberFormat="0" applyAlignment="0" applyProtection="0"/>
    <xf numFmtId="0" fontId="18" fillId="26" borderId="7" applyNumberFormat="0" applyAlignment="0" applyProtection="0"/>
    <xf numFmtId="43" fontId="3" fillId="0" borderId="0" applyFont="0" applyFill="0" applyBorder="0" applyAlignment="0" applyProtection="0"/>
    <xf numFmtId="43" fontId="8"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9" fillId="0" borderId="0" applyFont="0" applyFill="0" applyBorder="0" applyAlignment="0" applyProtection="0"/>
    <xf numFmtId="3" fontId="3" fillId="0" borderId="0" applyFont="0" applyFill="0" applyBorder="0" applyAlignment="0" applyProtection="0"/>
    <xf numFmtId="176" fontId="20" fillId="0" borderId="0">
      <protection locked="0"/>
    </xf>
    <xf numFmtId="176" fontId="20" fillId="0" borderId="0">
      <protection locked="0"/>
    </xf>
    <xf numFmtId="176" fontId="20" fillId="0" borderId="0">
      <protection locked="0"/>
    </xf>
    <xf numFmtId="5" fontId="3" fillId="0" borderId="0" applyFont="0" applyFill="0" applyBorder="0" applyAlignment="0" applyProtection="0"/>
    <xf numFmtId="176" fontId="20" fillId="0" borderId="0">
      <protection locked="0"/>
    </xf>
    <xf numFmtId="176" fontId="20" fillId="0" borderId="0">
      <protection locked="0"/>
    </xf>
    <xf numFmtId="176" fontId="20" fillId="0" borderId="0">
      <protection locked="0"/>
    </xf>
    <xf numFmtId="14" fontId="3" fillId="0" borderId="0" applyFont="0" applyFill="0" applyBorder="0" applyAlignment="0" applyProtection="0"/>
    <xf numFmtId="176" fontId="20" fillId="0" borderId="0">
      <protection locked="0"/>
    </xf>
    <xf numFmtId="176" fontId="20" fillId="0" borderId="0">
      <protection locked="0"/>
    </xf>
    <xf numFmtId="176" fontId="20" fillId="0" borderId="0">
      <protection locked="0"/>
    </xf>
    <xf numFmtId="0" fontId="21" fillId="0" borderId="0" applyNumberFormat="0" applyFill="0" applyBorder="0" applyAlignment="0" applyProtection="0"/>
    <xf numFmtId="2" fontId="3" fillId="0" borderId="0" applyFont="0" applyFill="0" applyBorder="0" applyAlignment="0" applyProtection="0"/>
    <xf numFmtId="176" fontId="20" fillId="0" borderId="0">
      <protection locked="0"/>
    </xf>
    <xf numFmtId="176" fontId="20" fillId="0" borderId="0">
      <protection locked="0"/>
    </xf>
    <xf numFmtId="176" fontId="20" fillId="0" borderId="0">
      <protection locked="0"/>
    </xf>
    <xf numFmtId="0" fontId="16" fillId="0" borderId="0" applyNumberFormat="0" applyFill="0" applyBorder="0" applyAlignment="0" applyProtection="0"/>
    <xf numFmtId="177" fontId="5" fillId="0" borderId="0"/>
    <xf numFmtId="177" fontId="5" fillId="0" borderId="0"/>
    <xf numFmtId="0" fontId="16" fillId="0" borderId="0" applyNumberFormat="0" applyProtection="0">
      <alignment vertical="top" wrapText="1"/>
    </xf>
    <xf numFmtId="0" fontId="16" fillId="0" borderId="8" applyNumberFormat="0" applyProtection="0">
      <alignment vertical="top" wrapText="1"/>
    </xf>
    <xf numFmtId="0" fontId="22" fillId="7" borderId="0" applyNumberFormat="0" applyBorder="0" applyAlignment="0" applyProtection="0"/>
    <xf numFmtId="0" fontId="7" fillId="0" borderId="4" applyNumberFormat="0" applyProtection="0">
      <alignment wrapText="1"/>
    </xf>
    <xf numFmtId="0" fontId="7" fillId="0" borderId="9" applyNumberFormat="0" applyProtection="0">
      <alignment horizontal="left" wrapText="1"/>
    </xf>
    <xf numFmtId="176" fontId="20" fillId="0" borderId="0">
      <protection locked="0"/>
    </xf>
    <xf numFmtId="176" fontId="20" fillId="0" borderId="0">
      <protection locked="0"/>
    </xf>
    <xf numFmtId="176" fontId="20" fillId="0" borderId="0">
      <protection locked="0"/>
    </xf>
    <xf numFmtId="176" fontId="20" fillId="0" borderId="0">
      <protection locked="0"/>
    </xf>
    <xf numFmtId="176" fontId="20" fillId="0" borderId="0">
      <protection locked="0"/>
    </xf>
    <xf numFmtId="0" fontId="23" fillId="0" borderId="0" applyNumberFormat="0" applyFont="0" applyFill="0" applyAlignment="0" applyProtection="0"/>
    <xf numFmtId="0" fontId="23" fillId="0" borderId="0" applyNumberFormat="0" applyFont="0" applyFill="0" applyAlignment="0" applyProtection="0"/>
    <xf numFmtId="0" fontId="23" fillId="0" borderId="0" applyNumberFormat="0" applyFont="0" applyFill="0" applyAlignment="0" applyProtection="0"/>
    <xf numFmtId="0" fontId="23" fillId="0" borderId="0" applyNumberFormat="0" applyFont="0" applyFill="0" applyAlignment="0" applyProtection="0"/>
    <xf numFmtId="0" fontId="2" fillId="0" borderId="0">
      <alignment horizontal="center" wrapText="1"/>
    </xf>
    <xf numFmtId="0" fontId="2" fillId="0" borderId="0">
      <alignment horizontal="center" wrapText="1"/>
    </xf>
    <xf numFmtId="0" fontId="2" fillId="0" borderId="0">
      <alignment horizontal="center" wrapText="1"/>
    </xf>
    <xf numFmtId="0" fontId="2" fillId="0" borderId="0">
      <alignment horizontal="center" wrapText="1"/>
    </xf>
    <xf numFmtId="176" fontId="24" fillId="0" borderId="0">
      <protection locked="0"/>
    </xf>
    <xf numFmtId="176" fontId="24" fillId="0" borderId="0">
      <protection locked="0"/>
    </xf>
    <xf numFmtId="176" fontId="24" fillId="0" borderId="0">
      <protection locked="0"/>
    </xf>
    <xf numFmtId="176" fontId="24" fillId="0" borderId="0">
      <protection locked="0"/>
    </xf>
    <xf numFmtId="176" fontId="24" fillId="0" borderId="0">
      <protection locked="0"/>
    </xf>
    <xf numFmtId="0" fontId="4" fillId="0" borderId="0" applyNumberFormat="0" applyFont="0" applyFill="0" applyAlignment="0" applyProtection="0"/>
    <xf numFmtId="0" fontId="4" fillId="0" borderId="0" applyNumberFormat="0" applyFont="0" applyFill="0" applyAlignment="0" applyProtection="0"/>
    <xf numFmtId="0" fontId="4" fillId="0" borderId="0" applyNumberFormat="0" applyFont="0" applyFill="0" applyAlignment="0" applyProtection="0"/>
    <xf numFmtId="0" fontId="4" fillId="0" borderId="0" applyNumberFormat="0" applyFont="0" applyFill="0" applyAlignment="0" applyProtection="0"/>
    <xf numFmtId="0" fontId="25" fillId="0" borderId="10" applyNumberFormat="0" applyFill="0" applyAlignment="0" applyProtection="0"/>
    <xf numFmtId="0" fontId="26" fillId="0" borderId="11" applyNumberFormat="0" applyFill="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 fillId="0" borderId="0">
      <alignment horizontal="center" wrapText="1"/>
    </xf>
    <xf numFmtId="0" fontId="2" fillId="0" borderId="0">
      <alignment horizontal="center" wrapText="1"/>
    </xf>
    <xf numFmtId="0" fontId="2" fillId="0" borderId="0">
      <alignment horizontal="center" wrapText="1"/>
    </xf>
    <xf numFmtId="0" fontId="2" fillId="0" borderId="0">
      <alignment horizontal="center" wrapText="1"/>
    </xf>
    <xf numFmtId="0" fontId="2" fillId="0" borderId="0">
      <alignment horizontal="center" wrapText="1"/>
    </xf>
    <xf numFmtId="0" fontId="27" fillId="0" borderId="0" applyNumberFormat="0" applyFill="0" applyBorder="0" applyAlignment="0" applyProtection="0">
      <alignment vertical="top"/>
      <protection locked="0"/>
    </xf>
    <xf numFmtId="0" fontId="28" fillId="4" borderId="6" applyNumberFormat="0" applyAlignment="0" applyProtection="0"/>
    <xf numFmtId="0" fontId="28" fillId="14" borderId="6" applyNumberFormat="0" applyAlignment="0" applyProtection="0"/>
    <xf numFmtId="0" fontId="29" fillId="0" borderId="12" applyNumberFormat="0" applyFill="0" applyAlignment="0" applyProtection="0"/>
    <xf numFmtId="0" fontId="30" fillId="14" borderId="0" applyNumberFormat="0" applyBorder="0" applyAlignment="0" applyProtection="0"/>
    <xf numFmtId="0" fontId="31" fillId="0" borderId="0"/>
    <xf numFmtId="0" fontId="3" fillId="0" borderId="0"/>
    <xf numFmtId="0" fontId="3" fillId="0" borderId="0"/>
    <xf numFmtId="37" fontId="32" fillId="0" borderId="0"/>
    <xf numFmtId="0" fontId="3" fillId="0" borderId="0"/>
    <xf numFmtId="0" fontId="11" fillId="0" borderId="0"/>
    <xf numFmtId="0" fontId="1" fillId="0" borderId="0"/>
    <xf numFmtId="0" fontId="11" fillId="0" borderId="0"/>
    <xf numFmtId="0" fontId="3" fillId="0" borderId="0" applyFill="0"/>
    <xf numFmtId="0" fontId="11" fillId="0" borderId="0"/>
    <xf numFmtId="0" fontId="3" fillId="0" borderId="0"/>
    <xf numFmtId="0" fontId="5" fillId="0" borderId="0"/>
    <xf numFmtId="0" fontId="1" fillId="0" borderId="0"/>
    <xf numFmtId="37" fontId="32" fillId="0" borderId="0"/>
    <xf numFmtId="0" fontId="3" fillId="0" borderId="0"/>
    <xf numFmtId="0" fontId="3" fillId="0" borderId="0"/>
    <xf numFmtId="37" fontId="32" fillId="0" borderId="0"/>
    <xf numFmtId="0" fontId="3" fillId="0" borderId="0"/>
    <xf numFmtId="0" fontId="33" fillId="0" borderId="0"/>
    <xf numFmtId="0" fontId="32" fillId="8" borderId="13" applyNumberFormat="0" applyFont="0" applyAlignment="0" applyProtection="0"/>
    <xf numFmtId="0" fontId="3" fillId="8" borderId="13" applyNumberFormat="0" applyFont="0" applyAlignment="0" applyProtection="0"/>
    <xf numFmtId="178" fontId="34" fillId="0" borderId="3" applyBorder="0">
      <alignment horizontal="right"/>
    </xf>
    <xf numFmtId="0" fontId="35" fillId="12" borderId="14" applyNumberFormat="0" applyAlignment="0" applyProtection="0"/>
    <xf numFmtId="0" fontId="35" fillId="25" borderId="14" applyNumberFormat="0" applyAlignment="0" applyProtection="0"/>
    <xf numFmtId="0" fontId="7" fillId="0" borderId="15" applyNumberFormat="0" applyProtection="0">
      <alignment wrapText="1"/>
    </xf>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3"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0" fontId="16" fillId="0" borderId="16" applyNumberFormat="0" applyFont="0" applyFill="0" applyProtection="0">
      <alignment wrapText="1"/>
    </xf>
    <xf numFmtId="0" fontId="7" fillId="0" borderId="17" applyNumberFormat="0" applyFill="0" applyProtection="0">
      <alignment wrapText="1"/>
    </xf>
    <xf numFmtId="0" fontId="37" fillId="0" borderId="0" applyNumberFormat="0" applyProtection="0">
      <alignment horizontal="left"/>
    </xf>
    <xf numFmtId="0" fontId="4" fillId="0" borderId="0">
      <alignment wrapText="1"/>
    </xf>
    <xf numFmtId="176" fontId="20" fillId="0" borderId="18">
      <protection locked="0"/>
    </xf>
    <xf numFmtId="176" fontId="20" fillId="0" borderId="18">
      <protection locked="0"/>
    </xf>
    <xf numFmtId="176" fontId="20" fillId="0" borderId="18">
      <protection locked="0"/>
    </xf>
    <xf numFmtId="176" fontId="20" fillId="0" borderId="18">
      <protection locked="0"/>
    </xf>
    <xf numFmtId="176" fontId="20" fillId="0" borderId="18">
      <protection locked="0"/>
    </xf>
    <xf numFmtId="0" fontId="3" fillId="0" borderId="19" applyNumberFormat="0" applyFont="0" applyBorder="0" applyAlignment="0" applyProtection="0"/>
    <xf numFmtId="0" fontId="3" fillId="0" borderId="19" applyNumberFormat="0" applyFont="0" applyBorder="0" applyAlignment="0" applyProtection="0"/>
    <xf numFmtId="0" fontId="3" fillId="0" borderId="19" applyNumberFormat="0" applyFont="0" applyBorder="0" applyAlignment="0" applyProtection="0"/>
    <xf numFmtId="0" fontId="3" fillId="0" borderId="19" applyNumberFormat="0" applyFont="0" applyBorder="0" applyAlignment="0" applyProtection="0"/>
    <xf numFmtId="0" fontId="38" fillId="0" borderId="0" applyNumberFormat="0" applyFill="0" applyBorder="0" applyAlignment="0" applyProtection="0"/>
    <xf numFmtId="0" fontId="40" fillId="0" borderId="0"/>
    <xf numFmtId="0" fontId="41" fillId="25" borderId="0"/>
    <xf numFmtId="182" fontId="3" fillId="0" borderId="1" applyBorder="0"/>
    <xf numFmtId="169" fontId="3" fillId="0" borderId="1" applyBorder="0"/>
    <xf numFmtId="174" fontId="3" fillId="0" borderId="1" applyBorder="0"/>
    <xf numFmtId="186" fontId="3" fillId="0" borderId="1" applyBorder="0"/>
    <xf numFmtId="182" fontId="3" fillId="0" borderId="1" applyBorder="0"/>
    <xf numFmtId="187" fontId="3" fillId="0" borderId="1" applyBorder="0"/>
    <xf numFmtId="169" fontId="3" fillId="0" borderId="1" applyBorder="0"/>
    <xf numFmtId="167" fontId="3" fillId="0" borderId="1" applyBorder="0"/>
    <xf numFmtId="0" fontId="3" fillId="0" borderId="1" applyBorder="0"/>
    <xf numFmtId="0" fontId="3" fillId="0" borderId="1" applyBorder="0"/>
    <xf numFmtId="168" fontId="3" fillId="0" borderId="1" applyBorder="0"/>
    <xf numFmtId="168" fontId="3" fillId="0" borderId="1" applyBorder="0"/>
    <xf numFmtId="168" fontId="3" fillId="0" borderId="1" applyBorder="0"/>
    <xf numFmtId="180" fontId="3" fillId="0" borderId="1" applyBorder="0"/>
    <xf numFmtId="168" fontId="3" fillId="0" borderId="1" applyBorder="0"/>
    <xf numFmtId="188" fontId="3" fillId="0" borderId="1"/>
    <xf numFmtId="170" fontId="3" fillId="0" borderId="1"/>
    <xf numFmtId="173" fontId="3" fillId="0" borderId="1"/>
    <xf numFmtId="174" fontId="3" fillId="0" borderId="1"/>
    <xf numFmtId="175" fontId="3" fillId="0" borderId="1"/>
    <xf numFmtId="43" fontId="1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184" fontId="5" fillId="0" borderId="0"/>
    <xf numFmtId="168" fontId="5" fillId="0" borderId="0"/>
    <xf numFmtId="189" fontId="5" fillId="0" borderId="0"/>
    <xf numFmtId="190" fontId="5" fillId="0" borderId="0"/>
    <xf numFmtId="168" fontId="5" fillId="0" borderId="0"/>
    <xf numFmtId="181" fontId="5" fillId="0" borderId="0"/>
    <xf numFmtId="166" fontId="5" fillId="0" borderId="0"/>
    <xf numFmtId="191" fontId="5" fillId="0" borderId="0"/>
    <xf numFmtId="169" fontId="5" fillId="0" borderId="0"/>
    <xf numFmtId="167" fontId="5" fillId="0" borderId="0"/>
    <xf numFmtId="183" fontId="5" fillId="0" borderId="0"/>
    <xf numFmtId="192" fontId="5" fillId="0" borderId="0"/>
    <xf numFmtId="0" fontId="5" fillId="0" borderId="0"/>
    <xf numFmtId="190" fontId="5" fillId="0" borderId="0"/>
    <xf numFmtId="167" fontId="5" fillId="0" borderId="0"/>
    <xf numFmtId="185" fontId="5" fillId="0" borderId="0"/>
    <xf numFmtId="184" fontId="5" fillId="0" borderId="0"/>
    <xf numFmtId="168" fontId="5" fillId="0" borderId="0"/>
    <xf numFmtId="193" fontId="5" fillId="0" borderId="0"/>
    <xf numFmtId="189" fontId="5" fillId="0" borderId="0"/>
    <xf numFmtId="0" fontId="23" fillId="0" borderId="0" applyNumberFormat="0" applyFill="0" applyBorder="0" applyAlignment="0" applyProtection="0"/>
    <xf numFmtId="0" fontId="4" fillId="0" borderId="0" applyNumberFormat="0" applyFill="0" applyBorder="0" applyAlignment="0" applyProtection="0"/>
    <xf numFmtId="0" fontId="42"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3" fillId="0" borderId="0"/>
    <xf numFmtId="0" fontId="3" fillId="0" borderId="0"/>
    <xf numFmtId="0" fontId="3" fillId="0" borderId="0"/>
    <xf numFmtId="0" fontId="3" fillId="0" borderId="0"/>
    <xf numFmtId="0" fontId="3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4" fillId="0" borderId="0"/>
    <xf numFmtId="0" fontId="45" fillId="0" borderId="0"/>
    <xf numFmtId="0" fontId="3" fillId="0" borderId="0"/>
    <xf numFmtId="0" fontId="3" fillId="0" borderId="0"/>
    <xf numFmtId="0" fontId="3" fillId="0" borderId="0"/>
    <xf numFmtId="0" fontId="57" fillId="0" borderId="0"/>
    <xf numFmtId="0" fontId="33" fillId="0" borderId="0"/>
    <xf numFmtId="0" fontId="11" fillId="0" borderId="0"/>
    <xf numFmtId="0" fontId="3" fillId="0" borderId="0"/>
    <xf numFmtId="0" fontId="11" fillId="0" borderId="0"/>
    <xf numFmtId="0" fontId="1" fillId="0" borderId="0"/>
    <xf numFmtId="0" fontId="58" fillId="0" borderId="0"/>
    <xf numFmtId="0" fontId="3" fillId="0" borderId="0">
      <alignment vertical="top"/>
    </xf>
    <xf numFmtId="0" fontId="3" fillId="0" borderId="0"/>
    <xf numFmtId="0" fontId="3" fillId="0" borderId="0" applyNumberFormat="0" applyFill="0" applyBorder="0" applyAlignment="0" applyProtection="0"/>
    <xf numFmtId="0" fontId="33" fillId="0" borderId="0"/>
    <xf numFmtId="0" fontId="44" fillId="0" borderId="0"/>
    <xf numFmtId="0" fontId="11" fillId="0" borderId="0"/>
    <xf numFmtId="0" fontId="33" fillId="0" borderId="0"/>
    <xf numFmtId="37" fontId="46" fillId="0" borderId="0"/>
    <xf numFmtId="0" fontId="3" fillId="0" borderId="0"/>
    <xf numFmtId="0" fontId="1" fillId="0" borderId="0"/>
    <xf numFmtId="0" fontId="3" fillId="0" borderId="0"/>
    <xf numFmtId="0" fontId="11" fillId="0" borderId="0"/>
    <xf numFmtId="0" fontId="11" fillId="0" borderId="0"/>
    <xf numFmtId="0" fontId="44" fillId="0" borderId="0"/>
    <xf numFmtId="0" fontId="3" fillId="0" borderId="0"/>
    <xf numFmtId="0" fontId="3" fillId="0" borderId="0"/>
    <xf numFmtId="0" fontId="3" fillId="0" borderId="0">
      <alignment vertical="top"/>
    </xf>
    <xf numFmtId="0" fontId="44" fillId="0" borderId="0"/>
    <xf numFmtId="0" fontId="3" fillId="0" borderId="0"/>
    <xf numFmtId="0" fontId="44" fillId="0" borderId="0"/>
    <xf numFmtId="0" fontId="3" fillId="0" borderId="0"/>
    <xf numFmtId="0" fontId="3" fillId="0" borderId="0"/>
    <xf numFmtId="0" fontId="3" fillId="0" borderId="0">
      <alignment vertical="top"/>
    </xf>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0" fontId="11" fillId="8" borderId="13" applyNumberFormat="0" applyFont="0" applyAlignment="0" applyProtection="0"/>
    <xf numFmtId="9" fontId="3" fillId="0" borderId="0" applyFont="0" applyFill="0" applyBorder="0" applyAlignment="0" applyProtection="0"/>
    <xf numFmtId="0" fontId="47" fillId="29" borderId="0">
      <alignment horizontal="left" indent="7"/>
    </xf>
    <xf numFmtId="0" fontId="48" fillId="29" borderId="0">
      <alignment horizontal="left" indent="6"/>
    </xf>
    <xf numFmtId="0" fontId="49" fillId="30" borderId="20" applyNumberFormat="0" applyBorder="0" applyAlignment="0">
      <alignment horizontal="right"/>
    </xf>
    <xf numFmtId="0" fontId="50" fillId="31" borderId="0"/>
    <xf numFmtId="0" fontId="2" fillId="0" borderId="0" applyFill="0"/>
    <xf numFmtId="0" fontId="3" fillId="32" borderId="0" applyNumberFormat="0" applyFont="0" applyBorder="0" applyAlignment="0"/>
    <xf numFmtId="0" fontId="50" fillId="0" borderId="0" applyFill="0">
      <alignment horizontal="left" indent="2"/>
    </xf>
    <xf numFmtId="0" fontId="3" fillId="0" borderId="0">
      <alignment horizontal="left" wrapText="1"/>
    </xf>
    <xf numFmtId="0" fontId="51" fillId="0" borderId="0" applyNumberFormat="0" applyFill="0" applyBorder="0" applyProtection="0">
      <alignment horizontal="left"/>
    </xf>
    <xf numFmtId="0" fontId="52" fillId="0" borderId="0" applyNumberFormat="0" applyFill="0" applyBorder="0" applyProtection="0">
      <alignment horizontal="left"/>
    </xf>
    <xf numFmtId="0" fontId="53" fillId="0" borderId="0" applyNumberFormat="0" applyFill="0" applyBorder="0" applyProtection="0">
      <alignment horizontal="left"/>
    </xf>
    <xf numFmtId="0" fontId="52" fillId="0" borderId="0" applyNumberFormat="0" applyFill="0" applyBorder="0" applyProtection="0">
      <alignment horizontal="center"/>
    </xf>
    <xf numFmtId="194" fontId="3" fillId="0" borderId="0" applyFont="0" applyFill="0" applyBorder="0" applyProtection="0">
      <alignment horizontal="left"/>
    </xf>
    <xf numFmtId="0" fontId="3" fillId="0" borderId="0" applyNumberFormat="0" applyFont="0" applyFill="0" applyBorder="0" applyProtection="0">
      <alignment horizontal="center"/>
    </xf>
    <xf numFmtId="38" fontId="3" fillId="0" borderId="0" applyFont="0" applyFill="0" applyBorder="0" applyAlignment="0" applyProtection="0"/>
    <xf numFmtId="10" fontId="3" fillId="0" borderId="0" applyFont="0" applyFill="0" applyBorder="0" applyAlignment="0" applyProtection="0"/>
    <xf numFmtId="0" fontId="54" fillId="0" borderId="2">
      <alignment horizontal="center"/>
    </xf>
    <xf numFmtId="0" fontId="55" fillId="0" borderId="3" applyBorder="0" applyAlignment="0">
      <alignment horizontal="centerContinuous" vertical="center" wrapText="1"/>
    </xf>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 fillId="0" borderId="0">
      <alignment wrapText="1"/>
    </xf>
    <xf numFmtId="0" fontId="4" fillId="0" borderId="0">
      <alignment wrapText="1"/>
    </xf>
    <xf numFmtId="0" fontId="4" fillId="0" borderId="0">
      <alignment wrapText="1"/>
    </xf>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 fillId="0" borderId="0">
      <alignment wrapText="1"/>
    </xf>
    <xf numFmtId="0" fontId="56" fillId="0" borderId="0" applyNumberFormat="0" applyFill="0" applyBorder="0" applyAlignment="0" applyProtection="0"/>
    <xf numFmtId="0" fontId="56" fillId="0" borderId="0" applyNumberFormat="0" applyFill="0" applyBorder="0" applyAlignment="0" applyProtection="0"/>
    <xf numFmtId="0" fontId="4" fillId="0" borderId="0">
      <alignment wrapText="1"/>
    </xf>
    <xf numFmtId="0" fontId="56" fillId="0" borderId="0" applyNumberFormat="0" applyFill="0" applyBorder="0" applyAlignment="0" applyProtection="0"/>
    <xf numFmtId="0" fontId="56" fillId="0" borderId="0" applyNumberFormat="0" applyFill="0" applyBorder="0" applyAlignment="0" applyProtection="0"/>
    <xf numFmtId="0" fontId="4" fillId="0" borderId="0">
      <alignment wrapText="1"/>
    </xf>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176" fontId="20" fillId="0" borderId="33">
      <protection locked="0"/>
    </xf>
    <xf numFmtId="176" fontId="20" fillId="0" borderId="33">
      <protection locked="0"/>
    </xf>
    <xf numFmtId="176" fontId="20" fillId="0" borderId="33">
      <protection locked="0"/>
    </xf>
    <xf numFmtId="176" fontId="20" fillId="0" borderId="33">
      <protection locked="0"/>
    </xf>
    <xf numFmtId="0" fontId="3" fillId="0" borderId="0"/>
    <xf numFmtId="0" fontId="70" fillId="0" borderId="79">
      <alignment wrapText="1"/>
    </xf>
    <xf numFmtId="0" fontId="5" fillId="0" borderId="0"/>
    <xf numFmtId="0" fontId="4" fillId="0" borderId="0">
      <alignment wrapText="1"/>
    </xf>
    <xf numFmtId="0" fontId="4" fillId="0" borderId="0">
      <alignment wrapText="1"/>
    </xf>
    <xf numFmtId="0" fontId="4" fillId="0" borderId="0">
      <alignment wrapText="1"/>
    </xf>
    <xf numFmtId="167" fontId="5" fillId="0" borderId="0"/>
    <xf numFmtId="0" fontId="11" fillId="0" borderId="0"/>
    <xf numFmtId="0" fontId="71" fillId="0" borderId="0" applyNumberFormat="0" applyFill="0" applyBorder="0" applyAlignment="0" applyProtection="0"/>
    <xf numFmtId="0" fontId="71" fillId="0" borderId="0" applyNumberFormat="0" applyFill="0" applyBorder="0" applyAlignment="0" applyProtection="0"/>
    <xf numFmtId="0" fontId="3" fillId="0" borderId="0"/>
    <xf numFmtId="0" fontId="11" fillId="0" borderId="0"/>
    <xf numFmtId="0" fontId="3" fillId="0" borderId="0"/>
    <xf numFmtId="0" fontId="3" fillId="0" borderId="0"/>
    <xf numFmtId="0" fontId="1" fillId="0" borderId="0"/>
    <xf numFmtId="198" fontId="3" fillId="0" borderId="0" applyFont="0" applyFill="0" applyBorder="0" applyProtection="0">
      <alignment horizontal="left"/>
    </xf>
    <xf numFmtId="0" fontId="4" fillId="0" borderId="0">
      <alignment wrapText="1"/>
    </xf>
    <xf numFmtId="0" fontId="4" fillId="0" borderId="0">
      <alignment wrapText="1"/>
    </xf>
    <xf numFmtId="0" fontId="4" fillId="0" borderId="0">
      <alignment wrapText="1"/>
    </xf>
  </cellStyleXfs>
  <cellXfs count="585">
    <xf numFmtId="0" fontId="0" fillId="0" borderId="0" xfId="0"/>
    <xf numFmtId="9" fontId="0" fillId="0" borderId="0" xfId="2" applyFont="1"/>
    <xf numFmtId="0" fontId="0" fillId="0" borderId="20" xfId="0" applyBorder="1"/>
    <xf numFmtId="165" fontId="0" fillId="0" borderId="20" xfId="1" applyNumberFormat="1" applyFont="1" applyBorder="1"/>
    <xf numFmtId="0" fontId="0" fillId="0" borderId="0" xfId="0" applyAlignment="1">
      <alignment wrapText="1"/>
    </xf>
    <xf numFmtId="9" fontId="0" fillId="0" borderId="0" xfId="2" applyFont="1" applyAlignment="1">
      <alignment horizontal="center"/>
    </xf>
    <xf numFmtId="165" fontId="0" fillId="0" borderId="0" xfId="1" applyNumberFormat="1" applyFont="1" applyBorder="1"/>
    <xf numFmtId="0" fontId="0" fillId="0" borderId="20" xfId="0" applyBorder="1" applyAlignment="1">
      <alignment horizontal="center"/>
    </xf>
    <xf numFmtId="164" fontId="6" fillId="0" borderId="0" xfId="2" applyNumberFormat="1" applyFont="1" applyFill="1" applyAlignment="1">
      <alignment horizontal="center"/>
    </xf>
    <xf numFmtId="9" fontId="0" fillId="0" borderId="0" xfId="2" applyFont="1" applyBorder="1"/>
    <xf numFmtId="0" fontId="6" fillId="0" borderId="57" xfId="0" applyFont="1" applyBorder="1" applyAlignment="1">
      <alignment horizontal="center"/>
    </xf>
    <xf numFmtId="165" fontId="0" fillId="0" borderId="26" xfId="1" applyNumberFormat="1" applyFont="1" applyBorder="1"/>
    <xf numFmtId="0" fontId="6" fillId="0" borderId="56" xfId="0" applyFont="1" applyBorder="1"/>
    <xf numFmtId="0" fontId="0" fillId="0" borderId="0" xfId="0" applyAlignment="1">
      <alignment horizontal="center"/>
    </xf>
    <xf numFmtId="9" fontId="0" fillId="0" borderId="59" xfId="2" applyFont="1" applyBorder="1" applyAlignment="1">
      <alignment horizontal="center"/>
    </xf>
    <xf numFmtId="9" fontId="0" fillId="0" borderId="0" xfId="2" applyFont="1" applyBorder="1" applyAlignment="1">
      <alignment horizontal="center"/>
    </xf>
    <xf numFmtId="10" fontId="0" fillId="0" borderId="20" xfId="2" applyNumberFormat="1" applyFont="1" applyBorder="1" applyAlignment="1">
      <alignment horizontal="center"/>
    </xf>
    <xf numFmtId="164" fontId="0" fillId="0" borderId="20" xfId="2" applyNumberFormat="1" applyFont="1" applyBorder="1" applyAlignment="1">
      <alignment horizontal="center"/>
    </xf>
    <xf numFmtId="9" fontId="0" fillId="0" borderId="20" xfId="2" applyFont="1" applyBorder="1" applyAlignment="1">
      <alignment horizontal="center"/>
    </xf>
    <xf numFmtId="0" fontId="6" fillId="0" borderId="20" xfId="0" applyFont="1" applyBorder="1"/>
    <xf numFmtId="0" fontId="6" fillId="0" borderId="0" xfId="0" applyFont="1"/>
    <xf numFmtId="0" fontId="0" fillId="0" borderId="0" xfId="0" applyAlignment="1">
      <alignment horizontal="left"/>
    </xf>
    <xf numFmtId="0" fontId="0" fillId="0" borderId="20" xfId="0" applyBorder="1" applyAlignment="1">
      <alignment horizontal="left"/>
    </xf>
    <xf numFmtId="0" fontId="0" fillId="0" borderId="0" xfId="0" quotePrefix="1"/>
    <xf numFmtId="0" fontId="0" fillId="0" borderId="0" xfId="0" quotePrefix="1" applyAlignment="1">
      <alignment horizontal="left"/>
    </xf>
    <xf numFmtId="0" fontId="6" fillId="0" borderId="32" xfId="0" applyFont="1" applyBorder="1"/>
    <xf numFmtId="0" fontId="61" fillId="0" borderId="0" xfId="0" applyFont="1"/>
    <xf numFmtId="0" fontId="59" fillId="35" borderId="0" xfId="0" applyFont="1" applyFill="1"/>
    <xf numFmtId="0" fontId="62" fillId="28" borderId="20" xfId="0" applyFont="1" applyFill="1" applyBorder="1" applyAlignment="1">
      <alignment horizontal="center" wrapText="1"/>
    </xf>
    <xf numFmtId="0" fontId="62" fillId="27" borderId="20" xfId="0" applyFont="1" applyFill="1" applyBorder="1" applyAlignment="1">
      <alignment horizontal="center" wrapText="1"/>
    </xf>
    <xf numFmtId="0" fontId="6" fillId="27" borderId="20" xfId="0" applyFont="1" applyFill="1" applyBorder="1" applyAlignment="1">
      <alignment horizontal="center" wrapText="1"/>
    </xf>
    <xf numFmtId="0" fontId="62" fillId="27" borderId="20" xfId="0" applyFont="1" applyFill="1" applyBorder="1" applyAlignment="1">
      <alignment horizontal="center" vertical="center" wrapText="1"/>
    </xf>
    <xf numFmtId="0" fontId="62" fillId="27" borderId="34" xfId="0" applyFont="1" applyFill="1" applyBorder="1" applyAlignment="1">
      <alignment vertical="center" wrapText="1"/>
    </xf>
    <xf numFmtId="0" fontId="62" fillId="27" borderId="3" xfId="0" applyFont="1" applyFill="1" applyBorder="1" applyAlignment="1">
      <alignment vertical="center" wrapText="1"/>
    </xf>
    <xf numFmtId="39" fontId="0" fillId="0" borderId="20" xfId="1" applyNumberFormat="1" applyFont="1" applyBorder="1" applyAlignment="1">
      <alignment horizontal="right" wrapText="1"/>
    </xf>
    <xf numFmtId="39" fontId="0" fillId="0" borderId="20" xfId="1" applyNumberFormat="1" applyFont="1" applyFill="1" applyBorder="1" applyAlignment="1">
      <alignment horizontal="right" wrapText="1"/>
    </xf>
    <xf numFmtId="0" fontId="59" fillId="36" borderId="0" xfId="0" applyFont="1" applyFill="1"/>
    <xf numFmtId="0" fontId="60" fillId="35" borderId="0" xfId="0" applyFont="1" applyFill="1"/>
    <xf numFmtId="0" fontId="0" fillId="0" borderId="20" xfId="0" applyBorder="1" applyAlignment="1">
      <alignment horizontal="center" vertical="center" wrapText="1"/>
    </xf>
    <xf numFmtId="2" fontId="0" fillId="0" borderId="20" xfId="0" applyNumberFormat="1" applyBorder="1"/>
    <xf numFmtId="2" fontId="0" fillId="0" borderId="20" xfId="0" applyNumberFormat="1" applyBorder="1" applyAlignment="1">
      <alignment horizontal="center"/>
    </xf>
    <xf numFmtId="0" fontId="59" fillId="35" borderId="66" xfId="0" applyFont="1" applyFill="1" applyBorder="1"/>
    <xf numFmtId="0" fontId="60" fillId="38" borderId="66" xfId="0" applyFont="1" applyFill="1" applyBorder="1"/>
    <xf numFmtId="0" fontId="0" fillId="37" borderId="66" xfId="0" applyFill="1" applyBorder="1"/>
    <xf numFmtId="0" fontId="6" fillId="37" borderId="66" xfId="0" applyFont="1" applyFill="1" applyBorder="1" applyAlignment="1">
      <alignment horizontal="center" vertical="center"/>
    </xf>
    <xf numFmtId="172" fontId="0" fillId="0" borderId="66" xfId="0" applyNumberFormat="1" applyBorder="1" applyAlignment="1">
      <alignment horizontal="center"/>
    </xf>
    <xf numFmtId="165" fontId="0" fillId="0" borderId="66" xfId="1" applyNumberFormat="1" applyFont="1" applyFill="1" applyBorder="1" applyAlignment="1">
      <alignment horizontal="center"/>
    </xf>
    <xf numFmtId="2" fontId="0" fillId="0" borderId="66" xfId="0" applyNumberFormat="1" applyBorder="1" applyAlignment="1">
      <alignment horizontal="center"/>
    </xf>
    <xf numFmtId="0" fontId="0" fillId="0" borderId="66" xfId="0" applyBorder="1"/>
    <xf numFmtId="172" fontId="0" fillId="0" borderId="66" xfId="0" applyNumberFormat="1" applyBorder="1"/>
    <xf numFmtId="9" fontId="0" fillId="0" borderId="66" xfId="0" applyNumberFormat="1" applyBorder="1"/>
    <xf numFmtId="0" fontId="59" fillId="35" borderId="66" xfId="0" applyFont="1" applyFill="1" applyBorder="1" applyAlignment="1">
      <alignment horizontal="center"/>
    </xf>
    <xf numFmtId="0" fontId="6" fillId="37" borderId="66" xfId="0" applyFont="1" applyFill="1" applyBorder="1" applyAlignment="1">
      <alignment horizontal="center"/>
    </xf>
    <xf numFmtId="0" fontId="6" fillId="37" borderId="66" xfId="0" applyFont="1" applyFill="1" applyBorder="1" applyAlignment="1">
      <alignment horizontal="center" vertical="center" wrapText="1"/>
    </xf>
    <xf numFmtId="0" fontId="6" fillId="37" borderId="66" xfId="0" applyFont="1" applyFill="1" applyBorder="1"/>
    <xf numFmtId="0" fontId="6" fillId="0" borderId="66" xfId="0" applyFont="1" applyBorder="1" applyAlignment="1">
      <alignment horizontal="center"/>
    </xf>
    <xf numFmtId="0" fontId="59" fillId="38" borderId="66" xfId="0" applyFont="1" applyFill="1" applyBorder="1"/>
    <xf numFmtId="0" fontId="60" fillId="38" borderId="66" xfId="0" applyFont="1" applyFill="1" applyBorder="1" applyAlignment="1">
      <alignment horizontal="center" wrapText="1"/>
    </xf>
    <xf numFmtId="3" fontId="0" fillId="0" borderId="66" xfId="0" applyNumberFormat="1" applyBorder="1" applyAlignment="1">
      <alignment horizontal="center" vertical="center" wrapText="1"/>
    </xf>
    <xf numFmtId="165" fontId="0" fillId="0" borderId="66" xfId="1" applyNumberFormat="1" applyFont="1" applyBorder="1" applyAlignment="1">
      <alignment horizontal="center"/>
    </xf>
    <xf numFmtId="165" fontId="0" fillId="0" borderId="66" xfId="1" applyNumberFormat="1" applyFont="1" applyBorder="1"/>
    <xf numFmtId="165" fontId="0" fillId="0" borderId="66" xfId="1" applyNumberFormat="1" applyFont="1" applyBorder="1" applyAlignment="1">
      <alignment horizontal="center" vertical="center" wrapText="1"/>
    </xf>
    <xf numFmtId="3" fontId="0" fillId="0" borderId="66" xfId="0" applyNumberFormat="1" applyBorder="1" applyAlignment="1">
      <alignment vertical="center" wrapText="1"/>
    </xf>
    <xf numFmtId="2" fontId="0" fillId="0" borderId="66" xfId="0" applyNumberFormat="1" applyBorder="1"/>
    <xf numFmtId="0" fontId="0" fillId="0" borderId="66" xfId="0" applyBorder="1" applyAlignment="1">
      <alignment horizontal="center"/>
    </xf>
    <xf numFmtId="179" fontId="0" fillId="0" borderId="66" xfId="0" applyNumberFormat="1" applyBorder="1" applyAlignment="1">
      <alignment horizontal="center"/>
    </xf>
    <xf numFmtId="9" fontId="0" fillId="0" borderId="66" xfId="2" applyFont="1" applyBorder="1"/>
    <xf numFmtId="10" fontId="0" fillId="0" borderId="66" xfId="2" applyNumberFormat="1" applyFont="1" applyBorder="1"/>
    <xf numFmtId="0" fontId="59" fillId="35" borderId="0" xfId="0" applyFont="1" applyFill="1" applyAlignment="1">
      <alignment horizontal="left"/>
    </xf>
    <xf numFmtId="164" fontId="0" fillId="0" borderId="0" xfId="2" applyNumberFormat="1" applyFont="1" applyFill="1" applyAlignment="1">
      <alignment horizontal="left"/>
    </xf>
    <xf numFmtId="0" fontId="0" fillId="0" borderId="57" xfId="0" applyBorder="1"/>
    <xf numFmtId="0" fontId="0" fillId="0" borderId="58" xfId="0" applyBorder="1"/>
    <xf numFmtId="0" fontId="0" fillId="0" borderId="60" xfId="0" applyBorder="1"/>
    <xf numFmtId="0" fontId="0" fillId="0" borderId="51" xfId="0" applyBorder="1"/>
    <xf numFmtId="0" fontId="0" fillId="0" borderId="62" xfId="0" applyBorder="1"/>
    <xf numFmtId="9" fontId="0" fillId="0" borderId="0" xfId="0" applyNumberFormat="1"/>
    <xf numFmtId="0" fontId="0" fillId="0" borderId="56" xfId="0" applyBorder="1"/>
    <xf numFmtId="0" fontId="0" fillId="0" borderId="22" xfId="0" applyBorder="1" applyAlignment="1">
      <alignment horizontal="right"/>
    </xf>
    <xf numFmtId="0" fontId="0" fillId="0" borderId="20" xfId="0" applyBorder="1" applyAlignment="1">
      <alignment horizontal="right"/>
    </xf>
    <xf numFmtId="0" fontId="0" fillId="0" borderId="23" xfId="0" applyBorder="1" applyAlignment="1">
      <alignment horizontal="right"/>
    </xf>
    <xf numFmtId="0" fontId="0" fillId="0" borderId="59" xfId="0" applyBorder="1"/>
    <xf numFmtId="0" fontId="0" fillId="0" borderId="61" xfId="0" applyBorder="1"/>
    <xf numFmtId="0" fontId="0" fillId="0" borderId="60" xfId="0" applyBorder="1" applyAlignment="1">
      <alignment horizontal="center"/>
    </xf>
    <xf numFmtId="0" fontId="0" fillId="0" borderId="59" xfId="0" applyBorder="1" applyAlignment="1">
      <alignment horizontal="center"/>
    </xf>
    <xf numFmtId="9" fontId="0" fillId="0" borderId="0" xfId="0" applyNumberFormat="1" applyAlignment="1">
      <alignment horizontal="center"/>
    </xf>
    <xf numFmtId="9" fontId="0" fillId="0" borderId="60" xfId="0" applyNumberFormat="1" applyBorder="1" applyAlignment="1">
      <alignment horizontal="center"/>
    </xf>
    <xf numFmtId="0" fontId="0" fillId="0" borderId="51" xfId="0" applyBorder="1" applyAlignment="1">
      <alignment horizontal="center"/>
    </xf>
    <xf numFmtId="0" fontId="0" fillId="0" borderId="62" xfId="0" applyBorder="1" applyAlignment="1">
      <alignment horizontal="center"/>
    </xf>
    <xf numFmtId="0" fontId="0" fillId="0" borderId="1" xfId="0" applyBorder="1"/>
    <xf numFmtId="190" fontId="0" fillId="0" borderId="31" xfId="1" applyNumberFormat="1" applyFont="1" applyBorder="1" applyAlignment="1">
      <alignment horizontal="right"/>
    </xf>
    <xf numFmtId="190" fontId="0" fillId="0" borderId="3" xfId="1" applyNumberFormat="1" applyFont="1" applyBorder="1" applyAlignment="1">
      <alignment horizontal="right"/>
    </xf>
    <xf numFmtId="185" fontId="0" fillId="0" borderId="42" xfId="1" applyNumberFormat="1" applyFont="1" applyBorder="1" applyAlignment="1">
      <alignment horizontal="right"/>
    </xf>
    <xf numFmtId="185" fontId="0" fillId="0" borderId="46" xfId="1" applyNumberFormat="1" applyFont="1" applyBorder="1" applyAlignment="1">
      <alignment horizontal="right"/>
    </xf>
    <xf numFmtId="185" fontId="0" fillId="0" borderId="35" xfId="1" applyNumberFormat="1" applyFont="1" applyBorder="1" applyAlignment="1">
      <alignment horizontal="right"/>
    </xf>
    <xf numFmtId="185" fontId="0" fillId="0" borderId="34" xfId="1" applyNumberFormat="1" applyFont="1" applyBorder="1" applyAlignment="1">
      <alignment horizontal="right"/>
    </xf>
    <xf numFmtId="190" fontId="0" fillId="0" borderId="0" xfId="1" applyNumberFormat="1" applyFont="1" applyBorder="1" applyAlignment="1">
      <alignment horizontal="right"/>
    </xf>
    <xf numFmtId="185" fontId="0" fillId="0" borderId="0" xfId="1" applyNumberFormat="1" applyFont="1" applyBorder="1" applyAlignment="1">
      <alignment horizontal="right"/>
    </xf>
    <xf numFmtId="165" fontId="0" fillId="0" borderId="0" xfId="0" applyNumberFormat="1"/>
    <xf numFmtId="0" fontId="0" fillId="33" borderId="0" xfId="0" applyFill="1"/>
    <xf numFmtId="0" fontId="62" fillId="0" borderId="0" xfId="0" applyFont="1" applyAlignment="1">
      <alignment vertical="center"/>
    </xf>
    <xf numFmtId="0" fontId="63" fillId="0" borderId="0" xfId="295" applyFont="1"/>
    <xf numFmtId="0" fontId="62" fillId="0" borderId="0" xfId="0" applyFont="1" applyAlignment="1">
      <alignment horizontal="center" vertical="center"/>
    </xf>
    <xf numFmtId="0" fontId="62" fillId="0" borderId="20" xfId="0" applyFont="1" applyBorder="1" applyAlignment="1">
      <alignment horizontal="center"/>
    </xf>
    <xf numFmtId="167" fontId="63" fillId="0" borderId="0" xfId="295" applyNumberFormat="1" applyFont="1"/>
    <xf numFmtId="49" fontId="63" fillId="0" borderId="0" xfId="295" applyNumberFormat="1" applyFont="1"/>
    <xf numFmtId="49" fontId="63" fillId="0" borderId="0" xfId="295" quotePrefix="1" applyNumberFormat="1" applyFont="1"/>
    <xf numFmtId="49" fontId="63" fillId="0" borderId="56" xfId="0" applyNumberFormat="1" applyFont="1" applyBorder="1"/>
    <xf numFmtId="0" fontId="64" fillId="0" borderId="59" xfId="0" applyFont="1" applyBorder="1"/>
    <xf numFmtId="49" fontId="63" fillId="0" borderId="59" xfId="0" applyNumberFormat="1" applyFont="1" applyBorder="1"/>
    <xf numFmtId="49" fontId="63" fillId="0" borderId="61" xfId="0" applyNumberFormat="1" applyFont="1" applyBorder="1"/>
    <xf numFmtId="0" fontId="62" fillId="0" borderId="0" xfId="262" applyFont="1"/>
    <xf numFmtId="0" fontId="63" fillId="0" borderId="0" xfId="262" applyFont="1" applyAlignment="1">
      <alignment horizontal="centerContinuous"/>
    </xf>
    <xf numFmtId="0" fontId="63" fillId="0" borderId="0" xfId="262" applyFont="1"/>
    <xf numFmtId="0" fontId="62" fillId="0" borderId="0" xfId="262" applyFont="1" applyAlignment="1">
      <alignment horizontal="centerContinuous" wrapText="1"/>
    </xf>
    <xf numFmtId="0" fontId="62" fillId="0" borderId="36" xfId="262" applyFont="1" applyBorder="1" applyAlignment="1">
      <alignment horizontal="center" vertical="center" wrapText="1"/>
    </xf>
    <xf numFmtId="0" fontId="62" fillId="0" borderId="63" xfId="262" applyFont="1" applyBorder="1" applyAlignment="1">
      <alignment horizontal="center" vertical="center" wrapText="1"/>
    </xf>
    <xf numFmtId="0" fontId="62" fillId="0" borderId="21" xfId="262" applyFont="1" applyBorder="1" applyAlignment="1">
      <alignment horizontal="center" vertical="center" wrapText="1"/>
    </xf>
    <xf numFmtId="0" fontId="63" fillId="0" borderId="48" xfId="262" applyFont="1" applyBorder="1"/>
    <xf numFmtId="0" fontId="63" fillId="0" borderId="2" xfId="262" applyFont="1" applyBorder="1"/>
    <xf numFmtId="0" fontId="63" fillId="0" borderId="49" xfId="262" applyFont="1" applyBorder="1"/>
    <xf numFmtId="0" fontId="63" fillId="0" borderId="48" xfId="262" applyFont="1" applyBorder="1" applyAlignment="1">
      <alignment horizontal="left"/>
    </xf>
    <xf numFmtId="190" fontId="63" fillId="0" borderId="34" xfId="262" applyNumberFormat="1" applyFont="1" applyBorder="1" applyAlignment="1">
      <alignment horizontal="right"/>
    </xf>
    <xf numFmtId="190" fontId="63" fillId="0" borderId="64" xfId="262" applyNumberFormat="1" applyFont="1" applyBorder="1" applyAlignment="1">
      <alignment horizontal="right"/>
    </xf>
    <xf numFmtId="0" fontId="63" fillId="0" borderId="50" xfId="262" applyFont="1" applyBorder="1" applyAlignment="1">
      <alignment horizontal="left"/>
    </xf>
    <xf numFmtId="190" fontId="63" fillId="0" borderId="65" xfId="262" applyNumberFormat="1" applyFont="1" applyBorder="1" applyAlignment="1">
      <alignment horizontal="right"/>
    </xf>
    <xf numFmtId="177" fontId="63" fillId="0" borderId="65" xfId="262" applyNumberFormat="1" applyFont="1" applyBorder="1" applyAlignment="1">
      <alignment horizontal="right"/>
    </xf>
    <xf numFmtId="190" fontId="63" fillId="0" borderId="52" xfId="262" applyNumberFormat="1" applyFont="1" applyBorder="1" applyAlignment="1">
      <alignment horizontal="right"/>
    </xf>
    <xf numFmtId="0" fontId="63" fillId="0" borderId="1" xfId="262" applyFont="1" applyBorder="1" applyAlignment="1">
      <alignment horizontal="left"/>
    </xf>
    <xf numFmtId="190" fontId="63" fillId="0" borderId="2" xfId="262" applyNumberFormat="1" applyFont="1" applyBorder="1" applyAlignment="1">
      <alignment horizontal="right"/>
    </xf>
    <xf numFmtId="0" fontId="63" fillId="0" borderId="35" xfId="262" applyFont="1" applyBorder="1"/>
    <xf numFmtId="0" fontId="63" fillId="0" borderId="31" xfId="262" applyFont="1" applyBorder="1"/>
    <xf numFmtId="0" fontId="63" fillId="0" borderId="3" xfId="262" applyFont="1" applyBorder="1"/>
    <xf numFmtId="0" fontId="62" fillId="0" borderId="0" xfId="196" applyFont="1" applyAlignment="1">
      <alignment horizontal="left"/>
    </xf>
    <xf numFmtId="195" fontId="63" fillId="0" borderId="25" xfId="392" applyNumberFormat="1" applyFont="1" applyBorder="1" applyAlignment="1">
      <alignment horizontal="right"/>
    </xf>
    <xf numFmtId="195" fontId="63" fillId="0" borderId="26" xfId="392" applyNumberFormat="1" applyFont="1" applyBorder="1" applyAlignment="1">
      <alignment horizontal="right"/>
    </xf>
    <xf numFmtId="195" fontId="63" fillId="0" borderId="27" xfId="392" applyNumberFormat="1" applyFont="1" applyBorder="1" applyAlignment="1">
      <alignment horizontal="right"/>
    </xf>
    <xf numFmtId="49" fontId="63" fillId="0" borderId="0" xfId="3" quotePrefix="1" applyNumberFormat="1" applyFont="1" applyAlignment="1">
      <alignment horizontal="left"/>
    </xf>
    <xf numFmtId="49" fontId="63" fillId="0" borderId="0" xfId="3" applyNumberFormat="1" applyFont="1" applyAlignment="1">
      <alignment horizontal="left"/>
    </xf>
    <xf numFmtId="0" fontId="63" fillId="0" borderId="0" xfId="164" applyFont="1" applyAlignment="1">
      <alignment horizontal="centerContinuous"/>
    </xf>
    <xf numFmtId="0" fontId="62" fillId="0" borderId="38" xfId="196" applyFont="1" applyBorder="1" applyAlignment="1">
      <alignment horizontal="centerContinuous" wrapText="1"/>
    </xf>
    <xf numFmtId="0" fontId="63" fillId="0" borderId="38" xfId="164" applyFont="1" applyBorder="1" applyAlignment="1">
      <alignment horizontal="centerContinuous"/>
    </xf>
    <xf numFmtId="0" fontId="63" fillId="0" borderId="38" xfId="164" applyFont="1" applyBorder="1"/>
    <xf numFmtId="0" fontId="62" fillId="0" borderId="0" xfId="9" applyFont="1" applyAlignment="1">
      <alignment horizontal="center" vertical="center" wrapText="1"/>
    </xf>
    <xf numFmtId="0" fontId="62" fillId="0" borderId="24" xfId="9" applyFont="1" applyBorder="1" applyAlignment="1">
      <alignment horizontal="centerContinuous" vertical="center" wrapText="1"/>
    </xf>
    <xf numFmtId="0" fontId="62" fillId="0" borderId="28" xfId="9" applyFont="1" applyBorder="1" applyAlignment="1">
      <alignment horizontal="centerContinuous" vertical="center" wrapText="1"/>
    </xf>
    <xf numFmtId="0" fontId="62" fillId="0" borderId="29" xfId="9" applyFont="1" applyBorder="1" applyAlignment="1">
      <alignment horizontal="centerContinuous" vertical="center" wrapText="1"/>
    </xf>
    <xf numFmtId="0" fontId="62" fillId="0" borderId="3" xfId="9" applyFont="1" applyBorder="1" applyAlignment="1">
      <alignment horizontal="centerContinuous" vertical="center" wrapText="1"/>
    </xf>
    <xf numFmtId="0" fontId="62" fillId="0" borderId="35" xfId="9" applyFont="1" applyBorder="1">
      <alignment horizontal="center" wrapText="1"/>
    </xf>
    <xf numFmtId="0" fontId="62" fillId="0" borderId="43" xfId="9" applyFont="1" applyBorder="1">
      <alignment horizontal="center" wrapText="1"/>
    </xf>
    <xf numFmtId="0" fontId="62" fillId="0" borderId="3" xfId="9" applyFont="1" applyBorder="1">
      <alignment horizontal="center" wrapText="1"/>
    </xf>
    <xf numFmtId="0" fontId="62" fillId="0" borderId="55" xfId="9" applyFont="1" applyBorder="1">
      <alignment horizontal="center" wrapText="1"/>
    </xf>
    <xf numFmtId="0" fontId="63" fillId="0" borderId="1" xfId="164" applyFont="1" applyBorder="1" applyAlignment="1">
      <alignment horizontal="left" indent="1"/>
    </xf>
    <xf numFmtId="195" fontId="63" fillId="0" borderId="45" xfId="164" applyNumberFormat="1" applyFont="1" applyBorder="1"/>
    <xf numFmtId="195" fontId="63" fillId="0" borderId="1" xfId="164" applyNumberFormat="1" applyFont="1" applyBorder="1"/>
    <xf numFmtId="195" fontId="63" fillId="0" borderId="0" xfId="164" applyNumberFormat="1" applyFont="1"/>
    <xf numFmtId="0" fontId="63" fillId="0" borderId="0" xfId="262" applyFont="1" applyAlignment="1">
      <alignment vertical="center"/>
    </xf>
    <xf numFmtId="0" fontId="62" fillId="0" borderId="0" xfId="262" applyFont="1" applyAlignment="1">
      <alignment vertical="center"/>
    </xf>
    <xf numFmtId="0" fontId="62" fillId="0" borderId="1" xfId="0" applyFont="1" applyBorder="1" applyAlignment="1">
      <alignment horizontal="center" vertical="center" wrapText="1"/>
    </xf>
    <xf numFmtId="0" fontId="62" fillId="0" borderId="35" xfId="0" applyFont="1" applyBorder="1" applyAlignment="1">
      <alignment horizontal="centerContinuous" vertical="center" wrapText="1"/>
    </xf>
    <xf numFmtId="0" fontId="62" fillId="0" borderId="3" xfId="0" applyFont="1" applyBorder="1" applyAlignment="1">
      <alignment horizontal="centerContinuous" vertical="center" wrapText="1"/>
    </xf>
    <xf numFmtId="0" fontId="62" fillId="0" borderId="39" xfId="0" applyFont="1" applyBorder="1" applyAlignment="1">
      <alignment horizontal="centerContinuous" vertical="center" wrapText="1"/>
    </xf>
    <xf numFmtId="0" fontId="62" fillId="0" borderId="40" xfId="0" applyFont="1" applyBorder="1" applyAlignment="1">
      <alignment horizontal="centerContinuous" vertical="center" wrapText="1"/>
    </xf>
    <xf numFmtId="0" fontId="62" fillId="0" borderId="41" xfId="0" applyFont="1" applyBorder="1" applyAlignment="1">
      <alignment horizontal="centerContinuous" vertical="center" wrapText="1"/>
    </xf>
    <xf numFmtId="0" fontId="62" fillId="0" borderId="35" xfId="0" applyFont="1" applyBorder="1" applyAlignment="1">
      <alignment horizontal="center" vertical="center" wrapText="1"/>
    </xf>
    <xf numFmtId="0" fontId="62" fillId="0" borderId="3" xfId="0" applyFont="1" applyBorder="1" applyAlignment="1">
      <alignment horizontal="center" vertical="center" wrapText="1"/>
    </xf>
    <xf numFmtId="0" fontId="62" fillId="0" borderId="42" xfId="0" applyFont="1" applyBorder="1" applyAlignment="1">
      <alignment horizontal="center" vertical="center" wrapText="1"/>
    </xf>
    <xf numFmtId="0" fontId="62" fillId="0" borderId="43" xfId="0" applyFont="1" applyBorder="1" applyAlignment="1">
      <alignment horizontal="center" vertical="center" wrapText="1"/>
    </xf>
    <xf numFmtId="0" fontId="62" fillId="0" borderId="24" xfId="0" applyFont="1" applyBorder="1" applyAlignment="1">
      <alignment horizontal="center" vertical="center" wrapText="1"/>
    </xf>
    <xf numFmtId="168" fontId="63" fillId="0" borderId="0" xfId="4" applyFont="1" applyBorder="1"/>
    <xf numFmtId="0" fontId="62" fillId="0" borderId="0" xfId="0" applyFont="1" applyAlignment="1">
      <alignment horizontal="left"/>
    </xf>
    <xf numFmtId="0" fontId="63" fillId="0" borderId="0" xfId="392" applyFont="1" applyAlignment="1">
      <alignment horizontal="centerContinuous"/>
    </xf>
    <xf numFmtId="0" fontId="62" fillId="0" borderId="0" xfId="196" applyFont="1" applyAlignment="1">
      <alignment horizontal="centerContinuous" wrapText="1"/>
    </xf>
    <xf numFmtId="0" fontId="63" fillId="0" borderId="0" xfId="170" applyFont="1" applyAlignment="1">
      <alignment horizontal="left"/>
    </xf>
    <xf numFmtId="0" fontId="63" fillId="0" borderId="0" xfId="170" applyFont="1"/>
    <xf numFmtId="0" fontId="63" fillId="0" borderId="38" xfId="392" applyFont="1" applyBorder="1" applyAlignment="1">
      <alignment horizontal="centerContinuous"/>
    </xf>
    <xf numFmtId="0" fontId="63" fillId="0" borderId="38" xfId="392" applyFont="1" applyBorder="1"/>
    <xf numFmtId="0" fontId="62" fillId="0" borderId="1" xfId="9" applyFont="1" applyBorder="1" applyAlignment="1">
      <alignment horizontal="center" vertical="center" wrapText="1"/>
    </xf>
    <xf numFmtId="0" fontId="62" fillId="0" borderId="41" xfId="9" applyFont="1" applyBorder="1" applyAlignment="1">
      <alignment horizontal="center" vertical="center" wrapText="1"/>
    </xf>
    <xf numFmtId="0" fontId="62" fillId="0" borderId="53" xfId="9" applyFont="1" applyBorder="1" applyAlignment="1">
      <alignment horizontal="center" vertical="center" wrapText="1"/>
    </xf>
    <xf numFmtId="0" fontId="62" fillId="0" borderId="53" xfId="9" applyFont="1" applyBorder="1" applyAlignment="1">
      <alignment horizontal="centerContinuous" vertical="center" wrapText="1"/>
    </xf>
    <xf numFmtId="0" fontId="62" fillId="0" borderId="35" xfId="9" applyFont="1" applyBorder="1" applyAlignment="1">
      <alignment horizontal="centerContinuous" wrapText="1"/>
    </xf>
    <xf numFmtId="0" fontId="62" fillId="0" borderId="46" xfId="9" applyFont="1" applyBorder="1">
      <alignment horizontal="center" wrapText="1"/>
    </xf>
    <xf numFmtId="0" fontId="62" fillId="0" borderId="42" xfId="9" applyFont="1" applyBorder="1">
      <alignment horizontal="center" wrapText="1"/>
    </xf>
    <xf numFmtId="0" fontId="62" fillId="0" borderId="24" xfId="9" applyFont="1" applyBorder="1">
      <alignment horizontal="center" wrapText="1"/>
    </xf>
    <xf numFmtId="0" fontId="63" fillId="0" borderId="1" xfId="392" applyFont="1" applyBorder="1"/>
    <xf numFmtId="190" fontId="63" fillId="0" borderId="47" xfId="392" applyNumberFormat="1" applyFont="1" applyBorder="1"/>
    <xf numFmtId="190" fontId="63" fillId="0" borderId="44" xfId="392" applyNumberFormat="1" applyFont="1" applyBorder="1"/>
    <xf numFmtId="190" fontId="63" fillId="0" borderId="2" xfId="392" applyNumberFormat="1" applyFont="1" applyBorder="1"/>
    <xf numFmtId="168" fontId="63" fillId="0" borderId="1" xfId="4" applyFont="1"/>
    <xf numFmtId="195" fontId="63" fillId="0" borderId="46" xfId="392" applyNumberFormat="1" applyFont="1" applyBorder="1" applyAlignment="1">
      <alignment horizontal="right"/>
    </xf>
    <xf numFmtId="195" fontId="63" fillId="0" borderId="42" xfId="392" applyNumberFormat="1" applyFont="1" applyBorder="1" applyAlignment="1">
      <alignment horizontal="right"/>
    </xf>
    <xf numFmtId="195" fontId="63" fillId="0" borderId="34" xfId="392" applyNumberFormat="1" applyFont="1" applyBorder="1" applyAlignment="1">
      <alignment horizontal="right"/>
    </xf>
    <xf numFmtId="195" fontId="63" fillId="0" borderId="47" xfId="392" applyNumberFormat="1" applyFont="1" applyBorder="1" applyAlignment="1">
      <alignment horizontal="right"/>
    </xf>
    <xf numFmtId="195" fontId="63" fillId="0" borderId="1" xfId="392" applyNumberFormat="1" applyFont="1" applyBorder="1" applyAlignment="1">
      <alignment horizontal="right"/>
    </xf>
    <xf numFmtId="195" fontId="63" fillId="0" borderId="2" xfId="392" applyNumberFormat="1" applyFont="1" applyBorder="1" applyAlignment="1">
      <alignment horizontal="right"/>
    </xf>
    <xf numFmtId="195" fontId="63" fillId="0" borderId="54" xfId="392" applyNumberFormat="1" applyFont="1" applyBorder="1" applyAlignment="1">
      <alignment horizontal="right"/>
    </xf>
    <xf numFmtId="169" fontId="63" fillId="0" borderId="1" xfId="5" applyFont="1"/>
    <xf numFmtId="195" fontId="63" fillId="0" borderId="0" xfId="392" applyNumberFormat="1" applyFont="1" applyAlignment="1">
      <alignment horizontal="right"/>
    </xf>
    <xf numFmtId="195" fontId="63" fillId="0" borderId="44" xfId="392" applyNumberFormat="1" applyFont="1" applyBorder="1" applyAlignment="1">
      <alignment horizontal="right"/>
    </xf>
    <xf numFmtId="0" fontId="63" fillId="0" borderId="35" xfId="392" applyFont="1" applyBorder="1"/>
    <xf numFmtId="0" fontId="63" fillId="0" borderId="46" xfId="392" applyFont="1" applyBorder="1"/>
    <xf numFmtId="0" fontId="63" fillId="0" borderId="42" xfId="392" applyFont="1" applyBorder="1"/>
    <xf numFmtId="3" fontId="63" fillId="0" borderId="34" xfId="392" applyNumberFormat="1" applyFont="1" applyBorder="1"/>
    <xf numFmtId="3" fontId="63" fillId="0" borderId="0" xfId="392" applyNumberFormat="1" applyFont="1"/>
    <xf numFmtId="167" fontId="63" fillId="0" borderId="0" xfId="3" applyFont="1" applyAlignment="1">
      <alignment horizontal="left"/>
    </xf>
    <xf numFmtId="190" fontId="63" fillId="0" borderId="0" xfId="392" applyNumberFormat="1" applyFont="1"/>
    <xf numFmtId="0" fontId="63" fillId="0" borderId="0" xfId="3" applyNumberFormat="1" applyFont="1" applyAlignment="1">
      <alignment horizontal="left"/>
    </xf>
    <xf numFmtId="0" fontId="63" fillId="0" borderId="0" xfId="164" applyFont="1"/>
    <xf numFmtId="9" fontId="0" fillId="0" borderId="20" xfId="2" applyFont="1" applyFill="1" applyBorder="1" applyAlignment="1">
      <alignment horizontal="center"/>
    </xf>
    <xf numFmtId="9" fontId="0" fillId="0" borderId="20" xfId="2" applyFont="1" applyFill="1" applyBorder="1"/>
    <xf numFmtId="9" fontId="0" fillId="39" borderId="0" xfId="2" applyFont="1" applyFill="1" applyBorder="1"/>
    <xf numFmtId="2" fontId="0" fillId="39" borderId="0" xfId="0" applyNumberFormat="1" applyFill="1"/>
    <xf numFmtId="0" fontId="0" fillId="40" borderId="51" xfId="0" applyFill="1" applyBorder="1"/>
    <xf numFmtId="9" fontId="0" fillId="41" borderId="0" xfId="2" applyFont="1" applyFill="1"/>
    <xf numFmtId="9" fontId="0" fillId="34" borderId="0" xfId="0" applyNumberFormat="1" applyFill="1"/>
    <xf numFmtId="9" fontId="0" fillId="41" borderId="61" xfId="0" applyNumberFormat="1" applyFill="1" applyBorder="1"/>
    <xf numFmtId="9" fontId="0" fillId="41" borderId="0" xfId="0" applyNumberFormat="1" applyFill="1"/>
    <xf numFmtId="9" fontId="0" fillId="41" borderId="51" xfId="0" applyNumberFormat="1" applyFill="1" applyBorder="1"/>
    <xf numFmtId="9" fontId="0" fillId="41" borderId="62" xfId="0" applyNumberFormat="1" applyFill="1" applyBorder="1"/>
    <xf numFmtId="9" fontId="0" fillId="41" borderId="61" xfId="2" applyFont="1" applyFill="1" applyBorder="1" applyAlignment="1">
      <alignment horizontal="center"/>
    </xf>
    <xf numFmtId="9" fontId="0" fillId="41" borderId="51" xfId="2" applyFont="1" applyFill="1" applyBorder="1" applyAlignment="1">
      <alignment horizontal="center"/>
    </xf>
    <xf numFmtId="9" fontId="0" fillId="41" borderId="51" xfId="0" applyNumberFormat="1" applyFill="1" applyBorder="1" applyAlignment="1">
      <alignment horizontal="center"/>
    </xf>
    <xf numFmtId="9" fontId="0" fillId="41" borderId="62" xfId="0" applyNumberFormat="1" applyFill="1" applyBorder="1" applyAlignment="1">
      <alignment horizontal="center"/>
    </xf>
    <xf numFmtId="9" fontId="0" fillId="41" borderId="62" xfId="2" applyFont="1" applyFill="1" applyBorder="1" applyAlignment="1">
      <alignment horizontal="center"/>
    </xf>
    <xf numFmtId="0" fontId="0" fillId="41" borderId="0" xfId="0" applyFill="1"/>
    <xf numFmtId="9" fontId="0" fillId="40" borderId="61" xfId="0" applyNumberFormat="1" applyFill="1" applyBorder="1" applyAlignment="1">
      <alignment horizontal="center"/>
    </xf>
    <xf numFmtId="0" fontId="39" fillId="0" borderId="1" xfId="295" applyFont="1" applyBorder="1"/>
    <xf numFmtId="0" fontId="39" fillId="0" borderId="0" xfId="295" applyFont="1"/>
    <xf numFmtId="0" fontId="62" fillId="0" borderId="20" xfId="295" applyFont="1" applyBorder="1" applyAlignment="1">
      <alignment horizontal="centerContinuous" vertical="center" wrapText="1"/>
    </xf>
    <xf numFmtId="0" fontId="62" fillId="0" borderId="20" xfId="295" applyFont="1" applyBorder="1" applyAlignment="1">
      <alignment horizontal="center" vertical="center" wrapText="1"/>
    </xf>
    <xf numFmtId="0" fontId="63" fillId="0" borderId="20" xfId="295" applyFont="1" applyBorder="1"/>
    <xf numFmtId="0" fontId="63" fillId="0" borderId="20" xfId="295" applyFont="1" applyBorder="1" applyAlignment="1">
      <alignment horizontal="center"/>
    </xf>
    <xf numFmtId="168" fontId="63" fillId="0" borderId="20" xfId="4" applyFont="1" applyBorder="1"/>
    <xf numFmtId="190" fontId="63" fillId="0" borderId="20" xfId="91" applyNumberFormat="1" applyFont="1" applyBorder="1" applyAlignment="1">
      <alignment horizontal="right"/>
    </xf>
    <xf numFmtId="177" fontId="63" fillId="0" borderId="20" xfId="91" applyNumberFormat="1" applyFont="1" applyBorder="1" applyAlignment="1">
      <alignment horizontal="right"/>
    </xf>
    <xf numFmtId="185" fontId="63" fillId="0" borderId="20" xfId="295" applyNumberFormat="1" applyFont="1" applyBorder="1"/>
    <xf numFmtId="182" fontId="63" fillId="0" borderId="20" xfId="91" applyNumberFormat="1" applyFont="1" applyBorder="1" applyAlignment="1">
      <alignment horizontal="right"/>
    </xf>
    <xf numFmtId="165" fontId="63" fillId="0" borderId="20" xfId="295" applyNumberFormat="1" applyFont="1" applyBorder="1"/>
    <xf numFmtId="0" fontId="0" fillId="0" borderId="67" xfId="0" applyBorder="1"/>
    <xf numFmtId="0" fontId="0" fillId="0" borderId="68" xfId="0" applyBorder="1" applyAlignment="1">
      <alignment horizontal="center"/>
    </xf>
    <xf numFmtId="0" fontId="0" fillId="0" borderId="68" xfId="0" applyBorder="1"/>
    <xf numFmtId="0" fontId="0" fillId="0" borderId="69" xfId="0" applyBorder="1" applyAlignment="1">
      <alignment horizontal="center"/>
    </xf>
    <xf numFmtId="0" fontId="0" fillId="0" borderId="69" xfId="0" applyBorder="1"/>
    <xf numFmtId="0" fontId="0" fillId="0" borderId="20" xfId="0" applyBorder="1" applyAlignment="1">
      <alignment horizontal="center" wrapText="1"/>
    </xf>
    <xf numFmtId="171" fontId="0" fillId="0" borderId="20" xfId="0" applyNumberFormat="1" applyBorder="1" applyAlignment="1">
      <alignment horizontal="center"/>
    </xf>
    <xf numFmtId="0" fontId="0" fillId="0" borderId="37" xfId="0" applyBorder="1"/>
    <xf numFmtId="0" fontId="0" fillId="0" borderId="22" xfId="0" applyBorder="1" applyAlignment="1">
      <alignment horizontal="center"/>
    </xf>
    <xf numFmtId="0" fontId="0" fillId="0" borderId="23" xfId="0" applyBorder="1" applyAlignment="1">
      <alignment horizontal="center" wrapText="1"/>
    </xf>
    <xf numFmtId="9" fontId="0" fillId="0" borderId="23" xfId="2" applyFont="1" applyBorder="1" applyAlignment="1">
      <alignment horizontal="center"/>
    </xf>
    <xf numFmtId="0" fontId="0" fillId="0" borderId="25" xfId="0" applyBorder="1" applyAlignment="1">
      <alignment horizontal="center"/>
    </xf>
    <xf numFmtId="0" fontId="6" fillId="0" borderId="36" xfId="0" applyFont="1" applyBorder="1" applyAlignment="1">
      <alignment horizontal="left"/>
    </xf>
    <xf numFmtId="0" fontId="0" fillId="0" borderId="66" xfId="0" applyBorder="1" applyAlignment="1">
      <alignment horizontal="left"/>
    </xf>
    <xf numFmtId="39" fontId="0" fillId="0" borderId="20" xfId="0" applyNumberFormat="1" applyBorder="1"/>
    <xf numFmtId="2" fontId="0" fillId="0" borderId="37" xfId="0" applyNumberFormat="1" applyBorder="1"/>
    <xf numFmtId="2" fontId="0" fillId="0" borderId="21" xfId="0" applyNumberFormat="1" applyBorder="1"/>
    <xf numFmtId="2" fontId="0" fillId="0" borderId="23" xfId="0" applyNumberFormat="1" applyBorder="1"/>
    <xf numFmtId="39" fontId="0" fillId="0" borderId="23" xfId="0" applyNumberFormat="1" applyBorder="1"/>
    <xf numFmtId="39" fontId="0" fillId="0" borderId="24" xfId="1" applyNumberFormat="1" applyFont="1" applyFill="1" applyBorder="1" applyAlignment="1">
      <alignment horizontal="right" wrapText="1"/>
    </xf>
    <xf numFmtId="0" fontId="62" fillId="27" borderId="70" xfId="0" applyFont="1" applyFill="1" applyBorder="1" applyAlignment="1">
      <alignment vertical="center" wrapText="1"/>
    </xf>
    <xf numFmtId="0" fontId="62" fillId="27" borderId="71" xfId="0" applyFont="1" applyFill="1" applyBorder="1" applyAlignment="1">
      <alignment vertical="center" wrapText="1"/>
    </xf>
    <xf numFmtId="39" fontId="0" fillId="0" borderId="22" xfId="1" applyNumberFormat="1" applyFont="1" applyBorder="1" applyAlignment="1">
      <alignment horizontal="right" wrapText="1"/>
    </xf>
    <xf numFmtId="39" fontId="0" fillId="0" borderId="22" xfId="1" applyNumberFormat="1" applyFont="1" applyFill="1" applyBorder="1" applyAlignment="1">
      <alignment horizontal="right" wrapText="1"/>
    </xf>
    <xf numFmtId="39" fontId="0" fillId="0" borderId="23" xfId="1" applyNumberFormat="1" applyFont="1" applyFill="1" applyBorder="1" applyAlignment="1">
      <alignment horizontal="right" wrapText="1"/>
    </xf>
    <xf numFmtId="39" fontId="0" fillId="0" borderId="27" xfId="1" applyNumberFormat="1" applyFont="1" applyFill="1" applyBorder="1" applyAlignment="1">
      <alignment horizontal="right" wrapText="1"/>
    </xf>
    <xf numFmtId="0" fontId="62" fillId="28" borderId="30" xfId="0" applyFont="1" applyFill="1" applyBorder="1" applyAlignment="1">
      <alignment horizontal="left" vertical="center" wrapText="1"/>
    </xf>
    <xf numFmtId="0" fontId="62" fillId="27" borderId="31" xfId="0" applyFont="1" applyFill="1" applyBorder="1" applyAlignment="1">
      <alignment horizontal="left" vertical="center" wrapText="1"/>
    </xf>
    <xf numFmtId="0" fontId="6" fillId="0" borderId="0" xfId="87" applyFont="1" applyBorder="1" applyAlignment="1"/>
    <xf numFmtId="0" fontId="6" fillId="0" borderId="68" xfId="0" applyFont="1" applyBorder="1" applyAlignment="1">
      <alignment horizontal="left"/>
    </xf>
    <xf numFmtId="0" fontId="0" fillId="0" borderId="72" xfId="0" applyBorder="1"/>
    <xf numFmtId="0" fontId="6" fillId="0" borderId="73" xfId="122" applyFont="1" applyBorder="1">
      <alignment wrapText="1"/>
    </xf>
    <xf numFmtId="0" fontId="6" fillId="0" borderId="74" xfId="122" applyFont="1" applyBorder="1">
      <alignment wrapText="1"/>
    </xf>
    <xf numFmtId="0" fontId="6" fillId="0" borderId="59" xfId="0" applyFont="1" applyBorder="1"/>
    <xf numFmtId="0" fontId="6" fillId="0" borderId="5" xfId="87" applyFont="1" applyAlignment="1"/>
    <xf numFmtId="0" fontId="6" fillId="0" borderId="61" xfId="0" applyFont="1" applyBorder="1"/>
    <xf numFmtId="0" fontId="6" fillId="0" borderId="51" xfId="0" applyFont="1" applyBorder="1"/>
    <xf numFmtId="2" fontId="0" fillId="0" borderId="51" xfId="0" applyNumberFormat="1" applyBorder="1"/>
    <xf numFmtId="2" fontId="0" fillId="0" borderId="62" xfId="0" applyNumberFormat="1" applyBorder="1"/>
    <xf numFmtId="0" fontId="39" fillId="0" borderId="20" xfId="0" applyFont="1" applyBorder="1" applyAlignment="1">
      <alignment horizontal="left" indent="2"/>
    </xf>
    <xf numFmtId="39" fontId="0" fillId="0" borderId="37" xfId="0" applyNumberFormat="1" applyBorder="1"/>
    <xf numFmtId="2" fontId="0" fillId="0" borderId="20" xfId="0" applyNumberFormat="1" applyBorder="1" applyAlignment="1">
      <alignment wrapText="1"/>
    </xf>
    <xf numFmtId="2" fontId="66" fillId="0" borderId="20" xfId="0" applyNumberFormat="1" applyFont="1" applyBorder="1" applyAlignment="1">
      <alignment wrapText="1"/>
    </xf>
    <xf numFmtId="0" fontId="62" fillId="27" borderId="24" xfId="0" applyFont="1" applyFill="1" applyBorder="1" applyAlignment="1">
      <alignment horizontal="center" vertical="center" wrapText="1"/>
    </xf>
    <xf numFmtId="0" fontId="62" fillId="27" borderId="36" xfId="0" applyFont="1" applyFill="1" applyBorder="1" applyAlignment="1">
      <alignment horizontal="center" vertical="center" wrapText="1"/>
    </xf>
    <xf numFmtId="2" fontId="0" fillId="0" borderId="22" xfId="0" applyNumberFormat="1" applyBorder="1" applyAlignment="1">
      <alignment wrapText="1"/>
    </xf>
    <xf numFmtId="0" fontId="62" fillId="27" borderId="75" xfId="0" applyFont="1" applyFill="1" applyBorder="1" applyAlignment="1">
      <alignment vertical="center" wrapText="1"/>
    </xf>
    <xf numFmtId="39" fontId="0" fillId="0" borderId="63" xfId="0" applyNumberFormat="1" applyBorder="1"/>
    <xf numFmtId="2" fontId="0" fillId="0" borderId="63" xfId="0" applyNumberFormat="1" applyBorder="1"/>
    <xf numFmtId="2" fontId="0" fillId="0" borderId="24" xfId="0" applyNumberFormat="1" applyBorder="1"/>
    <xf numFmtId="39" fontId="0" fillId="0" borderId="24" xfId="0" applyNumberFormat="1" applyBorder="1"/>
    <xf numFmtId="2" fontId="66" fillId="0" borderId="22" xfId="0" applyNumberFormat="1" applyFont="1" applyBorder="1" applyAlignment="1">
      <alignment wrapText="1"/>
    </xf>
    <xf numFmtId="2" fontId="0" fillId="0" borderId="36" xfId="0" applyNumberFormat="1" applyBorder="1"/>
    <xf numFmtId="2" fontId="0" fillId="0" borderId="22" xfId="0" applyNumberFormat="1" applyBorder="1"/>
    <xf numFmtId="39" fontId="0" fillId="0" borderId="22" xfId="0" applyNumberFormat="1" applyBorder="1"/>
    <xf numFmtId="39" fontId="0" fillId="0" borderId="36" xfId="0" applyNumberFormat="1" applyBorder="1"/>
    <xf numFmtId="2" fontId="66" fillId="0" borderId="24" xfId="0" applyNumberFormat="1" applyFont="1" applyBorder="1" applyAlignment="1">
      <alignment wrapText="1"/>
    </xf>
    <xf numFmtId="0" fontId="62" fillId="27" borderId="21" xfId="0" applyFont="1" applyFill="1" applyBorder="1" applyAlignment="1">
      <alignment vertical="center" wrapText="1"/>
    </xf>
    <xf numFmtId="0" fontId="39" fillId="44" borderId="20" xfId="0" applyFont="1" applyFill="1" applyBorder="1" applyAlignment="1">
      <alignment horizontal="left" indent="2"/>
    </xf>
    <xf numFmtId="0" fontId="63" fillId="0" borderId="20" xfId="0" applyFont="1" applyBorder="1" applyAlignment="1">
      <alignment horizontal="left" vertical="center" indent="1"/>
    </xf>
    <xf numFmtId="0" fontId="39" fillId="0" borderId="20" xfId="0" applyFont="1" applyBorder="1" applyAlignment="1">
      <alignment horizontal="left" vertical="center" indent="2"/>
    </xf>
    <xf numFmtId="0" fontId="62" fillId="43" borderId="20" xfId="0" applyFont="1" applyFill="1" applyBorder="1" applyAlignment="1">
      <alignment horizontal="left" vertical="center"/>
    </xf>
    <xf numFmtId="0" fontId="66" fillId="43" borderId="20" xfId="0" applyFont="1" applyFill="1" applyBorder="1" applyAlignment="1">
      <alignment horizontal="center" vertical="center"/>
    </xf>
    <xf numFmtId="0" fontId="66" fillId="0" borderId="20" xfId="0" applyFont="1" applyBorder="1" applyAlignment="1">
      <alignment horizontal="right" wrapText="1"/>
    </xf>
    <xf numFmtId="0" fontId="62" fillId="43" borderId="20" xfId="0" applyFont="1" applyFill="1" applyBorder="1" applyAlignment="1">
      <alignment horizontal="center" vertical="center" wrapText="1"/>
    </xf>
    <xf numFmtId="2" fontId="66" fillId="40" borderId="20" xfId="0" applyNumberFormat="1" applyFont="1" applyFill="1" applyBorder="1" applyAlignment="1">
      <alignment horizontal="right" wrapText="1"/>
    </xf>
    <xf numFmtId="0" fontId="59" fillId="35" borderId="66" xfId="0" applyFont="1" applyFill="1" applyBorder="1" applyAlignment="1">
      <alignment horizontal="left"/>
    </xf>
    <xf numFmtId="0" fontId="0" fillId="42" borderId="66" xfId="0" applyFill="1" applyBorder="1" applyAlignment="1">
      <alignment horizontal="left"/>
    </xf>
    <xf numFmtId="0" fontId="0" fillId="0" borderId="68" xfId="0" applyBorder="1" applyAlignment="1">
      <alignment horizontal="left"/>
    </xf>
    <xf numFmtId="10" fontId="0" fillId="0" borderId="0" xfId="0" applyNumberFormat="1"/>
    <xf numFmtId="10" fontId="0" fillId="0" borderId="20" xfId="0" applyNumberFormat="1" applyBorder="1"/>
    <xf numFmtId="179" fontId="0" fillId="0" borderId="0" xfId="0" applyNumberFormat="1"/>
    <xf numFmtId="2" fontId="0" fillId="0" borderId="0" xfId="0" applyNumberFormat="1"/>
    <xf numFmtId="0" fontId="0" fillId="0" borderId="32" xfId="0" applyBorder="1"/>
    <xf numFmtId="179" fontId="0" fillId="0" borderId="20" xfId="0" applyNumberFormat="1" applyBorder="1"/>
    <xf numFmtId="164" fontId="0" fillId="0" borderId="20" xfId="2" applyNumberFormat="1" applyFont="1" applyBorder="1"/>
    <xf numFmtId="0" fontId="0" fillId="0" borderId="0" xfId="0" applyAlignment="1">
      <alignment horizontal="center" vertical="center" wrapText="1"/>
    </xf>
    <xf numFmtId="11" fontId="0" fillId="0" borderId="66" xfId="0" applyNumberFormat="1" applyBorder="1"/>
    <xf numFmtId="179" fontId="0" fillId="0" borderId="66" xfId="0" applyNumberFormat="1" applyBorder="1"/>
    <xf numFmtId="0" fontId="68" fillId="0" borderId="66" xfId="0" applyFont="1" applyBorder="1"/>
    <xf numFmtId="164" fontId="0" fillId="0" borderId="66" xfId="2" applyNumberFormat="1" applyFont="1" applyBorder="1"/>
    <xf numFmtId="9" fontId="0" fillId="0" borderId="66" xfId="0" applyNumberFormat="1" applyBorder="1" applyAlignment="1">
      <alignment horizontal="center"/>
    </xf>
    <xf numFmtId="171" fontId="0" fillId="0" borderId="0" xfId="0" applyNumberFormat="1"/>
    <xf numFmtId="164" fontId="0" fillId="41" borderId="20" xfId="2" applyNumberFormat="1" applyFont="1" applyFill="1" applyBorder="1" applyAlignment="1">
      <alignment horizontal="center"/>
    </xf>
    <xf numFmtId="0" fontId="0" fillId="41" borderId="66" xfId="0" applyFill="1" applyBorder="1" applyAlignment="1">
      <alignment horizontal="left"/>
    </xf>
    <xf numFmtId="0" fontId="0" fillId="42" borderId="66" xfId="0" applyFill="1" applyBorder="1" applyAlignment="1">
      <alignment horizontal="center"/>
    </xf>
    <xf numFmtId="9" fontId="0" fillId="42" borderId="66" xfId="0" applyNumberFormat="1" applyFill="1" applyBorder="1" applyAlignment="1">
      <alignment horizontal="center"/>
    </xf>
    <xf numFmtId="9" fontId="0" fillId="42" borderId="20" xfId="2" applyFont="1" applyFill="1" applyBorder="1" applyAlignment="1">
      <alignment horizontal="center"/>
    </xf>
    <xf numFmtId="0" fontId="6" fillId="0" borderId="66" xfId="0" applyFont="1" applyBorder="1" applyAlignment="1">
      <alignment horizontal="left"/>
    </xf>
    <xf numFmtId="0" fontId="6" fillId="37" borderId="77" xfId="0" applyFont="1" applyFill="1" applyBorder="1" applyAlignment="1">
      <alignment horizontal="center" vertical="center"/>
    </xf>
    <xf numFmtId="0" fontId="6" fillId="37" borderId="76" xfId="0" applyFont="1" applyFill="1" applyBorder="1" applyAlignment="1">
      <alignment horizontal="center" vertical="center" wrapText="1"/>
    </xf>
    <xf numFmtId="0" fontId="6" fillId="37" borderId="67" xfId="0" applyFont="1" applyFill="1" applyBorder="1" applyAlignment="1">
      <alignment horizontal="center" vertical="center" wrapText="1"/>
    </xf>
    <xf numFmtId="2" fontId="0" fillId="37" borderId="66" xfId="0" applyNumberFormat="1" applyFill="1" applyBorder="1" applyAlignment="1">
      <alignment horizontal="center"/>
    </xf>
    <xf numFmtId="172" fontId="0" fillId="0" borderId="0" xfId="0" applyNumberFormat="1"/>
    <xf numFmtId="197" fontId="0" fillId="0" borderId="79" xfId="393" applyNumberFormat="1" applyFont="1" applyAlignment="1">
      <alignment horizontal="right" wrapText="1"/>
    </xf>
    <xf numFmtId="197" fontId="67" fillId="42" borderId="79" xfId="393" applyNumberFormat="1" applyFont="1" applyFill="1" applyAlignment="1">
      <alignment horizontal="right" wrapText="1"/>
    </xf>
    <xf numFmtId="0" fontId="0" fillId="45" borderId="20" xfId="0" applyFill="1" applyBorder="1" applyAlignment="1">
      <alignment horizontal="center"/>
    </xf>
    <xf numFmtId="9" fontId="0" fillId="45" borderId="0" xfId="0" applyNumberFormat="1" applyFill="1"/>
    <xf numFmtId="0" fontId="63" fillId="0" borderId="20" xfId="0" applyFont="1" applyBorder="1" applyAlignment="1">
      <alignment horizontal="center"/>
    </xf>
    <xf numFmtId="0" fontId="63" fillId="45" borderId="20" xfId="0" applyFont="1" applyFill="1" applyBorder="1" applyAlignment="1">
      <alignment horizontal="center"/>
    </xf>
    <xf numFmtId="164" fontId="67" fillId="42" borderId="79" xfId="393" applyNumberFormat="1" applyFont="1" applyFill="1" applyAlignment="1">
      <alignment horizontal="right" wrapText="1"/>
    </xf>
    <xf numFmtId="0" fontId="59" fillId="35" borderId="76" xfId="0" applyFont="1" applyFill="1" applyBorder="1"/>
    <xf numFmtId="165" fontId="0" fillId="0" borderId="76" xfId="1" applyNumberFormat="1" applyFont="1" applyFill="1" applyBorder="1" applyAlignment="1">
      <alignment horizontal="center"/>
    </xf>
    <xf numFmtId="0" fontId="6" fillId="37" borderId="84" xfId="0" applyFont="1" applyFill="1" applyBorder="1" applyAlignment="1">
      <alignment horizontal="center" vertical="center"/>
    </xf>
    <xf numFmtId="0" fontId="6" fillId="37" borderId="83" xfId="0" applyFont="1" applyFill="1" applyBorder="1" applyAlignment="1">
      <alignment horizontal="center" vertical="center"/>
    </xf>
    <xf numFmtId="2" fontId="0" fillId="0" borderId="83" xfId="0" applyNumberFormat="1" applyBorder="1" applyAlignment="1">
      <alignment horizontal="center"/>
    </xf>
    <xf numFmtId="2" fontId="0" fillId="0" borderId="84" xfId="0" applyNumberFormat="1" applyBorder="1" applyAlignment="1">
      <alignment horizontal="center"/>
    </xf>
    <xf numFmtId="2" fontId="0" fillId="0" borderId="86" xfId="0" applyNumberFormat="1" applyBorder="1" applyAlignment="1">
      <alignment horizontal="center"/>
    </xf>
    <xf numFmtId="2" fontId="0" fillId="0" borderId="87" xfId="0" applyNumberFormat="1" applyBorder="1" applyAlignment="1">
      <alignment horizontal="center"/>
    </xf>
    <xf numFmtId="2" fontId="0" fillId="0" borderId="88" xfId="0" applyNumberFormat="1" applyBorder="1" applyAlignment="1">
      <alignment horizontal="center"/>
    </xf>
    <xf numFmtId="0" fontId="6" fillId="37" borderId="76" xfId="0" applyFont="1" applyFill="1" applyBorder="1" applyAlignment="1">
      <alignment horizontal="center"/>
    </xf>
    <xf numFmtId="0" fontId="6" fillId="37" borderId="67" xfId="0" applyFont="1" applyFill="1" applyBorder="1" applyAlignment="1">
      <alignment horizontal="center"/>
    </xf>
    <xf numFmtId="172" fontId="0" fillId="0" borderId="67" xfId="0" applyNumberFormat="1" applyBorder="1" applyAlignment="1">
      <alignment horizontal="center"/>
    </xf>
    <xf numFmtId="0" fontId="59" fillId="35" borderId="68" xfId="0" applyFont="1" applyFill="1" applyBorder="1"/>
    <xf numFmtId="172" fontId="0" fillId="0" borderId="69" xfId="0" applyNumberFormat="1" applyBorder="1"/>
    <xf numFmtId="0" fontId="6" fillId="37" borderId="83" xfId="0" applyFont="1" applyFill="1" applyBorder="1" applyAlignment="1">
      <alignment horizontal="center"/>
    </xf>
    <xf numFmtId="0" fontId="6" fillId="37" borderId="84" xfId="0" applyFont="1" applyFill="1" applyBorder="1" applyAlignment="1">
      <alignment horizontal="center" vertical="center" wrapText="1"/>
    </xf>
    <xf numFmtId="172" fontId="0" fillId="0" borderId="83" xfId="0" applyNumberFormat="1" applyBorder="1" applyAlignment="1">
      <alignment horizontal="center"/>
    </xf>
    <xf numFmtId="172" fontId="0" fillId="0" borderId="84" xfId="0" applyNumberFormat="1" applyBorder="1" applyAlignment="1">
      <alignment horizontal="center"/>
    </xf>
    <xf numFmtId="172" fontId="0" fillId="0" borderId="86" xfId="0" applyNumberFormat="1" applyBorder="1" applyAlignment="1">
      <alignment horizontal="center"/>
    </xf>
    <xf numFmtId="172" fontId="0" fillId="0" borderId="87" xfId="0" applyNumberFormat="1" applyBorder="1" applyAlignment="1">
      <alignment horizontal="center"/>
    </xf>
    <xf numFmtId="172" fontId="0" fillId="0" borderId="88" xfId="0" applyNumberFormat="1" applyBorder="1" applyAlignment="1">
      <alignment horizontal="center"/>
    </xf>
    <xf numFmtId="172" fontId="0" fillId="0" borderId="76" xfId="0" applyNumberFormat="1" applyBorder="1" applyAlignment="1">
      <alignment horizontal="center"/>
    </xf>
    <xf numFmtId="165" fontId="0" fillId="0" borderId="67" xfId="0" applyNumberFormat="1" applyBorder="1"/>
    <xf numFmtId="0" fontId="59" fillId="38" borderId="92" xfId="0" applyFont="1" applyFill="1" applyBorder="1" applyAlignment="1">
      <alignment horizontal="center" vertical="center"/>
    </xf>
    <xf numFmtId="0" fontId="6" fillId="37" borderId="93" xfId="0" applyFont="1" applyFill="1" applyBorder="1" applyAlignment="1">
      <alignment horizontal="center" vertical="center" wrapText="1"/>
    </xf>
    <xf numFmtId="164" fontId="0" fillId="0" borderId="93" xfId="0" applyNumberFormat="1" applyBorder="1" applyAlignment="1">
      <alignment horizontal="center"/>
    </xf>
    <xf numFmtId="164" fontId="0" fillId="0" borderId="94" xfId="0" applyNumberFormat="1" applyBorder="1" applyAlignment="1">
      <alignment horizontal="center"/>
    </xf>
    <xf numFmtId="39" fontId="0" fillId="0" borderId="30" xfId="1" applyNumberFormat="1" applyFont="1" applyBorder="1" applyAlignment="1">
      <alignment horizontal="right" wrapText="1"/>
    </xf>
    <xf numFmtId="39" fontId="0" fillId="0" borderId="30" xfId="1" applyNumberFormat="1" applyFont="1" applyFill="1" applyBorder="1" applyAlignment="1">
      <alignment horizontal="right" wrapText="1"/>
    </xf>
    <xf numFmtId="39" fontId="0" fillId="0" borderId="95" xfId="1" applyNumberFormat="1" applyFont="1" applyFill="1" applyBorder="1" applyAlignment="1">
      <alignment horizontal="right" wrapText="1"/>
    </xf>
    <xf numFmtId="39" fontId="0" fillId="0" borderId="96" xfId="1" applyNumberFormat="1" applyFont="1" applyFill="1" applyBorder="1" applyAlignment="1">
      <alignment horizontal="right" wrapText="1"/>
    </xf>
    <xf numFmtId="39" fontId="0" fillId="0" borderId="97" xfId="1" applyNumberFormat="1" applyFont="1" applyFill="1" applyBorder="1" applyAlignment="1">
      <alignment horizontal="right" wrapText="1"/>
    </xf>
    <xf numFmtId="39" fontId="0" fillId="0" borderId="96" xfId="0" applyNumberFormat="1" applyBorder="1"/>
    <xf numFmtId="39" fontId="0" fillId="0" borderId="30" xfId="0" applyNumberFormat="1" applyBorder="1"/>
    <xf numFmtId="39" fontId="0" fillId="0" borderId="95" xfId="0" applyNumberFormat="1" applyBorder="1"/>
    <xf numFmtId="39" fontId="0" fillId="0" borderId="97" xfId="0" applyNumberFormat="1" applyBorder="1"/>
    <xf numFmtId="10" fontId="0" fillId="0" borderId="66" xfId="0" applyNumberFormat="1" applyBorder="1"/>
    <xf numFmtId="0" fontId="0" fillId="0" borderId="63" xfId="0" applyBorder="1"/>
    <xf numFmtId="0" fontId="0" fillId="0" borderId="24" xfId="0" applyBorder="1" applyAlignment="1">
      <alignment horizontal="center" wrapText="1"/>
    </xf>
    <xf numFmtId="0" fontId="0" fillId="0" borderId="24" xfId="0" applyBorder="1" applyAlignment="1">
      <alignment horizontal="center"/>
    </xf>
    <xf numFmtId="9" fontId="0" fillId="0" borderId="24" xfId="2" applyFont="1" applyBorder="1" applyAlignment="1">
      <alignment horizontal="center"/>
    </xf>
    <xf numFmtId="164" fontId="0" fillId="0" borderId="67" xfId="2" applyNumberFormat="1" applyFont="1" applyBorder="1"/>
    <xf numFmtId="9" fontId="0" fillId="0" borderId="20" xfId="0" applyNumberFormat="1" applyBorder="1" applyAlignment="1">
      <alignment horizontal="center"/>
    </xf>
    <xf numFmtId="0" fontId="59" fillId="35" borderId="15" xfId="0" applyFont="1" applyFill="1" applyBorder="1" applyAlignment="1">
      <alignment horizontal="center"/>
    </xf>
    <xf numFmtId="0" fontId="59" fillId="38" borderId="77" xfId="0" applyFont="1" applyFill="1" applyBorder="1" applyAlignment="1">
      <alignment horizontal="center" vertical="center"/>
    </xf>
    <xf numFmtId="2" fontId="0" fillId="0" borderId="77" xfId="0" applyNumberFormat="1" applyBorder="1" applyAlignment="1">
      <alignment horizontal="center"/>
    </xf>
    <xf numFmtId="2" fontId="0" fillId="0" borderId="99" xfId="0" applyNumberFormat="1" applyBorder="1" applyAlignment="1">
      <alignment horizontal="center"/>
    </xf>
    <xf numFmtId="0" fontId="39" fillId="0" borderId="30" xfId="0" applyFont="1" applyBorder="1" applyAlignment="1">
      <alignment horizontal="left" indent="2"/>
    </xf>
    <xf numFmtId="0" fontId="63" fillId="0" borderId="36" xfId="0" applyFont="1" applyBorder="1" applyAlignment="1">
      <alignment horizontal="left" vertical="center" wrapText="1" indent="1"/>
    </xf>
    <xf numFmtId="0" fontId="39" fillId="0" borderId="22" xfId="0" applyFont="1" applyBorder="1" applyAlignment="1">
      <alignment horizontal="left" vertical="center" wrapText="1" indent="2"/>
    </xf>
    <xf numFmtId="0" fontId="39" fillId="0" borderId="22" xfId="0" applyFont="1" applyBorder="1" applyAlignment="1">
      <alignment horizontal="left" indent="2"/>
    </xf>
    <xf numFmtId="0" fontId="39" fillId="0" borderId="96" xfId="0" applyFont="1" applyBorder="1" applyAlignment="1">
      <alignment horizontal="left" indent="2"/>
    </xf>
    <xf numFmtId="0" fontId="63" fillId="0" borderId="70" xfId="0" applyFont="1" applyBorder="1" applyAlignment="1">
      <alignment horizontal="left" vertical="center" wrapText="1" indent="1"/>
    </xf>
    <xf numFmtId="0" fontId="39" fillId="0" borderId="101" xfId="0" applyFont="1" applyBorder="1" applyAlignment="1">
      <alignment horizontal="left" vertical="center" wrapText="1" indent="2"/>
    </xf>
    <xf numFmtId="0" fontId="39" fillId="0" borderId="101" xfId="0" applyFont="1" applyBorder="1" applyAlignment="1">
      <alignment horizontal="left" indent="2"/>
    </xf>
    <xf numFmtId="0" fontId="39" fillId="0" borderId="102" xfId="0" applyFont="1" applyBorder="1" applyAlignment="1">
      <alignment horizontal="left" indent="2"/>
    </xf>
    <xf numFmtId="0" fontId="39" fillId="0" borderId="24" xfId="0" applyFont="1" applyBorder="1" applyAlignment="1">
      <alignment horizontal="left" indent="2"/>
    </xf>
    <xf numFmtId="39" fontId="0" fillId="0" borderId="21" xfId="0" applyNumberFormat="1" applyBorder="1"/>
    <xf numFmtId="2" fontId="0" fillId="0" borderId="25" xfId="0" applyNumberFormat="1" applyBorder="1"/>
    <xf numFmtId="2" fontId="0" fillId="0" borderId="26" xfId="0" applyNumberFormat="1" applyBorder="1"/>
    <xf numFmtId="2" fontId="0" fillId="0" borderId="27" xfId="0" applyNumberFormat="1" applyBorder="1"/>
    <xf numFmtId="0" fontId="0" fillId="0" borderId="25" xfId="0" applyBorder="1"/>
    <xf numFmtId="0" fontId="0" fillId="0" borderId="26" xfId="0" applyBorder="1"/>
    <xf numFmtId="0" fontId="0" fillId="0" borderId="2" xfId="0" applyBorder="1" applyAlignment="1">
      <alignment horizontal="center"/>
    </xf>
    <xf numFmtId="164" fontId="3" fillId="46" borderId="20" xfId="2" applyNumberFormat="1" applyFont="1" applyFill="1" applyBorder="1" applyAlignment="1">
      <alignment horizontal="center" vertical="center" wrapText="1"/>
    </xf>
    <xf numFmtId="2" fontId="72" fillId="47" borderId="20" xfId="2" applyNumberFormat="1" applyFont="1" applyFill="1" applyBorder="1" applyAlignment="1">
      <alignment horizontal="center"/>
    </xf>
    <xf numFmtId="0" fontId="72" fillId="46" borderId="20" xfId="0" applyFont="1" applyFill="1" applyBorder="1" applyAlignment="1">
      <alignment horizontal="center"/>
    </xf>
    <xf numFmtId="164" fontId="10" fillId="47" borderId="20" xfId="2" applyNumberFormat="1" applyFont="1" applyFill="1" applyBorder="1" applyAlignment="1">
      <alignment horizontal="center"/>
    </xf>
    <xf numFmtId="9" fontId="10" fillId="46" borderId="20" xfId="2" applyFont="1" applyFill="1" applyBorder="1" applyAlignment="1">
      <alignment horizontal="center"/>
    </xf>
    <xf numFmtId="9" fontId="10" fillId="48" borderId="20" xfId="2" applyFont="1" applyFill="1" applyBorder="1" applyAlignment="1">
      <alignment horizontal="center"/>
    </xf>
    <xf numFmtId="164" fontId="72" fillId="48" borderId="20" xfId="2" applyNumberFormat="1" applyFont="1" applyFill="1" applyBorder="1" applyAlignment="1">
      <alignment horizontal="center"/>
    </xf>
    <xf numFmtId="195" fontId="3" fillId="0" borderId="0" xfId="392" applyNumberFormat="1"/>
    <xf numFmtId="195" fontId="3" fillId="0" borderId="0" xfId="392" applyNumberFormat="1" applyAlignment="1">
      <alignment horizontal="right"/>
    </xf>
    <xf numFmtId="0" fontId="0" fillId="0" borderId="3" xfId="0" applyBorder="1"/>
    <xf numFmtId="195" fontId="3" fillId="0" borderId="3" xfId="392" applyNumberFormat="1" applyBorder="1"/>
    <xf numFmtId="195" fontId="3" fillId="0" borderId="46" xfId="392" applyNumberFormat="1" applyBorder="1" applyAlignment="1">
      <alignment horizontal="right"/>
    </xf>
    <xf numFmtId="195" fontId="3" fillId="0" borderId="34" xfId="392" applyNumberFormat="1" applyBorder="1" applyAlignment="1">
      <alignment horizontal="right"/>
    </xf>
    <xf numFmtId="0" fontId="0" fillId="0" borderId="34" xfId="0" applyBorder="1" applyAlignment="1">
      <alignment horizontal="center"/>
    </xf>
    <xf numFmtId="9" fontId="0" fillId="41" borderId="107" xfId="2" applyFont="1" applyFill="1" applyBorder="1"/>
    <xf numFmtId="0" fontId="0" fillId="0" borderId="98" xfId="0" applyBorder="1"/>
    <xf numFmtId="0" fontId="0" fillId="0" borderId="102" xfId="0" applyBorder="1"/>
    <xf numFmtId="0" fontId="0" fillId="0" borderId="95" xfId="0" applyBorder="1"/>
    <xf numFmtId="0" fontId="63" fillId="0" borderId="35" xfId="164" applyFont="1" applyBorder="1" applyAlignment="1">
      <alignment horizontal="left"/>
    </xf>
    <xf numFmtId="195" fontId="3" fillId="0" borderId="0" xfId="164" applyNumberFormat="1"/>
    <xf numFmtId="195" fontId="3" fillId="0" borderId="45" xfId="164" applyNumberFormat="1" applyBorder="1"/>
    <xf numFmtId="195" fontId="3" fillId="0" borderId="1" xfId="164" applyNumberFormat="1" applyBorder="1"/>
    <xf numFmtId="0" fontId="2" fillId="0" borderId="41" xfId="262" applyFont="1" applyBorder="1" applyAlignment="1">
      <alignment horizontal="center" vertical="center" wrapText="1"/>
    </xf>
    <xf numFmtId="0" fontId="3" fillId="0" borderId="2" xfId="262" applyBorder="1"/>
    <xf numFmtId="190" fontId="3" fillId="0" borderId="34" xfId="262" applyNumberFormat="1" applyBorder="1" applyAlignment="1">
      <alignment horizontal="right"/>
    </xf>
    <xf numFmtId="9" fontId="0" fillId="41" borderId="20" xfId="2" applyFont="1" applyFill="1" applyBorder="1" applyAlignment="1">
      <alignment horizontal="center"/>
    </xf>
    <xf numFmtId="164" fontId="0" fillId="0" borderId="66" xfId="2" applyNumberFormat="1" applyFont="1" applyBorder="1" applyAlignment="1">
      <alignment horizontal="center"/>
    </xf>
    <xf numFmtId="0" fontId="5" fillId="0" borderId="0" xfId="262" applyFont="1"/>
    <xf numFmtId="0" fontId="3" fillId="0" borderId="0" xfId="262"/>
    <xf numFmtId="168" fontId="3" fillId="0" borderId="1" xfId="4" applyBorder="1"/>
    <xf numFmtId="167" fontId="5" fillId="0" borderId="0" xfId="262" applyNumberFormat="1" applyFont="1"/>
    <xf numFmtId="0" fontId="3" fillId="0" borderId="44" xfId="262" applyBorder="1"/>
    <xf numFmtId="0" fontId="3" fillId="0" borderId="1" xfId="262" applyBorder="1"/>
    <xf numFmtId="0" fontId="2" fillId="0" borderId="3" xfId="262" applyFont="1" applyBorder="1" applyAlignment="1">
      <alignment horizontal="center" vertical="center" wrapText="1"/>
    </xf>
    <xf numFmtId="0" fontId="2" fillId="0" borderId="42" xfId="262" applyFont="1" applyBorder="1" applyAlignment="1">
      <alignment horizontal="center" vertical="center" wrapText="1"/>
    </xf>
    <xf numFmtId="0" fontId="2" fillId="0" borderId="35" xfId="262" applyFont="1" applyBorder="1" applyAlignment="1">
      <alignment horizontal="center" vertical="center" wrapText="1"/>
    </xf>
    <xf numFmtId="0" fontId="2" fillId="0" borderId="39" xfId="262" applyFont="1" applyBorder="1" applyAlignment="1">
      <alignment horizontal="centerContinuous" vertical="center" wrapText="1"/>
    </xf>
    <xf numFmtId="0" fontId="2" fillId="0" borderId="3" xfId="262" applyFont="1" applyBorder="1" applyAlignment="1">
      <alignment horizontal="centerContinuous" vertical="center" wrapText="1"/>
    </xf>
    <xf numFmtId="0" fontId="2" fillId="0" borderId="35" xfId="262" applyFont="1" applyBorder="1" applyAlignment="1">
      <alignment horizontal="centerContinuous" vertical="center" wrapText="1"/>
    </xf>
    <xf numFmtId="0" fontId="2" fillId="0" borderId="1" xfId="262" applyFont="1" applyBorder="1" applyAlignment="1">
      <alignment horizontal="center" vertical="center" wrapText="1"/>
    </xf>
    <xf numFmtId="0" fontId="3" fillId="0" borderId="3" xfId="262" applyBorder="1"/>
    <xf numFmtId="0" fontId="3" fillId="0" borderId="42" xfId="262" applyBorder="1"/>
    <xf numFmtId="0" fontId="3" fillId="0" borderId="35" xfId="262" applyBorder="1"/>
    <xf numFmtId="49" fontId="5" fillId="0" borderId="0" xfId="262" applyNumberFormat="1" applyFont="1"/>
    <xf numFmtId="0" fontId="3" fillId="0" borderId="34" xfId="262" applyBorder="1"/>
    <xf numFmtId="0" fontId="3" fillId="0" borderId="46" xfId="262" applyBorder="1"/>
    <xf numFmtId="0" fontId="3" fillId="0" borderId="1" xfId="262" applyBorder="1" applyAlignment="1">
      <alignment horizontal="center"/>
    </xf>
    <xf numFmtId="0" fontId="3" fillId="0" borderId="45" xfId="262" applyBorder="1"/>
    <xf numFmtId="0" fontId="2" fillId="0" borderId="24" xfId="262" applyFont="1" applyBorder="1" applyAlignment="1">
      <alignment horizontal="center" vertical="center" wrapText="1"/>
    </xf>
    <xf numFmtId="49" fontId="5" fillId="0" borderId="0" xfId="262" quotePrefix="1" applyNumberFormat="1" applyFont="1"/>
    <xf numFmtId="177" fontId="3" fillId="0" borderId="2" xfId="91" applyNumberFormat="1" applyFont="1" applyBorder="1" applyAlignment="1">
      <alignment horizontal="right"/>
    </xf>
    <xf numFmtId="177" fontId="3" fillId="0" borderId="1" xfId="91" applyNumberFormat="1" applyFont="1" applyBorder="1" applyAlignment="1">
      <alignment horizontal="right"/>
    </xf>
    <xf numFmtId="177" fontId="3" fillId="0" borderId="45" xfId="91" applyNumberFormat="1" applyFont="1" applyBorder="1" applyAlignment="1">
      <alignment horizontal="right"/>
    </xf>
    <xf numFmtId="177" fontId="3" fillId="0" borderId="44" xfId="91" applyNumberFormat="1" applyFont="1" applyBorder="1" applyAlignment="1">
      <alignment horizontal="right"/>
    </xf>
    <xf numFmtId="190" fontId="3" fillId="0" borderId="0" xfId="91" applyNumberFormat="1" applyBorder="1" applyAlignment="1">
      <alignment horizontal="right"/>
    </xf>
    <xf numFmtId="190" fontId="3" fillId="0" borderId="32" xfId="91" applyNumberFormat="1" applyBorder="1" applyAlignment="1">
      <alignment horizontal="right"/>
    </xf>
    <xf numFmtId="177" fontId="3" fillId="0" borderId="32" xfId="91" applyNumberFormat="1" applyFont="1" applyBorder="1" applyAlignment="1">
      <alignment horizontal="right"/>
    </xf>
    <xf numFmtId="190" fontId="3" fillId="0" borderId="45" xfId="91" applyNumberFormat="1" applyBorder="1" applyAlignment="1">
      <alignment horizontal="right"/>
    </xf>
    <xf numFmtId="190" fontId="3" fillId="0" borderId="44" xfId="91" applyNumberFormat="1" applyBorder="1" applyAlignment="1">
      <alignment horizontal="right"/>
    </xf>
    <xf numFmtId="190" fontId="3" fillId="0" borderId="2" xfId="91" applyNumberFormat="1" applyBorder="1" applyAlignment="1">
      <alignment horizontal="right"/>
    </xf>
    <xf numFmtId="190" fontId="3" fillId="0" borderId="1" xfId="91" applyNumberFormat="1" applyBorder="1" applyAlignment="1">
      <alignment horizontal="right"/>
    </xf>
    <xf numFmtId="190" fontId="3" fillId="0" borderId="47" xfId="91" applyNumberFormat="1" applyBorder="1" applyAlignment="1">
      <alignment horizontal="right"/>
    </xf>
    <xf numFmtId="190" fontId="3" fillId="0" borderId="34" xfId="91" applyNumberFormat="1" applyBorder="1" applyAlignment="1">
      <alignment horizontal="right"/>
    </xf>
    <xf numFmtId="190" fontId="3" fillId="0" borderId="35" xfId="91" applyNumberFormat="1" applyBorder="1" applyAlignment="1">
      <alignment horizontal="right"/>
    </xf>
    <xf numFmtId="190" fontId="3" fillId="0" borderId="43" xfId="91" applyNumberFormat="1" applyBorder="1" applyAlignment="1">
      <alignment horizontal="right"/>
    </xf>
    <xf numFmtId="190" fontId="3" fillId="0" borderId="42" xfId="91" applyNumberFormat="1" applyBorder="1" applyAlignment="1">
      <alignment horizontal="right"/>
    </xf>
    <xf numFmtId="190" fontId="3" fillId="0" borderId="3" xfId="91" applyNumberFormat="1" applyBorder="1" applyAlignment="1">
      <alignment horizontal="right"/>
    </xf>
    <xf numFmtId="190" fontId="3" fillId="0" borderId="31" xfId="91" applyNumberFormat="1" applyBorder="1" applyAlignment="1">
      <alignment horizontal="right"/>
    </xf>
    <xf numFmtId="165" fontId="3" fillId="0" borderId="0" xfId="262" applyNumberFormat="1"/>
    <xf numFmtId="165" fontId="3" fillId="0" borderId="1" xfId="262" applyNumberFormat="1" applyBorder="1"/>
    <xf numFmtId="165" fontId="3" fillId="0" borderId="47" xfId="262" applyNumberFormat="1" applyBorder="1"/>
    <xf numFmtId="165" fontId="3" fillId="0" borderId="44" xfId="262" applyNumberFormat="1" applyBorder="1"/>
    <xf numFmtId="165" fontId="3" fillId="0" borderId="2" xfId="262" applyNumberFormat="1" applyBorder="1"/>
    <xf numFmtId="185" fontId="3" fillId="0" borderId="0" xfId="262" applyNumberFormat="1"/>
    <xf numFmtId="182" fontId="3" fillId="0" borderId="2" xfId="91" applyNumberFormat="1" applyFont="1" applyBorder="1" applyAlignment="1">
      <alignment horizontal="right"/>
    </xf>
    <xf numFmtId="182" fontId="3" fillId="0" borderId="1" xfId="91" applyNumberFormat="1" applyFont="1" applyBorder="1" applyAlignment="1">
      <alignment horizontal="right"/>
    </xf>
    <xf numFmtId="182" fontId="3" fillId="0" borderId="45" xfId="91" applyNumberFormat="1" applyFont="1" applyBorder="1" applyAlignment="1">
      <alignment horizontal="right"/>
    </xf>
    <xf numFmtId="182" fontId="3" fillId="0" borderId="44" xfId="91" applyNumberFormat="1" applyFont="1" applyBorder="1" applyAlignment="1">
      <alignment horizontal="right"/>
    </xf>
    <xf numFmtId="185" fontId="3" fillId="0" borderId="1" xfId="262" applyNumberFormat="1" applyBorder="1"/>
    <xf numFmtId="190" fontId="3" fillId="0" borderId="46" xfId="91" applyNumberFormat="1" applyBorder="1" applyAlignment="1">
      <alignment horizontal="right"/>
    </xf>
    <xf numFmtId="0" fontId="2" fillId="0" borderId="43" xfId="262" applyFont="1" applyBorder="1" applyAlignment="1">
      <alignment horizontal="center" vertical="center" wrapText="1"/>
    </xf>
    <xf numFmtId="0" fontId="2" fillId="0" borderId="41" xfId="262" applyFont="1" applyBorder="1" applyAlignment="1">
      <alignment horizontal="centerContinuous" vertical="center" wrapText="1"/>
    </xf>
    <xf numFmtId="0" fontId="2" fillId="0" borderId="40" xfId="262" applyFont="1" applyBorder="1" applyAlignment="1">
      <alignment horizontal="centerContinuous" vertical="center" wrapText="1"/>
    </xf>
    <xf numFmtId="199" fontId="3" fillId="0" borderId="1" xfId="91" applyNumberFormat="1" applyBorder="1" applyAlignment="1">
      <alignment horizontal="right"/>
    </xf>
    <xf numFmtId="9" fontId="10" fillId="47" borderId="20" xfId="2" applyFont="1" applyFill="1" applyBorder="1" applyAlignment="1">
      <alignment horizontal="center"/>
    </xf>
    <xf numFmtId="39" fontId="0" fillId="0" borderId="36" xfId="1" applyNumberFormat="1" applyFont="1" applyBorder="1" applyAlignment="1">
      <alignment horizontal="right" wrapText="1"/>
    </xf>
    <xf numFmtId="39" fontId="0" fillId="0" borderId="37" xfId="1" applyNumberFormat="1" applyFont="1" applyBorder="1" applyAlignment="1">
      <alignment horizontal="right" wrapText="1"/>
    </xf>
    <xf numFmtId="39" fontId="0" fillId="0" borderId="63" xfId="1" applyNumberFormat="1" applyFont="1" applyBorder="1" applyAlignment="1">
      <alignment horizontal="right" wrapText="1"/>
    </xf>
    <xf numFmtId="39" fontId="0" fillId="0" borderId="21" xfId="1" applyNumberFormat="1" applyFont="1" applyBorder="1" applyAlignment="1">
      <alignment horizontal="right" wrapText="1"/>
    </xf>
    <xf numFmtId="196" fontId="0" fillId="0" borderId="25" xfId="0" applyNumberFormat="1" applyBorder="1"/>
    <xf numFmtId="196" fontId="0" fillId="0" borderId="26" xfId="0" applyNumberFormat="1" applyBorder="1"/>
    <xf numFmtId="39" fontId="0" fillId="0" borderId="25" xfId="0" applyNumberFormat="1" applyBorder="1"/>
    <xf numFmtId="39" fontId="0" fillId="0" borderId="26" xfId="0" applyNumberFormat="1" applyBorder="1"/>
    <xf numFmtId="39" fontId="0" fillId="0" borderId="27" xfId="0" applyNumberFormat="1" applyBorder="1"/>
    <xf numFmtId="39" fontId="0" fillId="0" borderId="36" xfId="1" applyNumberFormat="1" applyFont="1" applyFill="1" applyBorder="1" applyAlignment="1">
      <alignment horizontal="right" wrapText="1"/>
    </xf>
    <xf numFmtId="39" fontId="0" fillId="0" borderId="37" xfId="1" applyNumberFormat="1" applyFont="1" applyFill="1" applyBorder="1" applyAlignment="1">
      <alignment horizontal="right" wrapText="1"/>
    </xf>
    <xf numFmtId="39" fontId="0" fillId="0" borderId="63" xfId="1" applyNumberFormat="1" applyFont="1" applyFill="1" applyBorder="1" applyAlignment="1">
      <alignment horizontal="right" wrapText="1"/>
    </xf>
    <xf numFmtId="39" fontId="0" fillId="0" borderId="21" xfId="1" applyNumberFormat="1" applyFont="1" applyFill="1" applyBorder="1" applyAlignment="1">
      <alignment horizontal="right" wrapText="1"/>
    </xf>
    <xf numFmtId="2" fontId="0" fillId="0" borderId="70" xfId="0" applyNumberFormat="1" applyBorder="1"/>
    <xf numFmtId="0" fontId="0" fillId="27" borderId="98" xfId="0" applyFill="1" applyBorder="1" applyAlignment="1">
      <alignment horizontal="center" vertical="center" wrapText="1"/>
    </xf>
    <xf numFmtId="0" fontId="0" fillId="27" borderId="30" xfId="0" applyFill="1" applyBorder="1" applyAlignment="1">
      <alignment horizontal="center" vertical="center" wrapText="1"/>
    </xf>
    <xf numFmtId="0" fontId="0" fillId="27" borderId="95" xfId="0" applyFill="1" applyBorder="1" applyAlignment="1">
      <alignment horizontal="center" vertical="center" wrapText="1"/>
    </xf>
    <xf numFmtId="0" fontId="0" fillId="27" borderId="97" xfId="0" applyFill="1" applyBorder="1" applyAlignment="1">
      <alignment horizontal="center" vertical="center"/>
    </xf>
    <xf numFmtId="39" fontId="0" fillId="0" borderId="25" xfId="1" applyNumberFormat="1" applyFont="1" applyFill="1" applyBorder="1" applyAlignment="1">
      <alignment horizontal="right" wrapText="1"/>
    </xf>
    <xf numFmtId="39" fontId="0" fillId="0" borderId="26" xfId="1" applyNumberFormat="1" applyFont="1" applyFill="1" applyBorder="1" applyAlignment="1">
      <alignment horizontal="right" wrapText="1"/>
    </xf>
    <xf numFmtId="0" fontId="63" fillId="27" borderId="96" xfId="0" applyFont="1" applyFill="1" applyBorder="1" applyAlignment="1">
      <alignment horizontal="center" vertical="center" wrapText="1"/>
    </xf>
    <xf numFmtId="0" fontId="63" fillId="27" borderId="30" xfId="0" applyFont="1" applyFill="1" applyBorder="1" applyAlignment="1">
      <alignment horizontal="center" vertical="center" wrapText="1"/>
    </xf>
    <xf numFmtId="0" fontId="63" fillId="27" borderId="95" xfId="0" applyFont="1" applyFill="1" applyBorder="1" applyAlignment="1">
      <alignment horizontal="center" vertical="center" wrapText="1"/>
    </xf>
    <xf numFmtId="0" fontId="63" fillId="27" borderId="97" xfId="0" applyFont="1" applyFill="1" applyBorder="1" applyAlignment="1">
      <alignment horizontal="center" vertical="center"/>
    </xf>
    <xf numFmtId="39" fontId="0" fillId="0" borderId="23" xfId="0" applyNumberFormat="1" applyBorder="1" applyAlignment="1">
      <alignment wrapText="1"/>
    </xf>
    <xf numFmtId="0" fontId="63" fillId="0" borderId="24" xfId="0" applyFont="1" applyBorder="1" applyAlignment="1">
      <alignment horizontal="left" vertical="center" wrapText="1" indent="1"/>
    </xf>
    <xf numFmtId="0" fontId="39" fillId="0" borderId="24" xfId="0" applyFont="1" applyBorder="1" applyAlignment="1">
      <alignment horizontal="left" vertical="center" wrapText="1" indent="2"/>
    </xf>
    <xf numFmtId="39" fontId="0" fillId="0" borderId="96" xfId="1" applyNumberFormat="1" applyFont="1" applyBorder="1" applyAlignment="1">
      <alignment horizontal="right" wrapText="1"/>
    </xf>
    <xf numFmtId="0" fontId="39" fillId="0" borderId="95" xfId="0" applyFont="1" applyBorder="1" applyAlignment="1">
      <alignment horizontal="left" indent="2"/>
    </xf>
    <xf numFmtId="39" fontId="0" fillId="0" borderId="25" xfId="1" applyNumberFormat="1" applyFont="1" applyBorder="1" applyAlignment="1">
      <alignment horizontal="right" wrapText="1"/>
    </xf>
    <xf numFmtId="39" fontId="0" fillId="0" borderId="26" xfId="1" applyNumberFormat="1" applyFont="1" applyBorder="1" applyAlignment="1">
      <alignment horizontal="right" wrapText="1"/>
    </xf>
    <xf numFmtId="0" fontId="0" fillId="27" borderId="96" xfId="0" applyFill="1" applyBorder="1" applyAlignment="1">
      <alignment horizontal="center" vertical="center" wrapText="1"/>
    </xf>
    <xf numFmtId="0" fontId="0" fillId="27" borderId="95" xfId="0" applyFill="1" applyBorder="1" applyAlignment="1">
      <alignment horizontal="center" vertical="center"/>
    </xf>
    <xf numFmtId="2" fontId="0" fillId="0" borderId="60" xfId="0" applyNumberFormat="1" applyBorder="1"/>
    <xf numFmtId="39" fontId="0" fillId="0" borderId="108" xfId="0" applyNumberFormat="1" applyBorder="1" applyAlignment="1">
      <alignment wrapText="1"/>
    </xf>
    <xf numFmtId="11" fontId="0" fillId="0" borderId="0" xfId="0" applyNumberFormat="1" applyAlignment="1">
      <alignment wrapText="1"/>
    </xf>
    <xf numFmtId="39" fontId="0" fillId="0" borderId="110" xfId="1" applyNumberFormat="1" applyFont="1" applyFill="1" applyBorder="1" applyAlignment="1">
      <alignment horizontal="right" wrapText="1"/>
    </xf>
    <xf numFmtId="0" fontId="63" fillId="0" borderId="109" xfId="0" applyFont="1" applyBorder="1" applyAlignment="1">
      <alignment horizontal="left" vertical="center" wrapText="1" indent="1"/>
    </xf>
    <xf numFmtId="0" fontId="62" fillId="27" borderId="95" xfId="0" applyFont="1" applyFill="1" applyBorder="1" applyAlignment="1">
      <alignment horizontal="center" vertical="center" wrapText="1"/>
    </xf>
    <xf numFmtId="0" fontId="62" fillId="27" borderId="103" xfId="0" applyFont="1" applyFill="1" applyBorder="1" applyAlignment="1">
      <alignment horizontal="center" vertical="center" wrapText="1"/>
    </xf>
    <xf numFmtId="0" fontId="59" fillId="35" borderId="80" xfId="0" applyFont="1" applyFill="1" applyBorder="1" applyAlignment="1">
      <alignment horizontal="center"/>
    </xf>
    <xf numFmtId="0" fontId="59" fillId="35" borderId="81" xfId="0" applyFont="1" applyFill="1" applyBorder="1" applyAlignment="1">
      <alignment horizontal="center"/>
    </xf>
    <xf numFmtId="0" fontId="59" fillId="35" borderId="82" xfId="0" applyFont="1" applyFill="1" applyBorder="1" applyAlignment="1">
      <alignment horizontal="center"/>
    </xf>
    <xf numFmtId="0" fontId="6" fillId="37" borderId="85" xfId="0" applyFont="1" applyFill="1" applyBorder="1" applyAlignment="1">
      <alignment horizontal="center" vertical="center" wrapText="1"/>
    </xf>
    <xf numFmtId="0" fontId="6" fillId="37" borderId="77" xfId="0" applyFont="1" applyFill="1" applyBorder="1" applyAlignment="1">
      <alignment horizontal="center" vertical="center" wrapText="1"/>
    </xf>
    <xf numFmtId="0" fontId="6" fillId="37" borderId="91" xfId="0" applyFont="1" applyFill="1" applyBorder="1" applyAlignment="1">
      <alignment horizontal="center" vertical="center" wrapText="1"/>
    </xf>
    <xf numFmtId="0" fontId="59" fillId="38" borderId="83" xfId="0" applyFont="1" applyFill="1" applyBorder="1" applyAlignment="1">
      <alignment horizontal="center" vertical="center"/>
    </xf>
    <xf numFmtId="0" fontId="59" fillId="38" borderId="66" xfId="0" applyFont="1" applyFill="1" applyBorder="1" applyAlignment="1">
      <alignment horizontal="center" vertical="center"/>
    </xf>
    <xf numFmtId="0" fontId="59" fillId="38" borderId="84" xfId="0" applyFont="1" applyFill="1" applyBorder="1" applyAlignment="1">
      <alignment horizontal="center" vertical="center"/>
    </xf>
    <xf numFmtId="0" fontId="6" fillId="37" borderId="85" xfId="0" applyFont="1" applyFill="1" applyBorder="1" applyAlignment="1">
      <alignment horizontal="center" vertical="center"/>
    </xf>
    <xf numFmtId="0" fontId="6" fillId="37" borderId="77" xfId="0" applyFont="1" applyFill="1" applyBorder="1" applyAlignment="1">
      <alignment horizontal="center" vertical="center"/>
    </xf>
    <xf numFmtId="0" fontId="6" fillId="37" borderId="67" xfId="0" applyFont="1" applyFill="1" applyBorder="1" applyAlignment="1">
      <alignment horizontal="center" vertical="center"/>
    </xf>
    <xf numFmtId="0" fontId="6" fillId="37" borderId="76" xfId="0" applyFont="1" applyFill="1" applyBorder="1" applyAlignment="1">
      <alignment horizontal="center" vertical="center"/>
    </xf>
    <xf numFmtId="0" fontId="6" fillId="37" borderId="66" xfId="0" applyFont="1" applyFill="1" applyBorder="1" applyAlignment="1">
      <alignment horizontal="center" vertical="center"/>
    </xf>
    <xf numFmtId="0" fontId="6" fillId="37" borderId="84" xfId="0" applyFont="1" applyFill="1" applyBorder="1" applyAlignment="1">
      <alignment horizontal="center" vertical="center"/>
    </xf>
    <xf numFmtId="0" fontId="59" fillId="35" borderId="59" xfId="0" applyFont="1" applyFill="1" applyBorder="1" applyAlignment="1">
      <alignment horizontal="center"/>
    </xf>
    <xf numFmtId="0" fontId="59" fillId="35" borderId="0" xfId="0" applyFont="1" applyFill="1" applyAlignment="1">
      <alignment horizontal="center"/>
    </xf>
    <xf numFmtId="0" fontId="59" fillId="35" borderId="100" xfId="0" applyFont="1" applyFill="1" applyBorder="1" applyAlignment="1">
      <alignment horizontal="center"/>
    </xf>
    <xf numFmtId="0" fontId="6" fillId="37" borderId="76" xfId="0" applyFont="1" applyFill="1" applyBorder="1" applyAlignment="1">
      <alignment horizontal="center" vertical="center" wrapText="1"/>
    </xf>
    <xf numFmtId="0" fontId="59" fillId="38" borderId="89" xfId="0" applyFont="1" applyFill="1" applyBorder="1" applyAlignment="1">
      <alignment horizontal="center" vertical="center" wrapText="1"/>
    </xf>
    <xf numFmtId="0" fontId="59" fillId="38" borderId="72" xfId="0" applyFont="1" applyFill="1" applyBorder="1" applyAlignment="1">
      <alignment horizontal="center" vertical="center" wrapText="1"/>
    </xf>
    <xf numFmtId="0" fontId="59" fillId="38" borderId="90" xfId="0" applyFont="1" applyFill="1" applyBorder="1" applyAlignment="1">
      <alignment horizontal="center" vertical="center" wrapText="1"/>
    </xf>
    <xf numFmtId="0" fontId="59" fillId="38" borderId="67" xfId="0" applyFont="1" applyFill="1" applyBorder="1" applyAlignment="1">
      <alignment horizontal="center" vertical="center" wrapText="1"/>
    </xf>
    <xf numFmtId="0" fontId="59" fillId="38" borderId="66" xfId="0" applyFont="1" applyFill="1" applyBorder="1" applyAlignment="1">
      <alignment horizontal="center" vertical="center" wrapText="1"/>
    </xf>
    <xf numFmtId="0" fontId="59" fillId="38" borderId="76" xfId="0" applyFont="1" applyFill="1" applyBorder="1" applyAlignment="1">
      <alignment horizontal="center" vertical="center" wrapText="1"/>
    </xf>
    <xf numFmtId="0" fontId="59" fillId="38" borderId="67" xfId="0" applyFont="1" applyFill="1" applyBorder="1" applyAlignment="1">
      <alignment horizontal="center" vertical="center"/>
    </xf>
    <xf numFmtId="0" fontId="59" fillId="38" borderId="76" xfId="0" applyFont="1" applyFill="1" applyBorder="1" applyAlignment="1">
      <alignment horizontal="center" vertical="center"/>
    </xf>
    <xf numFmtId="1" fontId="72" fillId="0" borderId="20" xfId="2" applyNumberFormat="1" applyFont="1" applyBorder="1" applyAlignment="1">
      <alignment horizontal="center"/>
    </xf>
    <xf numFmtId="164" fontId="72" fillId="0" borderId="20" xfId="2" applyNumberFormat="1" applyFont="1" applyBorder="1" applyAlignment="1">
      <alignment horizontal="center"/>
    </xf>
    <xf numFmtId="0" fontId="0" fillId="0" borderId="76" xfId="0" applyBorder="1" applyAlignment="1">
      <alignment horizontal="center"/>
    </xf>
    <xf numFmtId="0" fontId="0" fillId="0" borderId="67" xfId="0" applyBorder="1" applyAlignment="1">
      <alignment horizontal="center"/>
    </xf>
    <xf numFmtId="0" fontId="62" fillId="37" borderId="66" xfId="0" applyFont="1" applyFill="1" applyBorder="1" applyAlignment="1">
      <alignment horizontal="center" vertical="center" wrapText="1"/>
    </xf>
    <xf numFmtId="0" fontId="60" fillId="37" borderId="66" xfId="0" applyFont="1" applyFill="1" applyBorder="1" applyAlignment="1">
      <alignment horizontal="center"/>
    </xf>
    <xf numFmtId="0" fontId="6" fillId="37" borderId="66" xfId="0" applyFont="1" applyFill="1" applyBorder="1" applyAlignment="1">
      <alignment horizontal="center" wrapText="1"/>
    </xf>
    <xf numFmtId="0" fontId="6" fillId="37" borderId="66" xfId="0" applyFont="1" applyFill="1" applyBorder="1" applyAlignment="1">
      <alignment horizontal="center"/>
    </xf>
    <xf numFmtId="0" fontId="59" fillId="38" borderId="66" xfId="0" applyFont="1" applyFill="1" applyBorder="1" applyAlignment="1">
      <alignment horizontal="center"/>
    </xf>
    <xf numFmtId="0" fontId="6" fillId="0" borderId="20" xfId="0" applyFont="1" applyBorder="1" applyAlignment="1">
      <alignment horizontal="center"/>
    </xf>
    <xf numFmtId="0" fontId="59" fillId="35" borderId="3" xfId="0" applyFont="1" applyFill="1" applyBorder="1" applyAlignment="1">
      <alignment horizontal="center"/>
    </xf>
    <xf numFmtId="0" fontId="0" fillId="0" borderId="0" xfId="0" applyAlignment="1">
      <alignment horizontal="left" vertical="top" wrapText="1"/>
    </xf>
    <xf numFmtId="0" fontId="62" fillId="0" borderId="104" xfId="0" applyFont="1" applyBorder="1" applyAlignment="1">
      <alignment horizontal="center"/>
    </xf>
    <xf numFmtId="0" fontId="62" fillId="0" borderId="105" xfId="0" applyFont="1" applyBorder="1" applyAlignment="1">
      <alignment horizontal="center"/>
    </xf>
    <xf numFmtId="0" fontId="62" fillId="0" borderId="106" xfId="0" applyFont="1" applyBorder="1" applyAlignment="1">
      <alignment horizontal="center"/>
    </xf>
    <xf numFmtId="0" fontId="0" fillId="0" borderId="3" xfId="0" applyBorder="1" applyAlignment="1">
      <alignment horizontal="center"/>
    </xf>
    <xf numFmtId="0" fontId="62" fillId="0" borderId="20" xfId="0" applyFont="1" applyBorder="1" applyAlignment="1">
      <alignment horizontal="center"/>
    </xf>
    <xf numFmtId="0" fontId="0" fillId="0" borderId="59" xfId="0" applyBorder="1" applyAlignment="1">
      <alignment horizontal="center"/>
    </xf>
    <xf numFmtId="0" fontId="0" fillId="0" borderId="0" xfId="0" applyAlignment="1">
      <alignment horizontal="center"/>
    </xf>
    <xf numFmtId="0" fontId="6" fillId="0" borderId="56" xfId="0" applyFont="1" applyBorder="1" applyAlignment="1">
      <alignment horizontal="center"/>
    </xf>
    <xf numFmtId="0" fontId="6" fillId="0" borderId="58" xfId="0" applyFont="1" applyBorder="1" applyAlignment="1">
      <alignment horizontal="center"/>
    </xf>
    <xf numFmtId="0" fontId="6" fillId="37" borderId="66" xfId="0" applyFont="1" applyFill="1" applyBorder="1" applyAlignment="1">
      <alignment horizontal="center" vertical="center" wrapText="1"/>
    </xf>
    <xf numFmtId="0" fontId="6" fillId="37" borderId="78" xfId="0" applyFont="1" applyFill="1" applyBorder="1" applyAlignment="1">
      <alignment horizontal="center"/>
    </xf>
    <xf numFmtId="0" fontId="6" fillId="37" borderId="0" xfId="0" applyFont="1" applyFill="1" applyAlignment="1">
      <alignment horizontal="center"/>
    </xf>
    <xf numFmtId="0" fontId="6" fillId="37" borderId="67" xfId="0" applyFont="1" applyFill="1" applyBorder="1" applyAlignment="1">
      <alignment horizontal="center" vertical="center" wrapText="1"/>
    </xf>
    <xf numFmtId="0" fontId="6" fillId="37" borderId="78" xfId="0" applyFont="1" applyFill="1" applyBorder="1" applyAlignment="1">
      <alignment horizontal="center" vertical="center" wrapText="1"/>
    </xf>
    <xf numFmtId="0" fontId="6" fillId="37" borderId="0" xfId="0" applyFont="1" applyFill="1" applyAlignment="1">
      <alignment horizontal="center" vertical="center" wrapText="1"/>
    </xf>
    <xf numFmtId="0" fontId="0" fillId="0" borderId="0" xfId="0" applyAlignment="1">
      <alignment horizontal="center" wrapText="1"/>
    </xf>
    <xf numFmtId="0" fontId="0" fillId="0" borderId="20" xfId="0" applyBorder="1" applyAlignment="1">
      <alignment horizontal="center" vertical="center"/>
    </xf>
    <xf numFmtId="0" fontId="0" fillId="0" borderId="2" xfId="0" applyBorder="1" applyAlignment="1">
      <alignment horizontal="center"/>
    </xf>
  </cellXfs>
  <cellStyles count="411">
    <cellStyle name="1" xfId="208" xr:uid="{00000000-0005-0000-0000-000000000000}"/>
    <cellStyle name="1st indent" xfId="5" xr:uid="{00000000-0005-0000-0000-000001000000}"/>
    <cellStyle name="1st indent 2" xfId="13" xr:uid="{00000000-0005-0000-0000-000002000000}"/>
    <cellStyle name="1st indent 2 2" xfId="14" xr:uid="{00000000-0005-0000-0000-000003000000}"/>
    <cellStyle name="1st indent 2 2 2" xfId="209" xr:uid="{00000000-0005-0000-0000-000004000000}"/>
    <cellStyle name="1st indent 2_old one_section15" xfId="210" xr:uid="{00000000-0005-0000-0000-000005000000}"/>
    <cellStyle name="1st indent 3" xfId="15" xr:uid="{00000000-0005-0000-0000-000006000000}"/>
    <cellStyle name="1st indent 3 2" xfId="211" xr:uid="{00000000-0005-0000-0000-000007000000}"/>
    <cellStyle name="1st indent 3_Section09" xfId="212" xr:uid="{00000000-0005-0000-0000-000008000000}"/>
    <cellStyle name="1st indent 4" xfId="16" xr:uid="{00000000-0005-0000-0000-000009000000}"/>
    <cellStyle name="1st indent 5" xfId="17" xr:uid="{00000000-0005-0000-0000-00000A000000}"/>
    <cellStyle name="1st indent 6" xfId="18" xr:uid="{00000000-0005-0000-0000-00000B000000}"/>
    <cellStyle name="1st indent 6 2" xfId="213" xr:uid="{00000000-0005-0000-0000-00000C000000}"/>
    <cellStyle name="1st indent 7" xfId="214" xr:uid="{00000000-0005-0000-0000-00000D000000}"/>
    <cellStyle name="1st indent 8" xfId="215" xr:uid="{00000000-0005-0000-0000-00000E000000}"/>
    <cellStyle name="1st indent_01.04" xfId="19" xr:uid="{00000000-0005-0000-0000-00000F000000}"/>
    <cellStyle name="20% - Accent1 2" xfId="20" xr:uid="{00000000-0005-0000-0000-000010000000}"/>
    <cellStyle name="20% - Accent1 3" xfId="21" xr:uid="{00000000-0005-0000-0000-000011000000}"/>
    <cellStyle name="20% - Accent2 2" xfId="22" xr:uid="{00000000-0005-0000-0000-000012000000}"/>
    <cellStyle name="20% - Accent2 3" xfId="23" xr:uid="{00000000-0005-0000-0000-000013000000}"/>
    <cellStyle name="20% - Accent3 2" xfId="24" xr:uid="{00000000-0005-0000-0000-000014000000}"/>
    <cellStyle name="20% - Accent3 3" xfId="25" xr:uid="{00000000-0005-0000-0000-000015000000}"/>
    <cellStyle name="20% - Accent4 2" xfId="26" xr:uid="{00000000-0005-0000-0000-000016000000}"/>
    <cellStyle name="20% - Accent4 3" xfId="27" xr:uid="{00000000-0005-0000-0000-000017000000}"/>
    <cellStyle name="20% - Accent5 2" xfId="28" xr:uid="{00000000-0005-0000-0000-000018000000}"/>
    <cellStyle name="20% - Accent6 2" xfId="29" xr:uid="{00000000-0005-0000-0000-000019000000}"/>
    <cellStyle name="20% - Accent6 3" xfId="30" xr:uid="{00000000-0005-0000-0000-00001A000000}"/>
    <cellStyle name="2nd indent" xfId="4" xr:uid="{00000000-0005-0000-0000-00001B000000}"/>
    <cellStyle name="2nd indent 2" xfId="31" xr:uid="{00000000-0005-0000-0000-00001C000000}"/>
    <cellStyle name="2nd indent 2 2" xfId="216" xr:uid="{00000000-0005-0000-0000-00001D000000}"/>
    <cellStyle name="2nd indent 2_Section06_100804_full" xfId="217" xr:uid="{00000000-0005-0000-0000-00001E000000}"/>
    <cellStyle name="2nd indent 3" xfId="32" xr:uid="{00000000-0005-0000-0000-00001F000000}"/>
    <cellStyle name="2nd indent 3 2" xfId="218" xr:uid="{00000000-0005-0000-0000-000020000000}"/>
    <cellStyle name="2nd indent 3_Section03" xfId="219" xr:uid="{00000000-0005-0000-0000-000021000000}"/>
    <cellStyle name="2nd indent 4" xfId="33" xr:uid="{00000000-0005-0000-0000-000022000000}"/>
    <cellStyle name="2nd indent 5" xfId="34" xr:uid="{00000000-0005-0000-0000-000023000000}"/>
    <cellStyle name="2nd indent 6" xfId="35" xr:uid="{00000000-0005-0000-0000-000024000000}"/>
    <cellStyle name="2nd indent 7" xfId="220" xr:uid="{00000000-0005-0000-0000-000025000000}"/>
    <cellStyle name="2nd indent 8" xfId="221" xr:uid="{00000000-0005-0000-0000-000026000000}"/>
    <cellStyle name="2nd indent 9" xfId="222" xr:uid="{00000000-0005-0000-0000-000027000000}"/>
    <cellStyle name="2nd indent_010309" xfId="223" xr:uid="{00000000-0005-0000-0000-000028000000}"/>
    <cellStyle name="3rd indent" xfId="36" xr:uid="{00000000-0005-0000-0000-000029000000}"/>
    <cellStyle name="3rd indent 2" xfId="37" xr:uid="{00000000-0005-0000-0000-00002A000000}"/>
    <cellStyle name="3rd indent 3" xfId="38" xr:uid="{00000000-0005-0000-0000-00002B000000}"/>
    <cellStyle name="3rd indent 4" xfId="39" xr:uid="{00000000-0005-0000-0000-00002C000000}"/>
    <cellStyle name="3rd indent 5" xfId="40" xr:uid="{00000000-0005-0000-0000-00002D000000}"/>
    <cellStyle name="3rd indent 6" xfId="224" xr:uid="{00000000-0005-0000-0000-00002E000000}"/>
    <cellStyle name="3rd indent_010409" xfId="225" xr:uid="{00000000-0005-0000-0000-00002F000000}"/>
    <cellStyle name="40% - Accent1 2" xfId="41" xr:uid="{00000000-0005-0000-0000-000030000000}"/>
    <cellStyle name="40% - Accent1 3" xfId="42" xr:uid="{00000000-0005-0000-0000-000031000000}"/>
    <cellStyle name="40% - Accent2 2" xfId="43" xr:uid="{00000000-0005-0000-0000-000032000000}"/>
    <cellStyle name="40% - Accent3 2" xfId="44" xr:uid="{00000000-0005-0000-0000-000033000000}"/>
    <cellStyle name="40% - Accent3 3" xfId="45" xr:uid="{00000000-0005-0000-0000-000034000000}"/>
    <cellStyle name="40% - Accent4 2" xfId="46" xr:uid="{00000000-0005-0000-0000-000035000000}"/>
    <cellStyle name="40% - Accent4 3" xfId="47" xr:uid="{00000000-0005-0000-0000-000036000000}"/>
    <cellStyle name="40% - Accent5 2" xfId="48" xr:uid="{00000000-0005-0000-0000-000037000000}"/>
    <cellStyle name="40% - Accent6 2" xfId="49" xr:uid="{00000000-0005-0000-0000-000038000000}"/>
    <cellStyle name="40% - Accent6 3" xfId="50" xr:uid="{00000000-0005-0000-0000-000039000000}"/>
    <cellStyle name="4th indent" xfId="51" xr:uid="{00000000-0005-0000-0000-00003A000000}"/>
    <cellStyle name="4th indent 2" xfId="52" xr:uid="{00000000-0005-0000-0000-00003B000000}"/>
    <cellStyle name="4th indent 3" xfId="53" xr:uid="{00000000-0005-0000-0000-00003C000000}"/>
    <cellStyle name="4th indent 4" xfId="54" xr:uid="{00000000-0005-0000-0000-00003D000000}"/>
    <cellStyle name="4th indent 5" xfId="55" xr:uid="{00000000-0005-0000-0000-00003E000000}"/>
    <cellStyle name="4th indent_010409" xfId="226" xr:uid="{00000000-0005-0000-0000-00003F000000}"/>
    <cellStyle name="5th indent" xfId="56" xr:uid="{00000000-0005-0000-0000-000040000000}"/>
    <cellStyle name="5th indent 2" xfId="57" xr:uid="{00000000-0005-0000-0000-000041000000}"/>
    <cellStyle name="5th indent 3" xfId="58" xr:uid="{00000000-0005-0000-0000-000042000000}"/>
    <cellStyle name="5th indent 4" xfId="59" xr:uid="{00000000-0005-0000-0000-000043000000}"/>
    <cellStyle name="5th indent 5" xfId="60" xr:uid="{00000000-0005-0000-0000-000044000000}"/>
    <cellStyle name="5th indent_010409" xfId="227" xr:uid="{00000000-0005-0000-0000-000045000000}"/>
    <cellStyle name="60% - Accent1 2" xfId="61" xr:uid="{00000000-0005-0000-0000-000046000000}"/>
    <cellStyle name="60% - Accent1 3" xfId="62" xr:uid="{00000000-0005-0000-0000-000047000000}"/>
    <cellStyle name="60% - Accent2 2" xfId="63" xr:uid="{00000000-0005-0000-0000-000048000000}"/>
    <cellStyle name="60% - Accent3 2" xfId="64" xr:uid="{00000000-0005-0000-0000-000049000000}"/>
    <cellStyle name="60% - Accent3 3" xfId="65" xr:uid="{00000000-0005-0000-0000-00004A000000}"/>
    <cellStyle name="60% - Accent4 2" xfId="66" xr:uid="{00000000-0005-0000-0000-00004B000000}"/>
    <cellStyle name="60% - Accent4 3" xfId="67" xr:uid="{00000000-0005-0000-0000-00004C000000}"/>
    <cellStyle name="60% - Accent5 2" xfId="68" xr:uid="{00000000-0005-0000-0000-00004D000000}"/>
    <cellStyle name="60% - Accent6 2" xfId="69" xr:uid="{00000000-0005-0000-0000-00004E000000}"/>
    <cellStyle name="60% - Accent6 3" xfId="70" xr:uid="{00000000-0005-0000-0000-00004F000000}"/>
    <cellStyle name="6th indent" xfId="71" xr:uid="{00000000-0005-0000-0000-000050000000}"/>
    <cellStyle name="6th indent 2" xfId="72" xr:uid="{00000000-0005-0000-0000-000051000000}"/>
    <cellStyle name="6th indent 3" xfId="73" xr:uid="{00000000-0005-0000-0000-000052000000}"/>
    <cellStyle name="6th indent 4" xfId="74" xr:uid="{00000000-0005-0000-0000-000053000000}"/>
    <cellStyle name="6th indent 5" xfId="75" xr:uid="{00000000-0005-0000-0000-000054000000}"/>
    <cellStyle name="6th indent_010409" xfId="228" xr:uid="{00000000-0005-0000-0000-000055000000}"/>
    <cellStyle name="Accent1 2" xfId="76" xr:uid="{00000000-0005-0000-0000-000056000000}"/>
    <cellStyle name="Accent1 3" xfId="77" xr:uid="{00000000-0005-0000-0000-000057000000}"/>
    <cellStyle name="Accent2 2" xfId="78" xr:uid="{00000000-0005-0000-0000-000058000000}"/>
    <cellStyle name="Accent3 2" xfId="79" xr:uid="{00000000-0005-0000-0000-000059000000}"/>
    <cellStyle name="Accent4 2" xfId="80" xr:uid="{00000000-0005-0000-0000-00005A000000}"/>
    <cellStyle name="Accent4 3" xfId="81" xr:uid="{00000000-0005-0000-0000-00005B000000}"/>
    <cellStyle name="Accent5 2" xfId="82" xr:uid="{00000000-0005-0000-0000-00005C000000}"/>
    <cellStyle name="Accent6 2" xfId="83" xr:uid="{00000000-0005-0000-0000-00005D000000}"/>
    <cellStyle name="Bad 2" xfId="84" xr:uid="{00000000-0005-0000-0000-00005E000000}"/>
    <cellStyle name="Bad 2 2" xfId="85" xr:uid="{00000000-0005-0000-0000-00005F000000}"/>
    <cellStyle name="Bad 2 3" xfId="86" xr:uid="{00000000-0005-0000-0000-000060000000}"/>
    <cellStyle name="Body: normal cell" xfId="87" xr:uid="{00000000-0005-0000-0000-000061000000}"/>
    <cellStyle name="Body: normal cell 2" xfId="393" xr:uid="{47ED89A8-910A-488B-84D5-496AEA4EB264}"/>
    <cellStyle name="Calculation 2" xfId="88" xr:uid="{00000000-0005-0000-0000-000062000000}"/>
    <cellStyle name="Calculation 3" xfId="89" xr:uid="{00000000-0005-0000-0000-000063000000}"/>
    <cellStyle name="Check Cell 2" xfId="90" xr:uid="{00000000-0005-0000-0000-000064000000}"/>
    <cellStyle name="Comma" xfId="1" builtinId="3"/>
    <cellStyle name="Comma 2" xfId="12" xr:uid="{00000000-0005-0000-0000-000066000000}"/>
    <cellStyle name="Comma 2 2" xfId="91" xr:uid="{00000000-0005-0000-0000-000067000000}"/>
    <cellStyle name="Comma 2 3" xfId="92" xr:uid="{00000000-0005-0000-0000-000068000000}"/>
    <cellStyle name="Comma 2 4" xfId="229" xr:uid="{00000000-0005-0000-0000-000069000000}"/>
    <cellStyle name="Comma 3" xfId="93" xr:uid="{00000000-0005-0000-0000-00006A000000}"/>
    <cellStyle name="Comma 3 2" xfId="94" xr:uid="{00000000-0005-0000-0000-00006B000000}"/>
    <cellStyle name="Comma 3 3" xfId="95" xr:uid="{00000000-0005-0000-0000-00006C000000}"/>
    <cellStyle name="Comma 4" xfId="96" xr:uid="{00000000-0005-0000-0000-00006D000000}"/>
    <cellStyle name="Comma 5" xfId="97" xr:uid="{00000000-0005-0000-0000-00006E000000}"/>
    <cellStyle name="Comma 5 2" xfId="230" xr:uid="{00000000-0005-0000-0000-00006F000000}"/>
    <cellStyle name="Comma 6" xfId="98" xr:uid="{00000000-0005-0000-0000-000070000000}"/>
    <cellStyle name="Comma 6 2" xfId="231" xr:uid="{00000000-0005-0000-0000-000071000000}"/>
    <cellStyle name="Comma 7" xfId="232" xr:uid="{00000000-0005-0000-0000-000072000000}"/>
    <cellStyle name="Comma0" xfId="99" xr:uid="{00000000-0005-0000-0000-000073000000}"/>
    <cellStyle name="Comma0 2" xfId="100" xr:uid="{00000000-0005-0000-0000-000074000000}"/>
    <cellStyle name="Comma0 3" xfId="101" xr:uid="{00000000-0005-0000-0000-000075000000}"/>
    <cellStyle name="Comma0_01.09" xfId="102" xr:uid="{00000000-0005-0000-0000-000076000000}"/>
    <cellStyle name="Currency 2" xfId="233" xr:uid="{00000000-0005-0000-0000-000077000000}"/>
    <cellStyle name="Currency 3" xfId="234" xr:uid="{00000000-0005-0000-0000-000078000000}"/>
    <cellStyle name="Currency0" xfId="103" xr:uid="{00000000-0005-0000-0000-000079000000}"/>
    <cellStyle name="Currency0 2" xfId="104" xr:uid="{00000000-0005-0000-0000-00007A000000}"/>
    <cellStyle name="Currency0 3" xfId="105" xr:uid="{00000000-0005-0000-0000-00007B000000}"/>
    <cellStyle name="Currency0_01.09" xfId="106" xr:uid="{00000000-0005-0000-0000-00007C000000}"/>
    <cellStyle name="Date" xfId="107" xr:uid="{00000000-0005-0000-0000-00007D000000}"/>
    <cellStyle name="Date 2" xfId="108" xr:uid="{00000000-0005-0000-0000-00007E000000}"/>
    <cellStyle name="Date 3" xfId="109" xr:uid="{00000000-0005-0000-0000-00007F000000}"/>
    <cellStyle name="Date_01.09" xfId="110" xr:uid="{00000000-0005-0000-0000-000080000000}"/>
    <cellStyle name="Explanatory Text 2" xfId="111" xr:uid="{00000000-0005-0000-0000-000081000000}"/>
    <cellStyle name="Fixed" xfId="112" xr:uid="{00000000-0005-0000-0000-000082000000}"/>
    <cellStyle name="Fixed 2" xfId="113" xr:uid="{00000000-0005-0000-0000-000083000000}"/>
    <cellStyle name="Fixed 3" xfId="114" xr:uid="{00000000-0005-0000-0000-000084000000}"/>
    <cellStyle name="Fixed_01.09" xfId="115" xr:uid="{00000000-0005-0000-0000-000085000000}"/>
    <cellStyle name="Font: Calibri, 9pt regular" xfId="116" xr:uid="{00000000-0005-0000-0000-000086000000}"/>
    <cellStyle name="FOOTNOTE" xfId="3" xr:uid="{00000000-0005-0000-0000-000087000000}"/>
    <cellStyle name="FOOTNOTE 10" xfId="235" xr:uid="{00000000-0005-0000-0000-000088000000}"/>
    <cellStyle name="FOOTNOTE 11" xfId="236" xr:uid="{00000000-0005-0000-0000-000089000000}"/>
    <cellStyle name="FOOTNOTE 12" xfId="237" xr:uid="{00000000-0005-0000-0000-00008A000000}"/>
    <cellStyle name="FOOTNOTE 2" xfId="117" xr:uid="{00000000-0005-0000-0000-00008B000000}"/>
    <cellStyle name="FOOTNOTE 2 2" xfId="238" xr:uid="{00000000-0005-0000-0000-00008C000000}"/>
    <cellStyle name="FOOTNOTE 2 3" xfId="239" xr:uid="{00000000-0005-0000-0000-00008D000000}"/>
    <cellStyle name="FOOTNOTE 2 4" xfId="240" xr:uid="{00000000-0005-0000-0000-00008E000000}"/>
    <cellStyle name="FOOTNOTE 2 5" xfId="398" xr:uid="{EC4EF21F-AC9E-4781-A564-8C17934AEE74}"/>
    <cellStyle name="FOOTNOTE 2_Section03" xfId="241" xr:uid="{00000000-0005-0000-0000-00008F000000}"/>
    <cellStyle name="FOOTNOTE 3" xfId="242" xr:uid="{00000000-0005-0000-0000-000090000000}"/>
    <cellStyle name="FOOTNOTE 3 2" xfId="243" xr:uid="{00000000-0005-0000-0000-000091000000}"/>
    <cellStyle name="FOOTNOTE 3_Section10" xfId="244" xr:uid="{00000000-0005-0000-0000-000092000000}"/>
    <cellStyle name="FOOTNOTE 4" xfId="245" xr:uid="{00000000-0005-0000-0000-000093000000}"/>
    <cellStyle name="FOOTNOTE 4 2" xfId="246" xr:uid="{00000000-0005-0000-0000-000094000000}"/>
    <cellStyle name="FOOTNOTE 4_Section10" xfId="247" xr:uid="{00000000-0005-0000-0000-000095000000}"/>
    <cellStyle name="FOOTNOTE 5" xfId="248" xr:uid="{00000000-0005-0000-0000-000096000000}"/>
    <cellStyle name="FOOTNOTE 5 2" xfId="249" xr:uid="{00000000-0005-0000-0000-000097000000}"/>
    <cellStyle name="FOOTNOTE 5_Section10" xfId="250" xr:uid="{00000000-0005-0000-0000-000098000000}"/>
    <cellStyle name="FOOTNOTE 6" xfId="251" xr:uid="{00000000-0005-0000-0000-000099000000}"/>
    <cellStyle name="FOOTNOTE 7" xfId="252" xr:uid="{00000000-0005-0000-0000-00009A000000}"/>
    <cellStyle name="FOOTNOTE 8" xfId="253" xr:uid="{00000000-0005-0000-0000-00009B000000}"/>
    <cellStyle name="FOOTNOTE 9" xfId="254" xr:uid="{00000000-0005-0000-0000-00009C000000}"/>
    <cellStyle name="FOOTNOTE_01.62" xfId="118" xr:uid="{00000000-0005-0000-0000-00009D000000}"/>
    <cellStyle name="Footnotes: all except top row" xfId="119" xr:uid="{00000000-0005-0000-0000-00009E000000}"/>
    <cellStyle name="Footnotes: top row" xfId="120" xr:uid="{00000000-0005-0000-0000-00009F000000}"/>
    <cellStyle name="Good 2" xfId="121" xr:uid="{00000000-0005-0000-0000-0000A0000000}"/>
    <cellStyle name="Header: bottom row" xfId="122" xr:uid="{00000000-0005-0000-0000-0000A1000000}"/>
    <cellStyle name="Header: top rows" xfId="123" xr:uid="{00000000-0005-0000-0000-0000A2000000}"/>
    <cellStyle name="HEADING" xfId="9" xr:uid="{00000000-0005-0000-0000-0000A3000000}"/>
    <cellStyle name="Heading 1 2" xfId="124" xr:uid="{00000000-0005-0000-0000-0000A4000000}"/>
    <cellStyle name="Heading 1 2 2" xfId="125" xr:uid="{00000000-0005-0000-0000-0000A5000000}"/>
    <cellStyle name="Heading 1 2_010908" xfId="126" xr:uid="{00000000-0005-0000-0000-0000A6000000}"/>
    <cellStyle name="Heading 1 3" xfId="127" xr:uid="{00000000-0005-0000-0000-0000A7000000}"/>
    <cellStyle name="Heading 1 4" xfId="128" xr:uid="{00000000-0005-0000-0000-0000A8000000}"/>
    <cellStyle name="Heading 1 5" xfId="129" xr:uid="{00000000-0005-0000-0000-0000A9000000}"/>
    <cellStyle name="Heading 1 6" xfId="130" xr:uid="{00000000-0005-0000-0000-0000AA000000}"/>
    <cellStyle name="Heading 1 7" xfId="131" xr:uid="{00000000-0005-0000-0000-0000AB000000}"/>
    <cellStyle name="Heading 1 8" xfId="132" xr:uid="{00000000-0005-0000-0000-0000AC000000}"/>
    <cellStyle name="HEADING 10" xfId="133" xr:uid="{00000000-0005-0000-0000-0000AD000000}"/>
    <cellStyle name="HEADING 11" xfId="134" xr:uid="{00000000-0005-0000-0000-0000AE000000}"/>
    <cellStyle name="HEADING 12" xfId="135" xr:uid="{00000000-0005-0000-0000-0000AF000000}"/>
    <cellStyle name="HEADING 13" xfId="136" xr:uid="{00000000-0005-0000-0000-0000B0000000}"/>
    <cellStyle name="Heading 2 2" xfId="137" xr:uid="{00000000-0005-0000-0000-0000B1000000}"/>
    <cellStyle name="Heading 2 2 2" xfId="138" xr:uid="{00000000-0005-0000-0000-0000B2000000}"/>
    <cellStyle name="Heading 2 2_010908" xfId="139" xr:uid="{00000000-0005-0000-0000-0000B3000000}"/>
    <cellStyle name="Heading 2 3" xfId="140" xr:uid="{00000000-0005-0000-0000-0000B4000000}"/>
    <cellStyle name="Heading 2 4" xfId="141" xr:uid="{00000000-0005-0000-0000-0000B5000000}"/>
    <cellStyle name="Heading 2 5" xfId="142" xr:uid="{00000000-0005-0000-0000-0000B6000000}"/>
    <cellStyle name="Heading 2 6" xfId="143" xr:uid="{00000000-0005-0000-0000-0000B7000000}"/>
    <cellStyle name="Heading 2 7" xfId="144" xr:uid="{00000000-0005-0000-0000-0000B8000000}"/>
    <cellStyle name="Heading 2 8" xfId="145" xr:uid="{00000000-0005-0000-0000-0000B9000000}"/>
    <cellStyle name="Heading 3 2" xfId="146" xr:uid="{00000000-0005-0000-0000-0000BA000000}"/>
    <cellStyle name="Heading 3 3" xfId="147" xr:uid="{00000000-0005-0000-0000-0000BB000000}"/>
    <cellStyle name="Heading 4 2" xfId="148" xr:uid="{00000000-0005-0000-0000-0000BC000000}"/>
    <cellStyle name="Heading 4 3" xfId="149" xr:uid="{00000000-0005-0000-0000-0000BD000000}"/>
    <cellStyle name="HEADING 5" xfId="150" xr:uid="{00000000-0005-0000-0000-0000BE000000}"/>
    <cellStyle name="HEADING 6" xfId="151" xr:uid="{00000000-0005-0000-0000-0000BF000000}"/>
    <cellStyle name="HEADING 7" xfId="152" xr:uid="{00000000-0005-0000-0000-0000C0000000}"/>
    <cellStyle name="HEADING 8" xfId="153" xr:uid="{00000000-0005-0000-0000-0000C1000000}"/>
    <cellStyle name="HEADING 9" xfId="154" xr:uid="{00000000-0005-0000-0000-0000C2000000}"/>
    <cellStyle name="HEADING1" xfId="255" xr:uid="{00000000-0005-0000-0000-0000C3000000}"/>
    <cellStyle name="HEADING2" xfId="256" xr:uid="{00000000-0005-0000-0000-0000C4000000}"/>
    <cellStyle name="Hyperlink 2" xfId="155" xr:uid="{00000000-0005-0000-0000-0000C6000000}"/>
    <cellStyle name="Hyperlink 2 2" xfId="258" xr:uid="{00000000-0005-0000-0000-0000C7000000}"/>
    <cellStyle name="Hyperlink 2 3" xfId="257" xr:uid="{00000000-0005-0000-0000-0000C8000000}"/>
    <cellStyle name="Hyperlink 2_Section03" xfId="259" xr:uid="{00000000-0005-0000-0000-0000C9000000}"/>
    <cellStyle name="Hyperlink 3" xfId="260" xr:uid="{00000000-0005-0000-0000-0000CA000000}"/>
    <cellStyle name="Hyperlink 4" xfId="261" xr:uid="{00000000-0005-0000-0000-0000CB000000}"/>
    <cellStyle name="Hyperlink 5" xfId="400" xr:uid="{72FA73BD-2A17-4369-984D-C9A66118F473}"/>
    <cellStyle name="Hyperlink 6" xfId="401" xr:uid="{C042A46B-8800-4611-AC63-3988713BAE0A}"/>
    <cellStyle name="Input 2" xfId="156" xr:uid="{00000000-0005-0000-0000-0000CC000000}"/>
    <cellStyle name="Input 3" xfId="157" xr:uid="{00000000-0005-0000-0000-0000CD000000}"/>
    <cellStyle name="Linked Cell 2" xfId="158" xr:uid="{00000000-0005-0000-0000-0000CE000000}"/>
    <cellStyle name="Neutral 2" xfId="159" xr:uid="{00000000-0005-0000-0000-0000CF000000}"/>
    <cellStyle name="Normal" xfId="0" builtinId="0"/>
    <cellStyle name="Normal 10" xfId="160" xr:uid="{00000000-0005-0000-0000-0000D1000000}"/>
    <cellStyle name="Normal 10 2" xfId="262" xr:uid="{00000000-0005-0000-0000-0000D2000000}"/>
    <cellStyle name="Normal 10 3" xfId="263" xr:uid="{00000000-0005-0000-0000-0000D3000000}"/>
    <cellStyle name="Normal 11" xfId="264" xr:uid="{00000000-0005-0000-0000-0000D4000000}"/>
    <cellStyle name="Normal 12" xfId="265" xr:uid="{00000000-0005-0000-0000-0000D5000000}"/>
    <cellStyle name="Normal 12 2" xfId="266" xr:uid="{00000000-0005-0000-0000-0000D6000000}"/>
    <cellStyle name="Normal 13" xfId="267" xr:uid="{00000000-0005-0000-0000-0000D7000000}"/>
    <cellStyle name="Normal 13 2" xfId="268" xr:uid="{00000000-0005-0000-0000-0000D8000000}"/>
    <cellStyle name="Normal 14" xfId="269" xr:uid="{00000000-0005-0000-0000-0000D9000000}"/>
    <cellStyle name="Normal 15" xfId="270" xr:uid="{00000000-0005-0000-0000-0000DA000000}"/>
    <cellStyle name="Normal 16" xfId="271" xr:uid="{00000000-0005-0000-0000-0000DB000000}"/>
    <cellStyle name="Normal 17" xfId="272" xr:uid="{00000000-0005-0000-0000-0000DC000000}"/>
    <cellStyle name="Normal 18" xfId="273" xr:uid="{00000000-0005-0000-0000-0000DD000000}"/>
    <cellStyle name="Normal 19" xfId="274" xr:uid="{00000000-0005-0000-0000-0000DE000000}"/>
    <cellStyle name="Normal 2" xfId="6" xr:uid="{00000000-0005-0000-0000-0000DF000000}"/>
    <cellStyle name="Normal 2 2" xfId="161" xr:uid="{00000000-0005-0000-0000-0000E0000000}"/>
    <cellStyle name="Normal 2 2 2" xfId="162" xr:uid="{00000000-0005-0000-0000-0000E1000000}"/>
    <cellStyle name="Normal 2 2 3" xfId="163" xr:uid="{00000000-0005-0000-0000-0000E2000000}"/>
    <cellStyle name="Normal 2 2 4" xfId="394" xr:uid="{2F250FF3-0167-4CA7-9444-955C244E430C}"/>
    <cellStyle name="Normal 2 3" xfId="164" xr:uid="{00000000-0005-0000-0000-0000E3000000}"/>
    <cellStyle name="Normal 2 3 2" xfId="276" xr:uid="{00000000-0005-0000-0000-0000E4000000}"/>
    <cellStyle name="Normal 2 3 3" xfId="277" xr:uid="{00000000-0005-0000-0000-0000E5000000}"/>
    <cellStyle name="Normal 2 3 4" xfId="275" xr:uid="{00000000-0005-0000-0000-0000E6000000}"/>
    <cellStyle name="Normal 2 3_Section21" xfId="278" xr:uid="{00000000-0005-0000-0000-0000E7000000}"/>
    <cellStyle name="Normal 2 4" xfId="165" xr:uid="{00000000-0005-0000-0000-0000E8000000}"/>
    <cellStyle name="Normal 2 4 2" xfId="279" xr:uid="{00000000-0005-0000-0000-0000E9000000}"/>
    <cellStyle name="Normal 2 5" xfId="166" xr:uid="{00000000-0005-0000-0000-0000EA000000}"/>
    <cellStyle name="Normal 2 5 2" xfId="280" xr:uid="{00000000-0005-0000-0000-0000EB000000}"/>
    <cellStyle name="Normal 2 9" xfId="281" xr:uid="{00000000-0005-0000-0000-0000EC000000}"/>
    <cellStyle name="Normal 2_01.09" xfId="167" xr:uid="{00000000-0005-0000-0000-0000ED000000}"/>
    <cellStyle name="Normal 20" xfId="282" xr:uid="{00000000-0005-0000-0000-0000EE000000}"/>
    <cellStyle name="Normal 21" xfId="283" xr:uid="{00000000-0005-0000-0000-0000EF000000}"/>
    <cellStyle name="Normal 22" xfId="207" xr:uid="{00000000-0005-0000-0000-0000F0000000}"/>
    <cellStyle name="Normal 22 2" xfId="284" xr:uid="{00000000-0005-0000-0000-0000F1000000}"/>
    <cellStyle name="Normal 23 2" xfId="285" xr:uid="{00000000-0005-0000-0000-0000F2000000}"/>
    <cellStyle name="Normal 24" xfId="286" xr:uid="{00000000-0005-0000-0000-0000F3000000}"/>
    <cellStyle name="Normal 25" xfId="287" xr:uid="{00000000-0005-0000-0000-0000F4000000}"/>
    <cellStyle name="Normal 26" xfId="288" xr:uid="{00000000-0005-0000-0000-0000F5000000}"/>
    <cellStyle name="Normal 27" xfId="402" xr:uid="{DEEB3C8A-5B9B-44D7-9B3C-78B26D9CC87A}"/>
    <cellStyle name="Normal 3" xfId="8" xr:uid="{00000000-0005-0000-0000-0000F6000000}"/>
    <cellStyle name="Normal 3 2" xfId="168" xr:uid="{00000000-0005-0000-0000-0000F7000000}"/>
    <cellStyle name="Normal 3 2 2" xfId="291" xr:uid="{00000000-0005-0000-0000-0000F8000000}"/>
    <cellStyle name="Normal 3 2 3" xfId="290" xr:uid="{00000000-0005-0000-0000-0000F9000000}"/>
    <cellStyle name="Normal 3 2 4" xfId="404" xr:uid="{E8808669-A075-405E-B216-3E7EF9DC8359}"/>
    <cellStyle name="Normal 3 2_Section03" xfId="292" xr:uid="{00000000-0005-0000-0000-0000FA000000}"/>
    <cellStyle name="Normal 3 3" xfId="169" xr:uid="{00000000-0005-0000-0000-0000FB000000}"/>
    <cellStyle name="Normal 3 3 2" xfId="293" xr:uid="{00000000-0005-0000-0000-0000FC000000}"/>
    <cellStyle name="Normal 3 3 3" xfId="405" xr:uid="{08332F03-9158-44D6-A6E7-B56015B9C6A4}"/>
    <cellStyle name="Normal 3 4" xfId="7" xr:uid="{00000000-0005-0000-0000-0000FD000000}"/>
    <cellStyle name="Normal 3 4 2" xfId="294" xr:uid="{00000000-0005-0000-0000-0000FE000000}"/>
    <cellStyle name="Normal 3 5" xfId="295" xr:uid="{00000000-0005-0000-0000-0000FF000000}"/>
    <cellStyle name="Normal 3 6" xfId="296" xr:uid="{00000000-0005-0000-0000-000000010000}"/>
    <cellStyle name="Normal 3 7" xfId="289" xr:uid="{00000000-0005-0000-0000-000001010000}"/>
    <cellStyle name="Normal 3 8" xfId="403" xr:uid="{B93306C4-1C09-4027-8149-83DBCAC3DCB9}"/>
    <cellStyle name="Normal 3 9" xfId="399" xr:uid="{0CE1DC57-8B08-4D4B-9A22-7FB5A4A0E7AB}"/>
    <cellStyle name="Normal 3_212609" xfId="297" xr:uid="{00000000-0005-0000-0000-000002010000}"/>
    <cellStyle name="Normal 4" xfId="10" xr:uid="{00000000-0005-0000-0000-000003010000}"/>
    <cellStyle name="Normal 4 2" xfId="170" xr:uid="{00000000-0005-0000-0000-000004010000}"/>
    <cellStyle name="Normal 4 2 2" xfId="299" xr:uid="{00000000-0005-0000-0000-000005010000}"/>
    <cellStyle name="Normal 4 3" xfId="171" xr:uid="{00000000-0005-0000-0000-000006010000}"/>
    <cellStyle name="Normal 4 3 2" xfId="300" xr:uid="{00000000-0005-0000-0000-000007010000}"/>
    <cellStyle name="Normal 4 4" xfId="172" xr:uid="{00000000-0005-0000-0000-000008010000}"/>
    <cellStyle name="Normal 4 4 2" xfId="301" xr:uid="{00000000-0005-0000-0000-000009010000}"/>
    <cellStyle name="Normal 4 5" xfId="298" xr:uid="{00000000-0005-0000-0000-00000A010000}"/>
    <cellStyle name="Normal 4_Section02" xfId="302" xr:uid="{00000000-0005-0000-0000-00000B010000}"/>
    <cellStyle name="Normal 5" xfId="173" xr:uid="{00000000-0005-0000-0000-00000C010000}"/>
    <cellStyle name="Normal 5 2" xfId="174" xr:uid="{00000000-0005-0000-0000-00000D010000}"/>
    <cellStyle name="Normal 5 2 2" xfId="304" xr:uid="{00000000-0005-0000-0000-00000E010000}"/>
    <cellStyle name="Normal 5 3" xfId="303" xr:uid="{00000000-0005-0000-0000-00000F010000}"/>
    <cellStyle name="Normal 5 4" xfId="406" xr:uid="{3850F4EB-C008-4685-80B5-95798EF88D4A}"/>
    <cellStyle name="Normal 5_Section02" xfId="305" xr:uid="{00000000-0005-0000-0000-000010010000}"/>
    <cellStyle name="Normal 6" xfId="175" xr:uid="{00000000-0005-0000-0000-000011010000}"/>
    <cellStyle name="Normal 6 2" xfId="306" xr:uid="{00000000-0005-0000-0000-000012010000}"/>
    <cellStyle name="Normal 7" xfId="176" xr:uid="{00000000-0005-0000-0000-000013010000}"/>
    <cellStyle name="Normal 7 2" xfId="307" xr:uid="{00000000-0005-0000-0000-000014010000}"/>
    <cellStyle name="Normal 8" xfId="177" xr:uid="{00000000-0005-0000-0000-000015010000}"/>
    <cellStyle name="Normal 9" xfId="178" xr:uid="{00000000-0005-0000-0000-000016010000}"/>
    <cellStyle name="Normal 9 2" xfId="308" xr:uid="{00000000-0005-0000-0000-000017010000}"/>
    <cellStyle name="Normal 91" xfId="309" xr:uid="{00000000-0005-0000-0000-000018010000}"/>
    <cellStyle name="Normal_070401" xfId="392" xr:uid="{48B8EE43-AED5-4861-97A5-97E21095CA37}"/>
    <cellStyle name="Note 10" xfId="310" xr:uid="{00000000-0005-0000-0000-000019010000}"/>
    <cellStyle name="Note 11" xfId="311" xr:uid="{00000000-0005-0000-0000-00001A010000}"/>
    <cellStyle name="Note 12" xfId="312" xr:uid="{00000000-0005-0000-0000-00001B010000}"/>
    <cellStyle name="Note 13" xfId="313" xr:uid="{00000000-0005-0000-0000-00001C010000}"/>
    <cellStyle name="Note 14" xfId="314" xr:uid="{00000000-0005-0000-0000-00001D010000}"/>
    <cellStyle name="Note 15" xfId="315" xr:uid="{00000000-0005-0000-0000-00001E010000}"/>
    <cellStyle name="Note 16" xfId="316" xr:uid="{00000000-0005-0000-0000-00001F010000}"/>
    <cellStyle name="Note 17" xfId="317" xr:uid="{00000000-0005-0000-0000-000020010000}"/>
    <cellStyle name="Note 18" xfId="318" xr:uid="{00000000-0005-0000-0000-000021010000}"/>
    <cellStyle name="Note 19" xfId="319" xr:uid="{00000000-0005-0000-0000-000022010000}"/>
    <cellStyle name="Note 2" xfId="179" xr:uid="{00000000-0005-0000-0000-000023010000}"/>
    <cellStyle name="Note 2 2" xfId="321" xr:uid="{00000000-0005-0000-0000-000024010000}"/>
    <cellStyle name="Note 2 3" xfId="320" xr:uid="{00000000-0005-0000-0000-000025010000}"/>
    <cellStyle name="Note 20" xfId="322" xr:uid="{00000000-0005-0000-0000-000026010000}"/>
    <cellStyle name="Note 21" xfId="323" xr:uid="{00000000-0005-0000-0000-000027010000}"/>
    <cellStyle name="Note 22" xfId="324" xr:uid="{00000000-0005-0000-0000-000028010000}"/>
    <cellStyle name="Note 3" xfId="180" xr:uid="{00000000-0005-0000-0000-000029010000}"/>
    <cellStyle name="Note 3 2" xfId="326" xr:uid="{00000000-0005-0000-0000-00002A010000}"/>
    <cellStyle name="Note 3 3" xfId="325" xr:uid="{00000000-0005-0000-0000-00002B010000}"/>
    <cellStyle name="Note 4" xfId="327" xr:uid="{00000000-0005-0000-0000-00002C010000}"/>
    <cellStyle name="Note 4 2" xfId="328" xr:uid="{00000000-0005-0000-0000-00002D010000}"/>
    <cellStyle name="Note 5" xfId="329" xr:uid="{00000000-0005-0000-0000-00002E010000}"/>
    <cellStyle name="Note 5 2" xfId="330" xr:uid="{00000000-0005-0000-0000-00002F010000}"/>
    <cellStyle name="Note 6" xfId="331" xr:uid="{00000000-0005-0000-0000-000030010000}"/>
    <cellStyle name="Note 6 2" xfId="332" xr:uid="{00000000-0005-0000-0000-000031010000}"/>
    <cellStyle name="Note 7" xfId="333" xr:uid="{00000000-0005-0000-0000-000032010000}"/>
    <cellStyle name="Note 7 2" xfId="334" xr:uid="{00000000-0005-0000-0000-000033010000}"/>
    <cellStyle name="Note 8" xfId="335" xr:uid="{00000000-0005-0000-0000-000034010000}"/>
    <cellStyle name="Note 9" xfId="336" xr:uid="{00000000-0005-0000-0000-000035010000}"/>
    <cellStyle name="numbcent" xfId="181" xr:uid="{00000000-0005-0000-0000-000036010000}"/>
    <cellStyle name="Output 2" xfId="182" xr:uid="{00000000-0005-0000-0000-000037010000}"/>
    <cellStyle name="Output 3" xfId="183" xr:uid="{00000000-0005-0000-0000-000038010000}"/>
    <cellStyle name="Parent row" xfId="184" xr:uid="{00000000-0005-0000-0000-000039010000}"/>
    <cellStyle name="Percent" xfId="2" builtinId="5"/>
    <cellStyle name="Percent 2" xfId="11" xr:uid="{00000000-0005-0000-0000-00003B010000}"/>
    <cellStyle name="Percent 2 2" xfId="185" xr:uid="{00000000-0005-0000-0000-00003C010000}"/>
    <cellStyle name="Percent 3" xfId="186" xr:uid="{00000000-0005-0000-0000-00003D010000}"/>
    <cellStyle name="Percent 3 2" xfId="187" xr:uid="{00000000-0005-0000-0000-00003E010000}"/>
    <cellStyle name="Percent 3 3" xfId="188" xr:uid="{00000000-0005-0000-0000-00003F010000}"/>
    <cellStyle name="Percent 3 4" xfId="189" xr:uid="{00000000-0005-0000-0000-000040010000}"/>
    <cellStyle name="Percent 4" xfId="190" xr:uid="{00000000-0005-0000-0000-000041010000}"/>
    <cellStyle name="Percent 5" xfId="191" xr:uid="{00000000-0005-0000-0000-000042010000}"/>
    <cellStyle name="Percent 5 2" xfId="337" xr:uid="{00000000-0005-0000-0000-000043010000}"/>
    <cellStyle name="Percent 6" xfId="192" xr:uid="{00000000-0005-0000-0000-000044010000}"/>
    <cellStyle name="R00B" xfId="338" xr:uid="{00000000-0005-0000-0000-000045010000}"/>
    <cellStyle name="R00L" xfId="339" xr:uid="{00000000-0005-0000-0000-000046010000}"/>
    <cellStyle name="R01B" xfId="340" xr:uid="{00000000-0005-0000-0000-000047010000}"/>
    <cellStyle name="R01H" xfId="341" xr:uid="{00000000-0005-0000-0000-000048010000}"/>
    <cellStyle name="R01L" xfId="342" xr:uid="{00000000-0005-0000-0000-000049010000}"/>
    <cellStyle name="R02B" xfId="343" xr:uid="{00000000-0005-0000-0000-00004A010000}"/>
    <cellStyle name="R02L" xfId="344" xr:uid="{00000000-0005-0000-0000-00004B010000}"/>
    <cellStyle name="Section Break" xfId="193" xr:uid="{00000000-0005-0000-0000-00004C010000}"/>
    <cellStyle name="Section Break: parent row" xfId="194" xr:uid="{00000000-0005-0000-0000-00004D010000}"/>
    <cellStyle name="Style 1" xfId="345" xr:uid="{00000000-0005-0000-0000-00004E010000}"/>
    <cellStyle name="Style 21" xfId="346" xr:uid="{00000000-0005-0000-0000-00004F010000}"/>
    <cellStyle name="Style 22" xfId="347" xr:uid="{00000000-0005-0000-0000-000050010000}"/>
    <cellStyle name="Style 23" xfId="348" xr:uid="{00000000-0005-0000-0000-000051010000}"/>
    <cellStyle name="Style 24" xfId="349" xr:uid="{00000000-0005-0000-0000-000052010000}"/>
    <cellStyle name="Style 25" xfId="350" xr:uid="{00000000-0005-0000-0000-000053010000}"/>
    <cellStyle name="Style 25 2" xfId="407" xr:uid="{E395E96A-0406-4648-8247-486C11F32B48}"/>
    <cellStyle name="Style 26" xfId="351" xr:uid="{00000000-0005-0000-0000-000054010000}"/>
    <cellStyle name="Style 27" xfId="352" xr:uid="{00000000-0005-0000-0000-000055010000}"/>
    <cellStyle name="Style 28" xfId="353" xr:uid="{00000000-0005-0000-0000-000056010000}"/>
    <cellStyle name="style_col_headings" xfId="354" xr:uid="{00000000-0005-0000-0000-000057010000}"/>
    <cellStyle name="Table title" xfId="195" xr:uid="{00000000-0005-0000-0000-000058010000}"/>
    <cellStyle name="testing" xfId="355" xr:uid="{00000000-0005-0000-0000-000059010000}"/>
    <cellStyle name="Title 10" xfId="356" xr:uid="{00000000-0005-0000-0000-00005A010000}"/>
    <cellStyle name="Title 11" xfId="357" xr:uid="{00000000-0005-0000-0000-00005B010000}"/>
    <cellStyle name="Title 12" xfId="358" xr:uid="{00000000-0005-0000-0000-00005C010000}"/>
    <cellStyle name="Title 13" xfId="359" xr:uid="{00000000-0005-0000-0000-00005D010000}"/>
    <cellStyle name="Title 14" xfId="360" xr:uid="{00000000-0005-0000-0000-00005E010000}"/>
    <cellStyle name="Title 15" xfId="361" xr:uid="{00000000-0005-0000-0000-00005F010000}"/>
    <cellStyle name="Title 16" xfId="362" xr:uid="{00000000-0005-0000-0000-000060010000}"/>
    <cellStyle name="Title 17" xfId="363" xr:uid="{00000000-0005-0000-0000-000061010000}"/>
    <cellStyle name="Title 18" xfId="364" xr:uid="{00000000-0005-0000-0000-000062010000}"/>
    <cellStyle name="Title 19" xfId="365" xr:uid="{00000000-0005-0000-0000-000063010000}"/>
    <cellStyle name="TITLE 2" xfId="196" xr:uid="{00000000-0005-0000-0000-000064010000}"/>
    <cellStyle name="Title 2 2" xfId="366" xr:uid="{00000000-0005-0000-0000-000065010000}"/>
    <cellStyle name="TITLE 2 2 2" xfId="367" xr:uid="{00000000-0005-0000-0000-000066010000}"/>
    <cellStyle name="TITLE 2 3" xfId="368" xr:uid="{00000000-0005-0000-0000-000067010000}"/>
    <cellStyle name="TITLE 2_212109" xfId="369" xr:uid="{00000000-0005-0000-0000-000068010000}"/>
    <cellStyle name="Title 20" xfId="370" xr:uid="{00000000-0005-0000-0000-000069010000}"/>
    <cellStyle name="Title 21" xfId="371" xr:uid="{00000000-0005-0000-0000-00006A010000}"/>
    <cellStyle name="Title 22" xfId="372" xr:uid="{00000000-0005-0000-0000-00006B010000}"/>
    <cellStyle name="TITLE 23" xfId="408" xr:uid="{F4316711-1046-452E-91A2-30E40596B00A}"/>
    <cellStyle name="TITLE 24" xfId="395" xr:uid="{E8531FA1-8709-4697-86FB-AAE9EDEC81AA}"/>
    <cellStyle name="TITLE 25" xfId="397" xr:uid="{7BA87C97-833E-407E-8EC3-8A04AF980246}"/>
    <cellStyle name="TITLE 26" xfId="410" xr:uid="{8F6FE87C-CC06-42F4-9EF7-EEF13BDE374A}"/>
    <cellStyle name="TITLE 27" xfId="396" xr:uid="{C1BB2234-A14E-4683-8DBE-CB6F6131E056}"/>
    <cellStyle name="TITLE 28" xfId="409" xr:uid="{BAC970E1-287F-4292-B5E0-25EEBF15599E}"/>
    <cellStyle name="TITLE 3" xfId="373" xr:uid="{00000000-0005-0000-0000-00006C010000}"/>
    <cellStyle name="Title 3 2" xfId="374" xr:uid="{00000000-0005-0000-0000-00006D010000}"/>
    <cellStyle name="Title 3_Section15" xfId="375" xr:uid="{00000000-0005-0000-0000-00006E010000}"/>
    <cellStyle name="TITLE 4" xfId="376" xr:uid="{00000000-0005-0000-0000-00006F010000}"/>
    <cellStyle name="Title 4 2" xfId="377" xr:uid="{00000000-0005-0000-0000-000070010000}"/>
    <cellStyle name="Title 4_Section15" xfId="378" xr:uid="{00000000-0005-0000-0000-000071010000}"/>
    <cellStyle name="TITLE 5" xfId="379" xr:uid="{00000000-0005-0000-0000-000072010000}"/>
    <cellStyle name="Title 5 2" xfId="380" xr:uid="{00000000-0005-0000-0000-000073010000}"/>
    <cellStyle name="Title 5_Section15" xfId="381" xr:uid="{00000000-0005-0000-0000-000074010000}"/>
    <cellStyle name="Title 6" xfId="382" xr:uid="{00000000-0005-0000-0000-000075010000}"/>
    <cellStyle name="Title 6 2" xfId="383" xr:uid="{00000000-0005-0000-0000-000076010000}"/>
    <cellStyle name="Title 7" xfId="384" xr:uid="{00000000-0005-0000-0000-000077010000}"/>
    <cellStyle name="Title 7 2" xfId="385" xr:uid="{00000000-0005-0000-0000-000078010000}"/>
    <cellStyle name="Title 8" xfId="386" xr:uid="{00000000-0005-0000-0000-000079010000}"/>
    <cellStyle name="Title 9" xfId="387" xr:uid="{00000000-0005-0000-0000-00007A010000}"/>
    <cellStyle name="Total 2" xfId="197" xr:uid="{00000000-0005-0000-0000-00007B010000}"/>
    <cellStyle name="Total 2 2" xfId="198" xr:uid="{00000000-0005-0000-0000-00007C010000}"/>
    <cellStyle name="Total 2 2 2" xfId="389" xr:uid="{00000000-0005-0000-0000-00007D010000}"/>
    <cellStyle name="Total 2 3" xfId="388" xr:uid="{00000000-0005-0000-0000-00007E010000}"/>
    <cellStyle name="Total 2_010908" xfId="199" xr:uid="{00000000-0005-0000-0000-00007F010000}"/>
    <cellStyle name="Total 3" xfId="200" xr:uid="{00000000-0005-0000-0000-000080010000}"/>
    <cellStyle name="Total 3 2" xfId="390" xr:uid="{00000000-0005-0000-0000-000081010000}"/>
    <cellStyle name="Total 4" xfId="201" xr:uid="{00000000-0005-0000-0000-000082010000}"/>
    <cellStyle name="Total 4 2" xfId="391" xr:uid="{00000000-0005-0000-0000-000083010000}"/>
    <cellStyle name="Total 5" xfId="202" xr:uid="{00000000-0005-0000-0000-000084010000}"/>
    <cellStyle name="Total 6" xfId="203" xr:uid="{00000000-0005-0000-0000-000085010000}"/>
    <cellStyle name="Total 7" xfId="204" xr:uid="{00000000-0005-0000-0000-000086010000}"/>
    <cellStyle name="Total 8" xfId="205" xr:uid="{00000000-0005-0000-0000-000087010000}"/>
    <cellStyle name="Warning Text 2" xfId="206" xr:uid="{00000000-0005-0000-0000-000088010000}"/>
  </cellStyles>
  <dxfs count="1">
    <dxf>
      <fill>
        <patternFill>
          <bgColor theme="4" tint="0.399945066682943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Violet">
      <a:dk1>
        <a:sysClr val="windowText" lastClr="000000"/>
      </a:dk1>
      <a:lt1>
        <a:sysClr val="window" lastClr="FFFFFF"/>
      </a:lt1>
      <a:dk2>
        <a:srgbClr val="373545"/>
      </a:dk2>
      <a:lt2>
        <a:srgbClr val="DCD8DC"/>
      </a:lt2>
      <a:accent1>
        <a:srgbClr val="AD84C6"/>
      </a:accent1>
      <a:accent2>
        <a:srgbClr val="8784C7"/>
      </a:accent2>
      <a:accent3>
        <a:srgbClr val="5D739A"/>
      </a:accent3>
      <a:accent4>
        <a:srgbClr val="6997AF"/>
      </a:accent4>
      <a:accent5>
        <a:srgbClr val="84ACB6"/>
      </a:accent5>
      <a:accent6>
        <a:srgbClr val="6F8183"/>
      </a:accent6>
      <a:hlink>
        <a:srgbClr val="69A020"/>
      </a:hlink>
      <a:folHlink>
        <a:srgbClr val="8C8C8C"/>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hyperlink" Target="https://www.hawaiitourismauthority.org/research/monthly-visitor-statistics/" TargetMode="External"/><Relationship Id="rId1" Type="http://schemas.openxmlformats.org/officeDocument/2006/relationships/hyperlink" Target="https://www.hawaiitourismauthority.org/research/monthly-visitor-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84BE5-B7C3-4EB9-ADC6-7AD48515C0FA}">
  <sheetPr codeName="Sheet1"/>
  <dimension ref="A1:E58"/>
  <sheetViews>
    <sheetView topLeftCell="A37" workbookViewId="0">
      <selection activeCell="A59" sqref="A59:XFD59"/>
    </sheetView>
  </sheetViews>
  <sheetFormatPr defaultColWidth="8.5703125" defaultRowHeight="15"/>
  <cols>
    <col min="1" max="1" width="13.42578125" customWidth="1"/>
    <col min="3" max="3" width="12.42578125" customWidth="1"/>
    <col min="14" max="14" width="9.5703125" bestFit="1" customWidth="1"/>
  </cols>
  <sheetData>
    <row r="1" spans="1:1">
      <c r="A1" t="s">
        <v>0</v>
      </c>
    </row>
    <row r="3" spans="1:1">
      <c r="A3" t="s">
        <v>1</v>
      </c>
    </row>
    <row r="5" spans="1:1">
      <c r="A5" t="s">
        <v>2</v>
      </c>
    </row>
    <row r="6" spans="1:1">
      <c r="A6" t="s">
        <v>3</v>
      </c>
    </row>
    <row r="8" spans="1:1">
      <c r="A8" t="s">
        <v>4</v>
      </c>
    </row>
    <row r="9" spans="1:1">
      <c r="A9" t="s">
        <v>5</v>
      </c>
    </row>
    <row r="11" spans="1:1">
      <c r="A11" t="s">
        <v>6</v>
      </c>
    </row>
    <row r="12" spans="1:1">
      <c r="A12" t="s">
        <v>7</v>
      </c>
    </row>
    <row r="14" spans="1:1">
      <c r="A14" t="s">
        <v>8</v>
      </c>
    </row>
    <row r="15" spans="1:1">
      <c r="A15" t="s">
        <v>9</v>
      </c>
    </row>
    <row r="16" spans="1:1">
      <c r="A16" t="s">
        <v>10</v>
      </c>
    </row>
    <row r="17" spans="1:5">
      <c r="A17" t="s">
        <v>11</v>
      </c>
    </row>
    <row r="18" spans="1:5">
      <c r="A18" t="s">
        <v>12</v>
      </c>
    </row>
    <row r="20" spans="1:5">
      <c r="A20" t="s">
        <v>13</v>
      </c>
    </row>
    <row r="21" spans="1:5">
      <c r="A21" s="19" t="s">
        <v>14</v>
      </c>
      <c r="B21" s="19"/>
      <c r="C21" s="19" t="s">
        <v>15</v>
      </c>
      <c r="D21" s="19" t="s">
        <v>16</v>
      </c>
      <c r="E21" s="25" t="s">
        <v>17</v>
      </c>
    </row>
    <row r="22" spans="1:5">
      <c r="A22" s="2" t="s">
        <v>18</v>
      </c>
      <c r="B22" s="2"/>
      <c r="C22" s="7" t="s">
        <v>19</v>
      </c>
      <c r="D22" s="7"/>
      <c r="E22" t="s">
        <v>20</v>
      </c>
    </row>
    <row r="23" spans="1:5">
      <c r="A23" s="2" t="s">
        <v>21</v>
      </c>
      <c r="B23" s="2"/>
      <c r="C23" s="7" t="s">
        <v>19</v>
      </c>
      <c r="D23" s="7"/>
      <c r="E23" t="s">
        <v>20</v>
      </c>
    </row>
    <row r="24" spans="1:5">
      <c r="A24" s="2" t="s">
        <v>22</v>
      </c>
      <c r="B24" s="2"/>
      <c r="C24" s="7"/>
      <c r="D24" s="7" t="s">
        <v>19</v>
      </c>
      <c r="E24" t="s">
        <v>20</v>
      </c>
    </row>
    <row r="25" spans="1:5">
      <c r="A25" s="2" t="s">
        <v>23</v>
      </c>
      <c r="B25" s="2"/>
      <c r="C25" s="7"/>
      <c r="D25" s="7" t="s">
        <v>19</v>
      </c>
      <c r="E25" t="s">
        <v>20</v>
      </c>
    </row>
    <row r="26" spans="1:5">
      <c r="A26" s="22" t="s">
        <v>24</v>
      </c>
      <c r="B26" s="2"/>
      <c r="C26" s="7" t="s">
        <v>19</v>
      </c>
      <c r="D26" s="7" t="s">
        <v>19</v>
      </c>
      <c r="E26" t="s">
        <v>25</v>
      </c>
    </row>
    <row r="27" spans="1:5">
      <c r="B27" s="21"/>
      <c r="C27" s="13"/>
      <c r="D27" s="13"/>
      <c r="E27" s="13"/>
    </row>
    <row r="28" spans="1:5">
      <c r="A28" t="s">
        <v>26</v>
      </c>
      <c r="D28" s="23" t="s">
        <v>27</v>
      </c>
    </row>
    <row r="29" spans="1:5">
      <c r="A29" t="s">
        <v>28</v>
      </c>
      <c r="D29" s="23" t="s">
        <v>29</v>
      </c>
    </row>
    <row r="30" spans="1:5">
      <c r="A30" t="s">
        <v>30</v>
      </c>
      <c r="D30" s="24" t="s">
        <v>31</v>
      </c>
    </row>
    <row r="31" spans="1:5">
      <c r="A31" t="s">
        <v>32</v>
      </c>
      <c r="D31" s="23" t="s">
        <v>33</v>
      </c>
    </row>
    <row r="32" spans="1:5">
      <c r="A32" t="s">
        <v>34</v>
      </c>
      <c r="D32" s="23" t="s">
        <v>35</v>
      </c>
    </row>
    <row r="33" spans="1:4">
      <c r="A33" t="s">
        <v>36</v>
      </c>
      <c r="D33" s="23" t="s">
        <v>37</v>
      </c>
    </row>
    <row r="34" spans="1:4">
      <c r="D34" s="23"/>
    </row>
    <row r="35" spans="1:4">
      <c r="A35" t="s">
        <v>323</v>
      </c>
      <c r="D35" s="23" t="s">
        <v>324</v>
      </c>
    </row>
    <row r="37" spans="1:4">
      <c r="A37" t="s">
        <v>269</v>
      </c>
    </row>
    <row r="38" spans="1:4">
      <c r="A38" t="s">
        <v>270</v>
      </c>
    </row>
    <row r="40" spans="1:4">
      <c r="A40" t="s">
        <v>281</v>
      </c>
      <c r="C40">
        <v>11</v>
      </c>
      <c r="D40" t="s">
        <v>271</v>
      </c>
    </row>
    <row r="41" spans="1:4">
      <c r="A41" t="s">
        <v>274</v>
      </c>
      <c r="C41">
        <v>0.79800000000000004</v>
      </c>
      <c r="D41" t="s">
        <v>272</v>
      </c>
    </row>
    <row r="42" spans="1:4">
      <c r="C42">
        <v>43.92</v>
      </c>
      <c r="D42" t="s">
        <v>273</v>
      </c>
    </row>
    <row r="43" spans="1:4">
      <c r="C43" s="309">
        <f>1/(C41*C42)</f>
        <v>2.8532168307836985E-2</v>
      </c>
      <c r="D43" t="s">
        <v>275</v>
      </c>
    </row>
    <row r="44" spans="1:4">
      <c r="C44" s="320">
        <f>1/C43</f>
        <v>35.048160000000003</v>
      </c>
      <c r="D44" s="320" t="s">
        <v>276</v>
      </c>
    </row>
    <row r="45" spans="1:4">
      <c r="A45" t="s">
        <v>280</v>
      </c>
    </row>
    <row r="46" spans="1:4">
      <c r="A46" t="s">
        <v>279</v>
      </c>
    </row>
    <row r="47" spans="1:4">
      <c r="A47">
        <v>1570</v>
      </c>
      <c r="B47" t="s">
        <v>277</v>
      </c>
      <c r="C47" s="310">
        <f>A47*C44*1000/1000000000</f>
        <v>5.5025611200000005E-2</v>
      </c>
      <c r="D47" t="s">
        <v>278</v>
      </c>
    </row>
    <row r="48" spans="1:4">
      <c r="A48" t="s">
        <v>282</v>
      </c>
    </row>
    <row r="50" spans="1:1">
      <c r="A50" t="s">
        <v>283</v>
      </c>
    </row>
    <row r="51" spans="1:1">
      <c r="A51" t="s">
        <v>285</v>
      </c>
    </row>
    <row r="52" spans="1:1">
      <c r="A52" t="s">
        <v>284</v>
      </c>
    </row>
    <row r="54" spans="1:1">
      <c r="A54" t="s">
        <v>325</v>
      </c>
    </row>
    <row r="56" spans="1:1">
      <c r="A56" t="s">
        <v>376</v>
      </c>
    </row>
    <row r="57" spans="1:1">
      <c r="A57" s="277" t="s">
        <v>374</v>
      </c>
    </row>
    <row r="58" spans="1:1">
      <c r="A58" s="386" t="s">
        <v>375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320F7-64D6-4431-8965-38AB346BA218}">
  <sheetPr>
    <tabColor rgb="FF00B0F0"/>
  </sheetPr>
  <dimension ref="A1:C6"/>
  <sheetViews>
    <sheetView workbookViewId="0">
      <selection activeCell="B3" sqref="B3"/>
    </sheetView>
  </sheetViews>
  <sheetFormatPr defaultRowHeight="15"/>
  <sheetData>
    <row r="1" spans="1:3">
      <c r="A1" t="s">
        <v>306</v>
      </c>
    </row>
    <row r="2" spans="1:3">
      <c r="A2">
        <v>2008</v>
      </c>
      <c r="B2">
        <v>646</v>
      </c>
      <c r="C2" t="s">
        <v>307</v>
      </c>
    </row>
    <row r="3" spans="1:3">
      <c r="A3">
        <v>2019</v>
      </c>
      <c r="B3">
        <v>692</v>
      </c>
      <c r="C3" t="s">
        <v>307</v>
      </c>
    </row>
    <row r="4" spans="1:3">
      <c r="A4">
        <v>2022</v>
      </c>
      <c r="B4">
        <v>706</v>
      </c>
      <c r="C4" t="s">
        <v>307</v>
      </c>
    </row>
    <row r="5" spans="1:3">
      <c r="A5" t="s">
        <v>298</v>
      </c>
    </row>
    <row r="6" spans="1:3">
      <c r="A6" t="s">
        <v>338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4DD45-B9AB-4C38-B242-BCBCC6A155AD}">
  <sheetPr>
    <tabColor rgb="FF00B0F0"/>
  </sheetPr>
  <dimension ref="A1:H39"/>
  <sheetViews>
    <sheetView topLeftCell="A22" workbookViewId="0">
      <selection activeCell="M43" sqref="M43"/>
    </sheetView>
  </sheetViews>
  <sheetFormatPr defaultRowHeight="15"/>
  <cols>
    <col min="2" max="2" width="9.5703125" customWidth="1"/>
  </cols>
  <sheetData>
    <row r="1" spans="1:8" ht="33" customHeight="1">
      <c r="A1" s="582" t="s">
        <v>308</v>
      </c>
      <c r="B1" s="582"/>
      <c r="C1" s="582"/>
      <c r="F1" t="s">
        <v>309</v>
      </c>
    </row>
    <row r="2" spans="1:8">
      <c r="A2" s="583" t="s">
        <v>51</v>
      </c>
      <c r="B2" s="584" t="s">
        <v>327</v>
      </c>
      <c r="C2" s="573"/>
      <c r="G2" t="s">
        <v>310</v>
      </c>
      <c r="H2" t="s">
        <v>337</v>
      </c>
    </row>
    <row r="3" spans="1:8">
      <c r="A3" s="583"/>
    </row>
    <row r="4" spans="1:8">
      <c r="A4" s="7">
        <v>2019</v>
      </c>
      <c r="G4" s="332">
        <v>4.8133650000000001</v>
      </c>
      <c r="H4" s="310">
        <f>$G$7/G4</f>
        <v>1.0014254061347934</v>
      </c>
    </row>
    <row r="5" spans="1:8">
      <c r="A5" s="7">
        <f t="shared" ref="A5:A35" si="0">A4+1</f>
        <v>2020</v>
      </c>
      <c r="G5" s="332">
        <v>4.8419600000000003</v>
      </c>
      <c r="H5" s="310">
        <f t="shared" ref="H5:H35" si="1">$G$7/G5</f>
        <v>0.9955113218613949</v>
      </c>
    </row>
    <row r="6" spans="1:8">
      <c r="A6" s="7">
        <f t="shared" si="0"/>
        <v>2021</v>
      </c>
      <c r="G6" s="332">
        <v>4.8707260000000003</v>
      </c>
      <c r="H6" s="310">
        <f t="shared" si="1"/>
        <v>0.98963193577302433</v>
      </c>
    </row>
    <row r="7" spans="1:8">
      <c r="A7" s="7">
        <f t="shared" si="0"/>
        <v>2022</v>
      </c>
      <c r="G7" s="333">
        <v>4.8202259999999999</v>
      </c>
      <c r="H7" s="310">
        <f t="shared" si="1"/>
        <v>1</v>
      </c>
    </row>
    <row r="8" spans="1:8">
      <c r="A8" s="7">
        <f t="shared" si="0"/>
        <v>2023</v>
      </c>
      <c r="B8" s="75">
        <v>1</v>
      </c>
      <c r="C8" s="75">
        <f>B8</f>
        <v>1</v>
      </c>
      <c r="G8" s="333">
        <v>4.8389660000000001</v>
      </c>
      <c r="H8" s="310">
        <f t="shared" si="1"/>
        <v>0.99612727181798755</v>
      </c>
    </row>
    <row r="9" spans="1:8">
      <c r="A9" s="7">
        <f t="shared" si="0"/>
        <v>2024</v>
      </c>
      <c r="B9" s="1">
        <f>B8</f>
        <v>1</v>
      </c>
      <c r="C9" s="1">
        <f>C8</f>
        <v>1</v>
      </c>
      <c r="G9" s="333">
        <v>4.8577789999999998</v>
      </c>
      <c r="H9" s="310">
        <f t="shared" si="1"/>
        <v>0.99226951246649964</v>
      </c>
    </row>
    <row r="10" spans="1:8">
      <c r="A10" s="7">
        <f t="shared" si="0"/>
        <v>2025</v>
      </c>
      <c r="B10" s="1">
        <f>$B$8+($B$15-$B$8)*(A10-$A$8)/($A$15-$A$8)</f>
        <v>0.89728854714690409</v>
      </c>
      <c r="C10" s="1">
        <f>C$8+(C$15-C$8)*($A10-$A$8)/($A$15-$A$8)</f>
        <v>0.95912585997571831</v>
      </c>
      <c r="G10" s="333">
        <v>4.876665</v>
      </c>
      <c r="H10" s="310">
        <f t="shared" si="1"/>
        <v>0.9884267219503492</v>
      </c>
    </row>
    <row r="11" spans="1:8">
      <c r="A11" s="7">
        <f t="shared" si="0"/>
        <v>2026</v>
      </c>
      <c r="B11" s="1">
        <f>$B$8+($B$15-$B$8)*(A11-$A$8)/($A$15-$A$8)</f>
        <v>0.84593282072035614</v>
      </c>
      <c r="C11" s="1">
        <f>C$8+(C$15-C$8)*($A11-$A$8)/($A$15-$A$8)</f>
        <v>0.93868878996357752</v>
      </c>
      <c r="G11" s="333">
        <v>4.8956239999999998</v>
      </c>
      <c r="H11" s="310">
        <f t="shared" si="1"/>
        <v>0.98459889893504893</v>
      </c>
    </row>
    <row r="12" spans="1:8">
      <c r="A12" s="7">
        <f t="shared" si="0"/>
        <v>2027</v>
      </c>
      <c r="B12" s="1">
        <f>$B$8+($B$15-$B$8)*(A12-$A$8)/($A$15-$A$8)</f>
        <v>0.79457709429380818</v>
      </c>
      <c r="C12" s="1">
        <f>C$8+(C$15-C$8)*($A12-$A$8)/($A$15-$A$8)</f>
        <v>0.91825171995143662</v>
      </c>
      <c r="G12" s="333">
        <v>4.9146570000000001</v>
      </c>
      <c r="H12" s="310">
        <f t="shared" si="1"/>
        <v>0.98078584120926438</v>
      </c>
    </row>
    <row r="13" spans="1:8">
      <c r="A13" s="7">
        <f t="shared" si="0"/>
        <v>2028</v>
      </c>
      <c r="B13" s="1">
        <f>$B$8+($B$15-$B$8)*(A13-$A$8)/($A$15-$A$8)</f>
        <v>0.74322136786726023</v>
      </c>
      <c r="C13" s="1">
        <f>C$8+(C$15-C$8)*($A13-$A$8)/($A$15-$A$8)</f>
        <v>0.89781464993929583</v>
      </c>
      <c r="G13" s="333">
        <v>4.933764</v>
      </c>
      <c r="H13" s="310">
        <f t="shared" si="1"/>
        <v>0.97698754946527633</v>
      </c>
    </row>
    <row r="14" spans="1:8">
      <c r="A14" s="7">
        <f t="shared" si="0"/>
        <v>2029</v>
      </c>
      <c r="B14" s="1">
        <f>$B$8+($B$15-$B$8)*(A14-$A$8)/($A$15-$A$8)</f>
        <v>0.69186564144071228</v>
      </c>
      <c r="C14" s="1">
        <f>C$8+(C$15-C$8)*($A14-$A$8)/($A$15-$A$8)</f>
        <v>0.87737757992715493</v>
      </c>
      <c r="G14" s="333">
        <v>4.9529449999999997</v>
      </c>
      <c r="H14" s="310">
        <f t="shared" si="1"/>
        <v>0.97320402306102738</v>
      </c>
    </row>
    <row r="15" spans="1:8">
      <c r="A15" s="334">
        <f t="shared" si="0"/>
        <v>2030</v>
      </c>
      <c r="B15" s="335">
        <f>(1-30%)*Historicals!$B$2/Historicals!$B$4</f>
        <v>0.64050991501416432</v>
      </c>
      <c r="C15" s="335">
        <f>605/Historicals!B4</f>
        <v>0.85694050991501414</v>
      </c>
      <c r="G15" s="333">
        <v>4.9722</v>
      </c>
      <c r="H15" s="310">
        <f t="shared" si="1"/>
        <v>0.9694352600458549</v>
      </c>
    </row>
    <row r="16" spans="1:8">
      <c r="A16" s="7">
        <f t="shared" si="0"/>
        <v>2031</v>
      </c>
      <c r="B16" s="1">
        <f>B$15+(B$25-B$15)*($A16-$A$15)/($A$25-$A$15)</f>
        <v>0.59475920679886685</v>
      </c>
      <c r="C16" s="1">
        <f t="shared" ref="C16:C24" si="2">C$15+(C$25-C$15)*($A16-$A$15)/($A$25-$A$15)</f>
        <v>0.79869688385269122</v>
      </c>
      <c r="G16" s="333">
        <v>4.9915310000000002</v>
      </c>
      <c r="H16" s="310">
        <f t="shared" si="1"/>
        <v>0.96568087025804306</v>
      </c>
    </row>
    <row r="17" spans="1:8">
      <c r="A17" s="336">
        <f t="shared" si="0"/>
        <v>2032</v>
      </c>
      <c r="B17" s="1">
        <f t="shared" ref="B17:B24" si="3">$B$15+($B$25-$B$15)*(A17-$A$15)/($A$25-$A$15)</f>
        <v>0.54900849858356937</v>
      </c>
      <c r="C17" s="1">
        <f t="shared" si="2"/>
        <v>0.7404532577903683</v>
      </c>
      <c r="G17" s="333">
        <v>5.0109370000000002</v>
      </c>
      <c r="H17" s="310">
        <f t="shared" si="1"/>
        <v>0.96194105014690856</v>
      </c>
    </row>
    <row r="18" spans="1:8">
      <c r="A18" s="336">
        <f t="shared" si="0"/>
        <v>2033</v>
      </c>
      <c r="B18" s="1">
        <f t="shared" si="3"/>
        <v>0.50325779036827201</v>
      </c>
      <c r="C18" s="1">
        <f t="shared" si="2"/>
        <v>0.68220963172804527</v>
      </c>
      <c r="G18" s="333">
        <v>5.0304180000000001</v>
      </c>
      <c r="H18" s="310">
        <f t="shared" si="1"/>
        <v>0.95821579836904203</v>
      </c>
    </row>
    <row r="19" spans="1:8">
      <c r="A19" s="336">
        <f t="shared" si="0"/>
        <v>2034</v>
      </c>
      <c r="B19" s="1">
        <f t="shared" si="3"/>
        <v>0.45750708215297448</v>
      </c>
      <c r="C19" s="1">
        <f t="shared" si="2"/>
        <v>0.62396600566572236</v>
      </c>
      <c r="G19" s="333">
        <v>5.0499749999999999</v>
      </c>
      <c r="H19" s="310">
        <f t="shared" si="1"/>
        <v>0.95450492329169945</v>
      </c>
    </row>
    <row r="20" spans="1:8">
      <c r="A20" s="336">
        <f t="shared" si="0"/>
        <v>2035</v>
      </c>
      <c r="B20" s="1">
        <f t="shared" si="3"/>
        <v>0.41175637393767706</v>
      </c>
      <c r="C20" s="1">
        <f t="shared" si="2"/>
        <v>0.56572237960339944</v>
      </c>
      <c r="G20" s="333">
        <v>5.0696079999999997</v>
      </c>
      <c r="H20" s="310">
        <f t="shared" si="1"/>
        <v>0.95080842542460886</v>
      </c>
    </row>
    <row r="21" spans="1:8">
      <c r="A21" s="336">
        <f t="shared" si="0"/>
        <v>2036</v>
      </c>
      <c r="B21" s="1">
        <f t="shared" si="3"/>
        <v>0.36600566572237958</v>
      </c>
      <c r="C21" s="1">
        <f t="shared" si="2"/>
        <v>0.50747875354107652</v>
      </c>
      <c r="G21" s="333">
        <v>5.0893170000000003</v>
      </c>
      <c r="H21" s="310">
        <f t="shared" si="1"/>
        <v>0.94712630398145758</v>
      </c>
    </row>
    <row r="22" spans="1:8">
      <c r="A22" s="336">
        <f t="shared" si="0"/>
        <v>2037</v>
      </c>
      <c r="B22" s="1">
        <f t="shared" si="3"/>
        <v>0.32025495750708211</v>
      </c>
      <c r="C22" s="1">
        <f t="shared" si="2"/>
        <v>0.44923512747875355</v>
      </c>
      <c r="G22" s="333">
        <v>5.1091030000000002</v>
      </c>
      <c r="H22" s="310">
        <f t="shared" si="1"/>
        <v>0.94345837224264217</v>
      </c>
    </row>
    <row r="23" spans="1:8">
      <c r="A23" s="336">
        <f t="shared" si="0"/>
        <v>2038</v>
      </c>
      <c r="B23" s="1">
        <f t="shared" si="3"/>
        <v>0.27450424929178463</v>
      </c>
      <c r="C23" s="1">
        <f t="shared" si="2"/>
        <v>0.39099150141643063</v>
      </c>
      <c r="G23" s="333">
        <v>5.1289660000000001</v>
      </c>
      <c r="H23" s="310">
        <f t="shared" si="1"/>
        <v>0.93980463118687074</v>
      </c>
    </row>
    <row r="24" spans="1:8">
      <c r="A24" s="336">
        <f t="shared" si="0"/>
        <v>2039</v>
      </c>
      <c r="B24" s="1">
        <f t="shared" si="3"/>
        <v>0.22875354107648721</v>
      </c>
      <c r="C24" s="1">
        <f t="shared" si="2"/>
        <v>0.33274787535410766</v>
      </c>
      <c r="G24" s="333">
        <v>5.1489060000000002</v>
      </c>
      <c r="H24" s="310">
        <f t="shared" si="1"/>
        <v>0.93616508050447989</v>
      </c>
    </row>
    <row r="25" spans="1:8">
      <c r="A25" s="337">
        <f t="shared" si="0"/>
        <v>2040</v>
      </c>
      <c r="B25" s="335">
        <f>(1-80%)*Historicals!$B$2/Historicals!$B$4</f>
        <v>0.18300283286118973</v>
      </c>
      <c r="C25" s="335">
        <f>(1-70%)*Historicals!$B$2/Historicals!$B$4</f>
        <v>0.27450424929178474</v>
      </c>
      <c r="G25" s="333">
        <v>5.1689230000000004</v>
      </c>
      <c r="H25" s="310">
        <f t="shared" si="1"/>
        <v>0.93253971862223517</v>
      </c>
    </row>
    <row r="26" spans="1:8">
      <c r="A26" s="336">
        <f t="shared" si="0"/>
        <v>2041</v>
      </c>
      <c r="B26" s="1">
        <f>B$25+(B$35-B$25)*($A26-$A$25)/($A$35-$A$25)</f>
        <v>0.16470254957507077</v>
      </c>
      <c r="C26" s="1">
        <f t="shared" ref="C26:C34" si="4">C$25+(C$35-C$25)*($A26-$A$25)/($A$35-$A$25)</f>
        <v>0.24705382436260626</v>
      </c>
      <c r="G26" s="333">
        <v>5.189019</v>
      </c>
      <c r="H26" s="310">
        <f t="shared" si="1"/>
        <v>0.92892818469155725</v>
      </c>
    </row>
    <row r="27" spans="1:8">
      <c r="A27" s="336">
        <f t="shared" si="0"/>
        <v>2042</v>
      </c>
      <c r="B27" s="1">
        <f t="shared" ref="B27:B34" si="5">$B$25+($B$35-$B$25)*(A27-$A$25)/($A$35-$A$25)</f>
        <v>0.14640226628895178</v>
      </c>
      <c r="C27" s="1">
        <f t="shared" si="4"/>
        <v>0.2196033994334278</v>
      </c>
      <c r="G27" s="333">
        <v>5.2091919999999998</v>
      </c>
      <c r="H27" s="310">
        <f t="shared" si="1"/>
        <v>0.92533083825668161</v>
      </c>
    </row>
    <row r="28" spans="1:8">
      <c r="A28" s="336">
        <f t="shared" si="0"/>
        <v>2043</v>
      </c>
      <c r="B28" s="1">
        <f t="shared" si="5"/>
        <v>0.12810198300283282</v>
      </c>
      <c r="C28" s="1">
        <f t="shared" si="4"/>
        <v>0.19215297450424931</v>
      </c>
      <c r="G28" s="333">
        <v>5.2294450000000001</v>
      </c>
      <c r="H28" s="310">
        <f t="shared" si="1"/>
        <v>0.92174714525155155</v>
      </c>
    </row>
    <row r="29" spans="1:8">
      <c r="A29" s="336">
        <f t="shared" si="0"/>
        <v>2044</v>
      </c>
      <c r="B29" s="1">
        <f t="shared" si="5"/>
        <v>0.10980169971671384</v>
      </c>
      <c r="C29" s="1">
        <f t="shared" si="4"/>
        <v>0.16470254957507086</v>
      </c>
      <c r="G29" s="333">
        <v>5.2497749999999996</v>
      </c>
      <c r="H29" s="310">
        <f t="shared" si="1"/>
        <v>0.91817763618440795</v>
      </c>
    </row>
    <row r="30" spans="1:8">
      <c r="A30" s="336">
        <f t="shared" si="0"/>
        <v>2045</v>
      </c>
      <c r="B30" s="1">
        <f t="shared" si="5"/>
        <v>9.1501416430594867E-2</v>
      </c>
      <c r="C30" s="1">
        <f t="shared" si="4"/>
        <v>0.13725212464589237</v>
      </c>
      <c r="G30" s="333">
        <v>5.2701849999999997</v>
      </c>
      <c r="H30" s="310">
        <f t="shared" si="1"/>
        <v>0.9146217827267924</v>
      </c>
    </row>
    <row r="31" spans="1:8">
      <c r="A31" s="336">
        <f t="shared" si="0"/>
        <v>2046</v>
      </c>
      <c r="B31" s="1">
        <f t="shared" si="5"/>
        <v>7.3201133144475877E-2</v>
      </c>
      <c r="C31" s="1">
        <f t="shared" si="4"/>
        <v>0.10980169971671389</v>
      </c>
      <c r="G31" s="333">
        <v>5.2906740000000001</v>
      </c>
      <c r="H31" s="310">
        <f t="shared" si="1"/>
        <v>0.91107976034811444</v>
      </c>
    </row>
    <row r="32" spans="1:8">
      <c r="A32" s="336">
        <f t="shared" si="0"/>
        <v>2047</v>
      </c>
      <c r="B32" s="1">
        <f t="shared" si="5"/>
        <v>5.4900849858356915E-2</v>
      </c>
      <c r="C32" s="1">
        <f t="shared" si="4"/>
        <v>8.2351274787535428E-2</v>
      </c>
      <c r="G32" s="333">
        <v>5.3112430000000002</v>
      </c>
      <c r="H32" s="310">
        <f t="shared" si="1"/>
        <v>0.90755139616093627</v>
      </c>
    </row>
    <row r="33" spans="1:8">
      <c r="A33" s="336">
        <f t="shared" si="0"/>
        <v>2048</v>
      </c>
      <c r="B33" s="1">
        <f t="shared" si="5"/>
        <v>3.6600566572237953E-2</v>
      </c>
      <c r="C33" s="1">
        <f t="shared" si="4"/>
        <v>5.4900849858356943E-2</v>
      </c>
      <c r="G33" s="333">
        <v>5.3318919999999999</v>
      </c>
      <c r="H33" s="310">
        <f t="shared" si="1"/>
        <v>0.90403669091572003</v>
      </c>
    </row>
    <row r="34" spans="1:8">
      <c r="A34" s="336">
        <f t="shared" si="0"/>
        <v>2049</v>
      </c>
      <c r="B34" s="1">
        <f t="shared" si="5"/>
        <v>1.830028328611899E-2</v>
      </c>
      <c r="C34" s="1">
        <f t="shared" si="4"/>
        <v>2.7450424929178457E-2</v>
      </c>
      <c r="G34" s="333">
        <v>5.3526210000000001</v>
      </c>
      <c r="H34" s="310">
        <f t="shared" si="1"/>
        <v>0.90053564412649423</v>
      </c>
    </row>
    <row r="35" spans="1:8">
      <c r="A35" s="336">
        <f t="shared" si="0"/>
        <v>2050</v>
      </c>
      <c r="B35" s="75">
        <v>0</v>
      </c>
      <c r="C35" s="75">
        <v>0</v>
      </c>
      <c r="G35" s="333">
        <v>5.3734299999999999</v>
      </c>
      <c r="H35" s="310">
        <f t="shared" si="1"/>
        <v>0.89704825409468436</v>
      </c>
    </row>
    <row r="36" spans="1:8">
      <c r="G36" s="338">
        <v>3.888E-3</v>
      </c>
      <c r="H36" s="310"/>
    </row>
    <row r="37" spans="1:8">
      <c r="A37" t="s">
        <v>298</v>
      </c>
      <c r="G37" t="s">
        <v>311</v>
      </c>
      <c r="H37" s="310"/>
    </row>
    <row r="38" spans="1:8">
      <c r="A38" t="s">
        <v>312</v>
      </c>
      <c r="H38" s="310"/>
    </row>
    <row r="39" spans="1:8">
      <c r="A39" t="s">
        <v>313</v>
      </c>
      <c r="H39" s="310"/>
    </row>
  </sheetData>
  <mergeCells count="3">
    <mergeCell ref="A1:C1"/>
    <mergeCell ref="A2:A3"/>
    <mergeCell ref="B2:C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00B050"/>
  </sheetPr>
  <dimension ref="A1:AX29"/>
  <sheetViews>
    <sheetView tabSelected="1" workbookViewId="0">
      <pane xSplit="1" ySplit="3" topLeftCell="T4" activePane="bottomRight" state="frozen"/>
      <selection pane="topRight" activeCell="B1" sqref="B1"/>
      <selection pane="bottomLeft" activeCell="A4" sqref="A4"/>
      <selection pane="bottomRight" activeCell="T31" sqref="T31:Z60"/>
    </sheetView>
  </sheetViews>
  <sheetFormatPr defaultColWidth="8.5703125" defaultRowHeight="15"/>
  <cols>
    <col min="1" max="1" width="23" customWidth="1"/>
    <col min="2" max="7" width="8.85546875" hidden="1" customWidth="1"/>
    <col min="8" max="10" width="8.140625" hidden="1" customWidth="1"/>
    <col min="11" max="11" width="9.85546875" hidden="1" customWidth="1"/>
    <col min="12" max="15" width="8.140625" hidden="1" customWidth="1"/>
    <col min="16" max="16" width="9.85546875" hidden="1" customWidth="1"/>
    <col min="17" max="19" width="8.140625" hidden="1" customWidth="1"/>
    <col min="20" max="25" width="8.140625" customWidth="1"/>
    <col min="26" max="26" width="10.42578125" customWidth="1"/>
    <col min="27" max="29" width="8.140625" customWidth="1"/>
    <col min="30" max="30" width="9" bestFit="1" customWidth="1"/>
    <col min="31" max="31" width="10.42578125" customWidth="1"/>
    <col min="32" max="35" width="9" bestFit="1" customWidth="1"/>
    <col min="36" max="36" width="10" customWidth="1"/>
    <col min="37" max="40" width="9" bestFit="1" customWidth="1"/>
    <col min="41" max="41" width="10.42578125" customWidth="1"/>
    <col min="42" max="45" width="9" bestFit="1" customWidth="1"/>
    <col min="46" max="46" width="10.140625" customWidth="1"/>
    <col min="51" max="51" width="30.85546875" customWidth="1"/>
  </cols>
  <sheetData>
    <row r="1" spans="1:50" ht="15.75" thickBot="1">
      <c r="A1" s="36" t="s">
        <v>38</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row>
    <row r="2" spans="1:50" s="4" customFormat="1" ht="14.85" customHeight="1">
      <c r="A2" s="264"/>
      <c r="B2" s="28">
        <v>1990</v>
      </c>
      <c r="C2" s="28">
        <v>2005</v>
      </c>
      <c r="D2" s="28">
        <v>2007</v>
      </c>
      <c r="E2" s="28">
        <v>2010</v>
      </c>
      <c r="F2" s="29">
        <v>2015</v>
      </c>
      <c r="G2" s="30">
        <v>2016</v>
      </c>
      <c r="H2" s="31">
        <v>2017</v>
      </c>
      <c r="I2" s="281">
        <v>2018</v>
      </c>
      <c r="J2" s="282">
        <v>2019</v>
      </c>
      <c r="K2" s="31">
        <v>2019</v>
      </c>
      <c r="L2" s="31">
        <v>2019</v>
      </c>
      <c r="M2" s="31">
        <v>2019</v>
      </c>
      <c r="N2" s="281">
        <v>2019</v>
      </c>
      <c r="O2" s="284">
        <f>S2</f>
        <v>2020</v>
      </c>
      <c r="P2" s="33">
        <f>O2</f>
        <v>2020</v>
      </c>
      <c r="Q2" s="33">
        <f>P2</f>
        <v>2020</v>
      </c>
      <c r="R2" s="33">
        <f>Q2</f>
        <v>2020</v>
      </c>
      <c r="S2" s="32">
        <v>2020</v>
      </c>
      <c r="T2" s="284">
        <f>X2</f>
        <v>2022</v>
      </c>
      <c r="U2" s="33">
        <f>T2</f>
        <v>2022</v>
      </c>
      <c r="V2" s="33">
        <f>U2</f>
        <v>2022</v>
      </c>
      <c r="W2" s="33">
        <f>V2</f>
        <v>2022</v>
      </c>
      <c r="X2" s="32">
        <v>2022</v>
      </c>
      <c r="Y2" s="258">
        <f>AC2</f>
        <v>2025</v>
      </c>
      <c r="Z2" s="259">
        <f>Y2</f>
        <v>2025</v>
      </c>
      <c r="AA2" s="259">
        <f>Z2</f>
        <v>2025</v>
      </c>
      <c r="AB2" s="259">
        <f>AA2</f>
        <v>2025</v>
      </c>
      <c r="AC2" s="295">
        <v>2025</v>
      </c>
      <c r="AD2" s="259">
        <f>AH2</f>
        <v>2030</v>
      </c>
      <c r="AE2" s="259">
        <f>AD2</f>
        <v>2030</v>
      </c>
      <c r="AF2" s="259">
        <f>AE2</f>
        <v>2030</v>
      </c>
      <c r="AG2" s="259">
        <f>AF2</f>
        <v>2030</v>
      </c>
      <c r="AH2" s="295">
        <v>2030</v>
      </c>
      <c r="AI2" s="259">
        <f>AM2</f>
        <v>2035</v>
      </c>
      <c r="AJ2" s="259">
        <f>AI2</f>
        <v>2035</v>
      </c>
      <c r="AK2" s="259">
        <f>AJ2</f>
        <v>2035</v>
      </c>
      <c r="AL2" s="259">
        <f>AK2</f>
        <v>2035</v>
      </c>
      <c r="AM2" s="295">
        <v>2035</v>
      </c>
      <c r="AN2" s="259">
        <f>AR2</f>
        <v>2040</v>
      </c>
      <c r="AO2" s="259">
        <f>AN2</f>
        <v>2040</v>
      </c>
      <c r="AP2" s="259">
        <f>AO2</f>
        <v>2040</v>
      </c>
      <c r="AQ2" s="259">
        <f>AP2</f>
        <v>2040</v>
      </c>
      <c r="AR2" s="295">
        <v>2040</v>
      </c>
      <c r="AS2" s="259">
        <f>AW2</f>
        <v>2045</v>
      </c>
      <c r="AT2" s="259">
        <f>AS2</f>
        <v>2045</v>
      </c>
      <c r="AU2" s="259">
        <f>AT2</f>
        <v>2045</v>
      </c>
      <c r="AV2" s="259">
        <f>AU2</f>
        <v>2045</v>
      </c>
      <c r="AW2" s="295">
        <v>2045</v>
      </c>
    </row>
    <row r="3" spans="1:50" s="4" customFormat="1" ht="21" customHeight="1" thickBot="1">
      <c r="A3" s="265" t="s">
        <v>39</v>
      </c>
      <c r="B3" s="526" t="s">
        <v>40</v>
      </c>
      <c r="C3" s="527"/>
      <c r="D3" s="527"/>
      <c r="E3" s="527"/>
      <c r="F3" s="527"/>
      <c r="G3" s="527"/>
      <c r="H3" s="527"/>
      <c r="I3" s="527"/>
      <c r="J3" s="519" t="s">
        <v>41</v>
      </c>
      <c r="K3" s="503" t="s">
        <v>56</v>
      </c>
      <c r="L3" s="503" t="s">
        <v>43</v>
      </c>
      <c r="M3" s="503" t="s">
        <v>44</v>
      </c>
      <c r="N3" s="520" t="s">
        <v>40</v>
      </c>
      <c r="O3" s="519" t="s">
        <v>41</v>
      </c>
      <c r="P3" s="503" t="s">
        <v>56</v>
      </c>
      <c r="Q3" s="503" t="s">
        <v>43</v>
      </c>
      <c r="R3" s="510" t="s">
        <v>44</v>
      </c>
      <c r="S3" s="520" t="s">
        <v>40</v>
      </c>
      <c r="T3" s="508" t="s">
        <v>41</v>
      </c>
      <c r="U3" s="503" t="s">
        <v>56</v>
      </c>
      <c r="V3" s="509" t="s">
        <v>43</v>
      </c>
      <c r="W3" s="510" t="s">
        <v>44</v>
      </c>
      <c r="X3" s="511" t="s">
        <v>40</v>
      </c>
      <c r="Y3" s="508" t="s">
        <v>41</v>
      </c>
      <c r="Z3" s="503" t="s">
        <v>56</v>
      </c>
      <c r="AA3" s="509" t="s">
        <v>43</v>
      </c>
      <c r="AB3" s="510" t="s">
        <v>44</v>
      </c>
      <c r="AC3" s="511" t="s">
        <v>40</v>
      </c>
      <c r="AD3" s="502" t="s">
        <v>41</v>
      </c>
      <c r="AE3" s="503" t="s">
        <v>56</v>
      </c>
      <c r="AF3" s="503" t="s">
        <v>43</v>
      </c>
      <c r="AG3" s="504" t="s">
        <v>44</v>
      </c>
      <c r="AH3" s="505" t="s">
        <v>40</v>
      </c>
      <c r="AI3" s="502" t="s">
        <v>41</v>
      </c>
      <c r="AJ3" s="503" t="s">
        <v>56</v>
      </c>
      <c r="AK3" s="503" t="s">
        <v>43</v>
      </c>
      <c r="AL3" s="504" t="s">
        <v>44</v>
      </c>
      <c r="AM3" s="505" t="s">
        <v>40</v>
      </c>
      <c r="AN3" s="502" t="s">
        <v>41</v>
      </c>
      <c r="AO3" s="503" t="s">
        <v>56</v>
      </c>
      <c r="AP3" s="503" t="s">
        <v>43</v>
      </c>
      <c r="AQ3" s="504" t="s">
        <v>44</v>
      </c>
      <c r="AR3" s="505" t="s">
        <v>40</v>
      </c>
      <c r="AS3" s="502" t="s">
        <v>41</v>
      </c>
      <c r="AT3" s="503" t="s">
        <v>56</v>
      </c>
      <c r="AU3" s="503" t="s">
        <v>43</v>
      </c>
      <c r="AV3" s="504" t="s">
        <v>44</v>
      </c>
      <c r="AW3" s="505" t="s">
        <v>40</v>
      </c>
    </row>
    <row r="4" spans="1:50" s="4" customFormat="1">
      <c r="A4" s="513" t="s">
        <v>45</v>
      </c>
      <c r="B4" s="488">
        <f t="shared" ref="B4:AW4" si="0">SUM(B5:B7)</f>
        <v>5.8870727616664107</v>
      </c>
      <c r="C4" s="489">
        <f t="shared" si="0"/>
        <v>7.1801580876951245</v>
      </c>
      <c r="D4" s="489">
        <f t="shared" si="0"/>
        <v>6.4541549666239328</v>
      </c>
      <c r="E4" s="489">
        <f t="shared" si="0"/>
        <v>5.1534340760693027</v>
      </c>
      <c r="F4" s="489">
        <f t="shared" si="0"/>
        <v>5.1482294981662715</v>
      </c>
      <c r="G4" s="489">
        <f t="shared" si="0"/>
        <v>5.3453008955165577</v>
      </c>
      <c r="H4" s="489">
        <f t="shared" si="0"/>
        <v>5.6631204890753164</v>
      </c>
      <c r="I4" s="491">
        <f t="shared" si="0"/>
        <v>5.9587763888771264</v>
      </c>
      <c r="J4" s="488">
        <f t="shared" si="0"/>
        <v>0.66660546288491018</v>
      </c>
      <c r="K4" s="489">
        <f t="shared" si="0"/>
        <v>3.452220090778813</v>
      </c>
      <c r="L4" s="489">
        <f t="shared" si="0"/>
        <v>0.53773347149631701</v>
      </c>
      <c r="M4" s="489">
        <f t="shared" si="0"/>
        <v>1.29360388165827</v>
      </c>
      <c r="N4" s="491">
        <f t="shared" si="0"/>
        <v>5.9501629068183099</v>
      </c>
      <c r="O4" s="488">
        <f t="shared" si="0"/>
        <v>0.11602595659974285</v>
      </c>
      <c r="P4" s="489">
        <f t="shared" si="0"/>
        <v>5.0459532689762678</v>
      </c>
      <c r="Q4" s="489">
        <f t="shared" si="0"/>
        <v>5.872058840857465E-2</v>
      </c>
      <c r="R4" s="490">
        <f t="shared" si="0"/>
        <v>0.45227922464955234</v>
      </c>
      <c r="S4" s="491">
        <f t="shared" si="0"/>
        <v>5.6729790386341374</v>
      </c>
      <c r="T4" s="488">
        <f>SUM(T5:T7)</f>
        <v>0.66660546288491018</v>
      </c>
      <c r="U4" s="489">
        <f>SUM(U5:U7)</f>
        <v>3.4968253026689746</v>
      </c>
      <c r="V4" s="489">
        <f>SUM(V5:V7)</f>
        <v>0.53773347149631701</v>
      </c>
      <c r="W4" s="490">
        <f>SUM(W5:W7)</f>
        <v>1.29360388165827</v>
      </c>
      <c r="X4" s="491">
        <f>SUM(X5:X7)</f>
        <v>5.994768118708472</v>
      </c>
      <c r="Y4" s="488">
        <f t="shared" si="0"/>
        <v>0.71150583388056932</v>
      </c>
      <c r="Z4" s="489">
        <f t="shared" si="0"/>
        <v>3.8415496732375005</v>
      </c>
      <c r="AA4" s="489">
        <f t="shared" si="0"/>
        <v>0.55556098066091752</v>
      </c>
      <c r="AB4" s="490">
        <f t="shared" si="0"/>
        <v>1.2222155729803157</v>
      </c>
      <c r="AC4" s="491">
        <f t="shared" si="0"/>
        <v>6.3308320607593034</v>
      </c>
      <c r="AD4" s="488">
        <f t="shared" si="0"/>
        <v>0.73761798093590092</v>
      </c>
      <c r="AE4" s="489">
        <f t="shared" si="0"/>
        <v>3.9024767138718945</v>
      </c>
      <c r="AF4" s="489">
        <f t="shared" si="0"/>
        <v>0.57290528536113861</v>
      </c>
      <c r="AG4" s="490">
        <f t="shared" si="0"/>
        <v>1.2618499967595909</v>
      </c>
      <c r="AH4" s="491">
        <f t="shared" si="0"/>
        <v>6.4748499769285255</v>
      </c>
      <c r="AI4" s="497">
        <f t="shared" si="0"/>
        <v>0.74940622424526193</v>
      </c>
      <c r="AJ4" s="498">
        <f t="shared" si="0"/>
        <v>3.9304035794975718</v>
      </c>
      <c r="AK4" s="498">
        <f t="shared" si="0"/>
        <v>0.57994038978565643</v>
      </c>
      <c r="AL4" s="499">
        <f t="shared" si="0"/>
        <v>1.2960972443892065</v>
      </c>
      <c r="AM4" s="500">
        <f t="shared" si="0"/>
        <v>6.5558474379176968</v>
      </c>
      <c r="AN4" s="488">
        <f t="shared" si="0"/>
        <v>0.75235132483732226</v>
      </c>
      <c r="AO4" s="489">
        <f t="shared" si="0"/>
        <v>3.9589353485702046</v>
      </c>
      <c r="AP4" s="489">
        <f t="shared" si="0"/>
        <v>0.58416983744451756</v>
      </c>
      <c r="AQ4" s="490">
        <f t="shared" si="0"/>
        <v>1.3162884071167196</v>
      </c>
      <c r="AR4" s="490">
        <f t="shared" si="0"/>
        <v>6.611744917968764</v>
      </c>
      <c r="AS4" s="488">
        <f t="shared" si="0"/>
        <v>0.75204764599328455</v>
      </c>
      <c r="AT4" s="489">
        <f t="shared" si="0"/>
        <v>3.9704855012760119</v>
      </c>
      <c r="AU4" s="489">
        <f t="shared" si="0"/>
        <v>0.58569792637151885</v>
      </c>
      <c r="AV4" s="489">
        <f t="shared" si="0"/>
        <v>1.3274375987869549</v>
      </c>
      <c r="AW4" s="491">
        <f t="shared" si="0"/>
        <v>6.6356686724277703</v>
      </c>
    </row>
    <row r="5" spans="1:50" s="4" customFormat="1">
      <c r="A5" s="514" t="s">
        <v>46</v>
      </c>
      <c r="B5" s="260">
        <v>3.6962250384296969</v>
      </c>
      <c r="C5" s="34">
        <v>6.1367644800691847</v>
      </c>
      <c r="D5" s="34">
        <v>4.8665489391508405</v>
      </c>
      <c r="E5" s="34">
        <v>3.9804913916654967</v>
      </c>
      <c r="F5" s="34">
        <v>4.2929007354023785</v>
      </c>
      <c r="G5" s="34">
        <v>4.3811046200750372</v>
      </c>
      <c r="H5" s="35">
        <v>4.6142086469006669</v>
      </c>
      <c r="I5" s="262">
        <v>4.7791815294271682</v>
      </c>
      <c r="J5" s="261">
        <f>SUMIF('Domestic Air'!$A$5:$A$31,Summary_Format!N$2,'Domestic Air'!$Y$5:$Y$31)</f>
        <v>0.66660546288491018</v>
      </c>
      <c r="K5" s="35">
        <f>SUMIF('Domestic Air'!$A$5:$A$31,Summary_Format!N$2,'Domestic Air'!$AC$5:$AC$31)</f>
        <v>2.4065791633663776</v>
      </c>
      <c r="L5" s="35">
        <f>SUMIF('Domestic Air'!$A$5:$A$31,Summary_Format!J$2,'Domestic Air'!$AG$5:$AG$31)</f>
        <v>0.53773347149631701</v>
      </c>
      <c r="M5" s="35">
        <f>SUMIF('Domestic Air'!$A$5:$A$31,Summary_Format!K$2,'Domestic Air'!$AK$5:$AK$31)</f>
        <v>1.29360388165827</v>
      </c>
      <c r="N5" s="262">
        <f>SUM(J5:M5)</f>
        <v>4.9045219794058745</v>
      </c>
      <c r="O5" s="261">
        <f>$S$5*'ICF Data'!B28</f>
        <v>0.11602595659974285</v>
      </c>
      <c r="P5" s="261">
        <f>$S$5*'ICF Data'!C28</f>
        <v>4.2774962097480049</v>
      </c>
      <c r="Q5" s="261">
        <f>$S$5*'ICF Data'!D28</f>
        <v>5.872058840857465E-2</v>
      </c>
      <c r="R5" s="261">
        <f>$S$5*'ICF Data'!E28</f>
        <v>0.45227922464955234</v>
      </c>
      <c r="S5" s="262">
        <f>'ICF Data'!F28</f>
        <v>4.9045219794058745</v>
      </c>
      <c r="T5" s="261">
        <f>SUMIF('Domestic Air'!$A$6:$A$31,Summary_Format!X$2,'Domestic Air'!$Y$6:$Y$31)</f>
        <v>0.66660546288491018</v>
      </c>
      <c r="U5" s="35">
        <f>SUMIF('Domestic Air'!$A$6:$A$31,Summary_Format!X$2,'Domestic Air'!$AC$6:$AC$31)</f>
        <v>2.4065791633663776</v>
      </c>
      <c r="V5" s="35">
        <f>SUMIF('Domestic Air'!$A$6:$A$31,Summary_Format!T$2,'Domestic Air'!$AG$6:$AG$31)</f>
        <v>0.53773347149631701</v>
      </c>
      <c r="W5" s="257">
        <f>SUMIF('Domestic Air'!$A$6:$A$31,Summary_Format!U$2,'Domestic Air'!$AK$6:$AK$31)</f>
        <v>1.29360388165827</v>
      </c>
      <c r="X5" s="262">
        <f>SUMIF('Domestic Air'!$A$6:$A$31,Summary_Format!X$2,'Domestic Air'!$U$6:VZ$31)</f>
        <v>4.9045219794058745</v>
      </c>
      <c r="Y5" s="261">
        <f>SUMIF('Domestic Air'!$A$6:$A$31,Summary_Format!AC$2,'Domestic Air'!$Y$6:$Y$31)</f>
        <v>0.71150583388056932</v>
      </c>
      <c r="Z5" s="35">
        <f>SUMIF('Domestic Air'!$A$6:$A$31,Summary_Format!AC$2,'Domestic Air'!$AC$6:$AC$31)</f>
        <v>2.7373618749180584</v>
      </c>
      <c r="AA5" s="35">
        <f>SUMIF('Domestic Air'!$A$6:$A$31,Summary_Format!Y$2,'Domestic Air'!$AG$6:$AG$31)</f>
        <v>0.55556098066091752</v>
      </c>
      <c r="AB5" s="257">
        <f>SUMIF('Domestic Air'!$A$6:$A$31,Summary_Format!Z$2,'Domestic Air'!$AK$6:$AK$31)</f>
        <v>1.2222155729803157</v>
      </c>
      <c r="AC5" s="262">
        <f>SUMIF('Domestic Air'!$A$6:$A$31,Summary_Format!AC$2,'Domestic Air'!$U$6:WE$31)</f>
        <v>5.2266442624398612</v>
      </c>
      <c r="AD5" s="261">
        <f>SUMIF('Domestic Air'!$A$6:$A$31,Summary_Format!AH$2,'Domestic Air'!$Y$6:$Y$31)</f>
        <v>0.73761798093590092</v>
      </c>
      <c r="AE5" s="35">
        <f>SUMIF('Domestic Air'!$A$6:$A$31,Summary_Format!AH$2,'Domestic Air'!$AC$6:$AC$31)</f>
        <v>2.7982889155524524</v>
      </c>
      <c r="AF5" s="35">
        <f>SUMIF('Domestic Air'!$A$6:$A$31,Summary_Format!AD$2,'Domestic Air'!$AG$6:$AG$31)</f>
        <v>0.57290528536113861</v>
      </c>
      <c r="AG5" s="257">
        <f>SUMIF('Domestic Air'!$A$6:$A$31,Summary_Format!AE$2,'Domestic Air'!$AK$6:$AK$31)</f>
        <v>1.2618499967595909</v>
      </c>
      <c r="AH5" s="262">
        <f>SUMIF('Domestic Air'!$A$6:$A$31,Summary_Format!AH$2,'Domestic Air'!$U$6:WJ$31)</f>
        <v>5.3706621786090833</v>
      </c>
      <c r="AI5" s="261">
        <f>SUMIF('Domestic Air'!$A$6:$A$31,Summary_Format!AM$2,'Domestic Air'!$Y$6:$Y$31)</f>
        <v>0.74940622424526193</v>
      </c>
      <c r="AJ5" s="35">
        <f>SUMIF('Domestic Air'!$A$6:$A$31,Summary_Format!AM$2,'Domestic Air'!$AC$6:$AC$31)</f>
        <v>2.8262157811781297</v>
      </c>
      <c r="AK5" s="35">
        <f>SUMIF('Domestic Air'!$A$6:$A$31,Summary_Format!AI$2,'Domestic Air'!$AG$6:$AG$31)</f>
        <v>0.57994038978565643</v>
      </c>
      <c r="AL5" s="257">
        <f>SUMIF('Domestic Air'!$A$6:$A$31,Summary_Format!AJ$2,'Domestic Air'!$AK$6:$AK$31)</f>
        <v>1.2960972443892065</v>
      </c>
      <c r="AM5" s="262">
        <f>SUMIF('Domestic Air'!$A$6:$A$31,Summary_Format!AM$2,'Domestic Air'!$U$6:WO$31)</f>
        <v>5.4516596395982546</v>
      </c>
      <c r="AN5" s="261">
        <f>SUMIF('Domestic Air'!$A$6:$A$31,Summary_Format!AR$2,'Domestic Air'!$Y$6:$Y$31)</f>
        <v>0.75235132483732226</v>
      </c>
      <c r="AO5" s="35">
        <f>SUMIF('Domestic Air'!$A$6:$A$31,Summary_Format!AR$2,'Domestic Air'!$AC$6:$AC$31)</f>
        <v>2.8547475502507624</v>
      </c>
      <c r="AP5" s="35">
        <f>SUMIF('Domestic Air'!$A$6:$A$31,Summary_Format!AN$2,'Domestic Air'!$AG$6:$AG$31)</f>
        <v>0.58416983744451756</v>
      </c>
      <c r="AQ5" s="257">
        <f>SUMIF('Domestic Air'!$A$6:$A$31,Summary_Format!AO$2,'Domestic Air'!$AK$6:$AK$31)</f>
        <v>1.3162884071167196</v>
      </c>
      <c r="AR5" s="257">
        <f>SUMIF('Domestic Air'!$A$6:$A$31,Summary_Format!AR$2,'Domestic Air'!$U$6:WT$31)</f>
        <v>5.5075571196493218</v>
      </c>
      <c r="AS5" s="261">
        <f>SUMIF('Domestic Air'!$A$6:$A$31,Summary_Format!AW$2,'Domestic Air'!$Y$6:$Y$31)</f>
        <v>0.75204764599328455</v>
      </c>
      <c r="AT5" s="35">
        <f>SUMIF('Domestic Air'!$A$6:$A$31,Summary_Format!AW$2,'Domestic Air'!$AC$6:$AC$31)</f>
        <v>2.8662977029565697</v>
      </c>
      <c r="AU5" s="35">
        <f>SUMIF('Domestic Air'!$A$6:$A$31,Summary_Format!AS$2,'Domestic Air'!$AG$6:$AG$31)</f>
        <v>0.58569792637151885</v>
      </c>
      <c r="AV5" s="35">
        <f>SUMIF('Domestic Air'!$A$6:$A$31,Summary_Format!AT$2,'Domestic Air'!$AK$6:$AK$31)</f>
        <v>1.3274375987869549</v>
      </c>
      <c r="AW5" s="262">
        <f>SUMIF('Domestic Air'!$A$6:$A$31,Summary_Format!AW$2,'Domestic Air'!$U$6:WY$31)</f>
        <v>5.5314808741083281</v>
      </c>
      <c r="AX5" s="523"/>
    </row>
    <row r="6" spans="1:50" s="4" customFormat="1">
      <c r="A6" s="395" t="s">
        <v>47</v>
      </c>
      <c r="B6" s="260">
        <v>1.4181430625152511</v>
      </c>
      <c r="C6" s="34">
        <v>1.0278202976458486</v>
      </c>
      <c r="D6" s="34">
        <v>0.80082315507132951</v>
      </c>
      <c r="E6" s="34">
        <v>0.6646471783847242</v>
      </c>
      <c r="F6" s="34">
        <v>0.80488655542252185</v>
      </c>
      <c r="G6" s="35">
        <v>0.79823802305492053</v>
      </c>
      <c r="H6" s="35">
        <v>0.85061669057581868</v>
      </c>
      <c r="I6" s="262">
        <v>0.86304410589131519</v>
      </c>
      <c r="J6" s="283">
        <v>0</v>
      </c>
      <c r="K6" s="310">
        <f>N6</f>
        <v>0.88163027918637804</v>
      </c>
      <c r="L6" s="279">
        <v>0</v>
      </c>
      <c r="M6" s="279">
        <v>0</v>
      </c>
      <c r="N6" s="521">
        <v>0.88163027918637804</v>
      </c>
      <c r="O6" s="283">
        <v>0</v>
      </c>
      <c r="P6" s="35">
        <v>0.44774742327096873</v>
      </c>
      <c r="Q6" s="280">
        <v>0</v>
      </c>
      <c r="R6" s="280">
        <v>0</v>
      </c>
      <c r="S6" s="522">
        <f>P6</f>
        <v>0.44774742327096873</v>
      </c>
      <c r="T6" s="289">
        <v>0</v>
      </c>
      <c r="U6" s="35">
        <f>'ICF Data'!$E$33</f>
        <v>0.76931857995618558</v>
      </c>
      <c r="V6" s="280">
        <v>0</v>
      </c>
      <c r="W6" s="294">
        <v>0</v>
      </c>
      <c r="X6" s="262">
        <f>U6</f>
        <v>0.76931857995618558</v>
      </c>
      <c r="Y6" s="289">
        <v>0</v>
      </c>
      <c r="Z6" s="35">
        <f>AVERAGE(F6:I6,N6,C6)</f>
        <v>0.87103932529613382</v>
      </c>
      <c r="AA6" s="280">
        <v>0</v>
      </c>
      <c r="AB6" s="294">
        <v>0</v>
      </c>
      <c r="AC6" s="262">
        <f>Z6</f>
        <v>0.87103932529613382</v>
      </c>
      <c r="AD6" s="289">
        <v>0</v>
      </c>
      <c r="AE6" s="35">
        <f>AH6</f>
        <v>0.87103932529613382</v>
      </c>
      <c r="AF6" s="280">
        <v>0</v>
      </c>
      <c r="AG6" s="294">
        <v>0</v>
      </c>
      <c r="AH6" s="262">
        <f>AC6</f>
        <v>0.87103932529613382</v>
      </c>
      <c r="AI6" s="289">
        <v>0</v>
      </c>
      <c r="AJ6" s="35">
        <f>AM6</f>
        <v>0.87103932529613382</v>
      </c>
      <c r="AK6" s="280">
        <v>0</v>
      </c>
      <c r="AL6" s="294">
        <v>0</v>
      </c>
      <c r="AM6" s="262">
        <f>AH6</f>
        <v>0.87103932529613382</v>
      </c>
      <c r="AN6" s="289">
        <v>0</v>
      </c>
      <c r="AO6" s="35">
        <f>AR6</f>
        <v>0.87103932529613382</v>
      </c>
      <c r="AP6" s="280">
        <v>0</v>
      </c>
      <c r="AQ6" s="294">
        <v>0</v>
      </c>
      <c r="AR6" s="257">
        <f>AM6</f>
        <v>0.87103932529613382</v>
      </c>
      <c r="AS6" s="289">
        <v>0</v>
      </c>
      <c r="AT6" s="35">
        <f>AW6</f>
        <v>0.87103932529613382</v>
      </c>
      <c r="AU6" s="280">
        <v>0</v>
      </c>
      <c r="AV6" s="280">
        <v>0</v>
      </c>
      <c r="AW6" s="262">
        <f>AR6</f>
        <v>0.87103932529613382</v>
      </c>
      <c r="AX6" s="523"/>
    </row>
    <row r="7" spans="1:50" s="4" customFormat="1">
      <c r="A7" s="516" t="s">
        <v>48</v>
      </c>
      <c r="B7" s="515">
        <v>0.77270466072146238</v>
      </c>
      <c r="C7" s="366">
        <v>1.5573309980091635E-2</v>
      </c>
      <c r="D7" s="366">
        <v>0.78678287240176281</v>
      </c>
      <c r="E7" s="366">
        <v>0.50829550601908213</v>
      </c>
      <c r="F7" s="366">
        <v>5.0442207341371073E-2</v>
      </c>
      <c r="G7" s="366">
        <v>0.16595825238660014</v>
      </c>
      <c r="H7" s="367">
        <v>0.19829515159883121</v>
      </c>
      <c r="I7" s="370">
        <v>0.31655075355864221</v>
      </c>
      <c r="J7" s="369"/>
      <c r="K7" s="367">
        <f>N7</f>
        <v>0.16401064822605735</v>
      </c>
      <c r="L7" s="367"/>
      <c r="M7" s="367"/>
      <c r="N7" s="370">
        <v>0.16401064822605735</v>
      </c>
      <c r="O7" s="369"/>
      <c r="P7" s="367">
        <v>0.32070963595729424</v>
      </c>
      <c r="Q7" s="367"/>
      <c r="R7" s="368"/>
      <c r="S7" s="522">
        <f>P7</f>
        <v>0.32070963595729424</v>
      </c>
      <c r="T7" s="369"/>
      <c r="U7" s="367">
        <f>'ICF Data'!$E$38</f>
        <v>0.32092755934641165</v>
      </c>
      <c r="V7" s="367"/>
      <c r="W7" s="368"/>
      <c r="X7" s="370">
        <f>U7</f>
        <v>0.32092755934641165</v>
      </c>
      <c r="Y7" s="369"/>
      <c r="Z7" s="367">
        <f>AVERAGE(G7:I7,N7,X7)</f>
        <v>0.23314847302330852</v>
      </c>
      <c r="AA7" s="367"/>
      <c r="AB7" s="368"/>
      <c r="AC7" s="370">
        <f>Z7</f>
        <v>0.23314847302330852</v>
      </c>
      <c r="AD7" s="369"/>
      <c r="AE7" s="367">
        <f>AH7</f>
        <v>0.23314847302330852</v>
      </c>
      <c r="AF7" s="367"/>
      <c r="AG7" s="368"/>
      <c r="AH7" s="370">
        <f>AC7</f>
        <v>0.23314847302330852</v>
      </c>
      <c r="AI7" s="369"/>
      <c r="AJ7" s="367">
        <f>AM7</f>
        <v>0.23314847302330852</v>
      </c>
      <c r="AK7" s="367"/>
      <c r="AL7" s="368"/>
      <c r="AM7" s="370">
        <f>AH7</f>
        <v>0.23314847302330852</v>
      </c>
      <c r="AN7" s="369"/>
      <c r="AO7" s="367">
        <f>AR7</f>
        <v>0.23314847302330852</v>
      </c>
      <c r="AP7" s="367"/>
      <c r="AQ7" s="368"/>
      <c r="AR7" s="368">
        <f>AM7</f>
        <v>0.23314847302330852</v>
      </c>
      <c r="AS7" s="261"/>
      <c r="AT7" s="35">
        <f>AW7</f>
        <v>0.23314847302330852</v>
      </c>
      <c r="AU7" s="35"/>
      <c r="AV7" s="35"/>
      <c r="AW7" s="262">
        <f>AR7</f>
        <v>0.23314847302330852</v>
      </c>
      <c r="AX7" s="523"/>
    </row>
    <row r="8" spans="1:50" s="4" customFormat="1" ht="15.75" thickBot="1">
      <c r="A8" s="513" t="s">
        <v>314</v>
      </c>
      <c r="B8" s="517">
        <v>1.5348406931945722</v>
      </c>
      <c r="C8" s="518">
        <v>0.36953937104143941</v>
      </c>
      <c r="D8" s="518">
        <v>2.8054629316506468</v>
      </c>
      <c r="E8" s="518">
        <v>0.57768535394346132</v>
      </c>
      <c r="F8" s="518">
        <v>0.28422132118335086</v>
      </c>
      <c r="G8" s="518">
        <v>0.40204192619515516</v>
      </c>
      <c r="H8" s="507">
        <v>0.48698799701270107</v>
      </c>
      <c r="I8" s="263">
        <v>0.40072667899243075</v>
      </c>
      <c r="J8" s="506"/>
      <c r="K8" s="507"/>
      <c r="L8" s="507"/>
      <c r="M8" s="507"/>
      <c r="N8" s="263">
        <f>SUMIF(Marine_Forecast!$A$5:$A$31,Summary_Format!N$2,Marine_Forecast!$D$5:$D$31)</f>
        <v>0.64904134400951563</v>
      </c>
      <c r="O8" s="506"/>
      <c r="P8" s="507"/>
      <c r="Q8" s="507"/>
      <c r="R8" s="507"/>
      <c r="S8" s="263">
        <v>0.33563739077865401</v>
      </c>
      <c r="T8" s="506"/>
      <c r="U8" s="507"/>
      <c r="V8" s="507"/>
      <c r="W8" s="507"/>
      <c r="X8" s="263">
        <f>SUMIF(Marine_Forecast!$A$5:$A$31,Summary_Format!X$2,Marine_Forecast!$D$5:$D$31)</f>
        <v>0.64904134400951563</v>
      </c>
      <c r="Y8" s="506"/>
      <c r="Z8" s="507"/>
      <c r="AA8" s="507"/>
      <c r="AB8" s="507"/>
      <c r="AC8" s="263">
        <f>SUMIF(Marine_Forecast!$A$5:$A$31,Summary_Format!AC$2,Marine_Forecast!$D$5:$D$31)</f>
        <v>0.67619203755112389</v>
      </c>
      <c r="AD8" s="506"/>
      <c r="AE8" s="507"/>
      <c r="AF8" s="507"/>
      <c r="AG8" s="507"/>
      <c r="AH8" s="263">
        <f>SUMIF(Marine_Forecast!$A$5:$A$31,Summary_Format!AH$2,Marine_Forecast!$D$5:$D$31)</f>
        <v>0.70922136979524841</v>
      </c>
      <c r="AI8" s="506"/>
      <c r="AJ8" s="507"/>
      <c r="AK8" s="507"/>
      <c r="AL8" s="507"/>
      <c r="AM8" s="263">
        <f>SUMIF(Marine_Forecast!$A$5:$A$31,Summary_Format!AM$2,Marine_Forecast!$D$5:$D$31)</f>
        <v>0.74686329459629641</v>
      </c>
      <c r="AN8" s="506"/>
      <c r="AO8" s="507"/>
      <c r="AP8" s="507"/>
      <c r="AQ8" s="507"/>
      <c r="AR8" s="524">
        <f>SUMIF(Marine_Forecast!$A$5:$A$31,Summary_Format!AR$2,Marine_Forecast!$D$5:$D$31)</f>
        <v>0.78651921750058906</v>
      </c>
      <c r="AS8" s="506"/>
      <c r="AT8" s="507"/>
      <c r="AU8" s="507"/>
      <c r="AV8" s="507"/>
      <c r="AW8" s="263">
        <f>SUMIF(Marine_Forecast!$A$5:$A$31,Summary_Format!AW$2,Marine_Forecast!$D$5:$D$31)</f>
        <v>0.82336548869312021</v>
      </c>
      <c r="AX8" s="523"/>
    </row>
    <row r="10" spans="1:50" ht="15.75" thickBot="1">
      <c r="A10" s="20" t="s">
        <v>49</v>
      </c>
    </row>
    <row r="11" spans="1:50" ht="15.75" thickBot="1">
      <c r="A11" s="387" t="s">
        <v>45</v>
      </c>
      <c r="B11" s="278">
        <f t="shared" ref="B11:S11" si="1">B4</f>
        <v>5.8870727616664107</v>
      </c>
      <c r="C11" s="278">
        <f t="shared" si="1"/>
        <v>7.1801580876951245</v>
      </c>
      <c r="D11" s="278">
        <f t="shared" si="1"/>
        <v>6.4541549666239328</v>
      </c>
      <c r="E11" s="278">
        <f t="shared" si="1"/>
        <v>5.1534340760693027</v>
      </c>
      <c r="F11" s="278">
        <f t="shared" si="1"/>
        <v>5.1482294981662715</v>
      </c>
      <c r="G11" s="278">
        <f t="shared" si="1"/>
        <v>5.3453008955165577</v>
      </c>
      <c r="H11" s="278">
        <f t="shared" si="1"/>
        <v>5.6631204890753164</v>
      </c>
      <c r="I11" s="285">
        <f t="shared" si="1"/>
        <v>5.9587763888771264</v>
      </c>
      <c r="J11" s="293">
        <f t="shared" si="1"/>
        <v>0.66660546288491018</v>
      </c>
      <c r="K11" s="278">
        <f t="shared" si="1"/>
        <v>3.452220090778813</v>
      </c>
      <c r="L11" s="278">
        <f t="shared" si="1"/>
        <v>0.53773347149631701</v>
      </c>
      <c r="M11" s="278">
        <f t="shared" si="1"/>
        <v>1.29360388165827</v>
      </c>
      <c r="N11" s="396">
        <f t="shared" si="1"/>
        <v>5.9501629068183099</v>
      </c>
      <c r="O11" s="293">
        <f t="shared" si="1"/>
        <v>0.11602595659974285</v>
      </c>
      <c r="P11" s="278">
        <f t="shared" si="1"/>
        <v>5.0459532689762678</v>
      </c>
      <c r="Q11" s="278">
        <f t="shared" si="1"/>
        <v>5.872058840857465E-2</v>
      </c>
      <c r="R11" s="278">
        <f t="shared" si="1"/>
        <v>0.45227922464955234</v>
      </c>
      <c r="S11" s="396">
        <f t="shared" si="1"/>
        <v>5.6729790386341374</v>
      </c>
      <c r="T11" s="293">
        <f t="shared" ref="T11:AI15" si="2">T4</f>
        <v>0.66660546288491018</v>
      </c>
      <c r="U11" s="278">
        <f t="shared" si="2"/>
        <v>3.4968253026689746</v>
      </c>
      <c r="V11" s="278">
        <f t="shared" si="2"/>
        <v>0.53773347149631701</v>
      </c>
      <c r="W11" s="278">
        <f t="shared" si="2"/>
        <v>1.29360388165827</v>
      </c>
      <c r="X11" s="396">
        <f t="shared" si="2"/>
        <v>5.994768118708472</v>
      </c>
      <c r="Y11" s="290">
        <f t="shared" ref="Y11:AW11" ca="1" si="3">SUM(Y12:Y14)</f>
        <v>0.64141120732336732</v>
      </c>
      <c r="Z11" s="253">
        <f t="shared" ca="1" si="3"/>
        <v>3.5718760469120263</v>
      </c>
      <c r="AA11" s="253">
        <f t="shared" ca="1" si="3"/>
        <v>0.50082939925308811</v>
      </c>
      <c r="AB11" s="253">
        <f t="shared" ca="1" si="3"/>
        <v>1.1018079247489558</v>
      </c>
      <c r="AC11" s="254">
        <f t="shared" ca="1" si="3"/>
        <v>5.8159245782374374</v>
      </c>
      <c r="AD11" s="501">
        <f t="shared" ca="1" si="3"/>
        <v>0.62191683176460677</v>
      </c>
      <c r="AE11" s="253">
        <f t="shared" ca="1" si="3"/>
        <v>3.4635432122347534</v>
      </c>
      <c r="AF11" s="253">
        <f t="shared" ca="1" si="3"/>
        <v>0.48304061069785625</v>
      </c>
      <c r="AG11" s="253">
        <f t="shared" ca="1" si="3"/>
        <v>1.0639189559223887</v>
      </c>
      <c r="AH11" s="254">
        <f t="shared" ca="1" si="3"/>
        <v>5.6324196106196052</v>
      </c>
      <c r="AI11" s="290">
        <f t="shared" ca="1" si="3"/>
        <v>0.61665430572481883</v>
      </c>
      <c r="AJ11" s="253">
        <f t="shared" ca="1" si="3"/>
        <v>3.4297597965052371</v>
      </c>
      <c r="AK11" s="253">
        <f t="shared" ca="1" si="3"/>
        <v>0.47720812405210788</v>
      </c>
      <c r="AL11" s="253">
        <f t="shared" ca="1" si="3"/>
        <v>1.0665029466436675</v>
      </c>
      <c r="AM11" s="254">
        <f t="shared" ca="1" si="3"/>
        <v>5.5901251729258314</v>
      </c>
      <c r="AN11" s="290">
        <f t="shared" ca="1" si="3"/>
        <v>0.62088434040286244</v>
      </c>
      <c r="AO11" s="253">
        <f t="shared" ca="1" si="3"/>
        <v>3.4600925348963139</v>
      </c>
      <c r="AP11" s="253">
        <f t="shared" ca="1" si="3"/>
        <v>0.48209113512681345</v>
      </c>
      <c r="AQ11" s="253">
        <f t="shared" ca="1" si="3"/>
        <v>1.0862782219587535</v>
      </c>
      <c r="AR11" s="254">
        <f t="shared" ca="1" si="3"/>
        <v>5.649346232384743</v>
      </c>
      <c r="AS11" s="290">
        <f t="shared" ca="1" si="3"/>
        <v>0.60990543416739562</v>
      </c>
      <c r="AT11" s="253">
        <f t="shared" ca="1" si="3"/>
        <v>3.4287353908669838</v>
      </c>
      <c r="AU11" s="253">
        <f t="shared" ca="1" si="3"/>
        <v>0.47499696326122715</v>
      </c>
      <c r="AV11" s="286">
        <f t="shared" ca="1" si="3"/>
        <v>1.0765427022233007</v>
      </c>
      <c r="AW11" s="254">
        <f t="shared" ca="1" si="3"/>
        <v>5.5901804905189074</v>
      </c>
    </row>
    <row r="12" spans="1:50" ht="15.75" thickBot="1">
      <c r="A12" s="388" t="s">
        <v>46</v>
      </c>
      <c r="B12" s="278">
        <f t="shared" ref="B12:S12" si="4">B5</f>
        <v>3.6962250384296969</v>
      </c>
      <c r="C12" s="278">
        <f t="shared" si="4"/>
        <v>6.1367644800691847</v>
      </c>
      <c r="D12" s="278">
        <f t="shared" si="4"/>
        <v>4.8665489391508405</v>
      </c>
      <c r="E12" s="278">
        <f t="shared" si="4"/>
        <v>3.9804913916654967</v>
      </c>
      <c r="F12" s="278">
        <f t="shared" si="4"/>
        <v>4.2929007354023785</v>
      </c>
      <c r="G12" s="278">
        <f t="shared" si="4"/>
        <v>4.3811046200750372</v>
      </c>
      <c r="H12" s="278">
        <f t="shared" si="4"/>
        <v>4.6142086469006669</v>
      </c>
      <c r="I12" s="285">
        <f t="shared" si="4"/>
        <v>4.7791815294271682</v>
      </c>
      <c r="J12" s="292">
        <f t="shared" si="4"/>
        <v>0.66660546288491018</v>
      </c>
      <c r="K12" s="278">
        <f t="shared" si="4"/>
        <v>2.4065791633663776</v>
      </c>
      <c r="L12" s="278">
        <f t="shared" si="4"/>
        <v>0.53773347149631701</v>
      </c>
      <c r="M12" s="278">
        <f t="shared" si="4"/>
        <v>1.29360388165827</v>
      </c>
      <c r="N12" s="396">
        <f t="shared" si="4"/>
        <v>4.9045219794058745</v>
      </c>
      <c r="O12" s="292">
        <f t="shared" si="4"/>
        <v>0.11602595659974285</v>
      </c>
      <c r="P12" s="278">
        <f t="shared" si="4"/>
        <v>4.2774962097480049</v>
      </c>
      <c r="Q12" s="278">
        <f t="shared" si="4"/>
        <v>5.872058840857465E-2</v>
      </c>
      <c r="R12" s="278">
        <f t="shared" si="4"/>
        <v>0.45227922464955234</v>
      </c>
      <c r="S12" s="396">
        <f t="shared" si="4"/>
        <v>4.9045219794058745</v>
      </c>
      <c r="T12" s="292">
        <f t="shared" si="2"/>
        <v>0.66660546288491018</v>
      </c>
      <c r="U12" s="278">
        <f t="shared" si="2"/>
        <v>2.4065791633663776</v>
      </c>
      <c r="V12" s="278">
        <f t="shared" si="2"/>
        <v>0.53773347149631701</v>
      </c>
      <c r="W12" s="278">
        <f t="shared" si="2"/>
        <v>1.29360388165827</v>
      </c>
      <c r="X12" s="396">
        <f t="shared" si="2"/>
        <v>4.9045219794058745</v>
      </c>
      <c r="Y12" s="291">
        <f ca="1">Y5*(1+OFFSET(Forecasts!$C$89,0,Y$2-2021)*(OFFSET(Forecasts!$C$87,0,Y$2-2021)))</f>
        <v>0.64141120732336732</v>
      </c>
      <c r="Z12" s="39">
        <f ca="1">Z5*(1+OFFSET(Forecasts!$C$89,0,Z$2-2021)*(OFFSET(Forecasts!$C$87,0,Z$2-2021)))</f>
        <v>2.4676882485925842</v>
      </c>
      <c r="AA12" s="39">
        <f ca="1">AA5*(1+OFFSET(Forecasts!$C$89,0,AA$2-2021)*(OFFSET(Forecasts!$C$87,0,AA$2-2021)))</f>
        <v>0.50082939925308811</v>
      </c>
      <c r="AB12" s="287">
        <f ca="1">AB5*(1+OFFSET(Forecasts!$C$89,0,AB$2-2021)*(OFFSET(Forecasts!$C$87,0,AB$2-2021)))</f>
        <v>1.1018079247489558</v>
      </c>
      <c r="AC12" s="255">
        <f ca="1">SUM(Y12:AB12)</f>
        <v>4.7117367799179952</v>
      </c>
      <c r="AD12" s="291">
        <f ca="1">AD5*(1+OFFSET(Forecasts!$C$89,0,AD$2-2021)*(OFFSET(Forecasts!$C$87,0,AD$2-2021)))</f>
        <v>0.62191683176460677</v>
      </c>
      <c r="AE12" s="39">
        <f ca="1">AE5*(1+OFFSET(Forecasts!$C$89,0,AE$2-2021)*(OFFSET(Forecasts!$C$87,0,AE$2-2021)))</f>
        <v>2.3593554139153112</v>
      </c>
      <c r="AF12" s="39">
        <f ca="1">AF5*(1+OFFSET(Forecasts!$C$89,0,AF$2-2021)*(OFFSET(Forecasts!$C$87,0,AF$2-2021)))</f>
        <v>0.48304061069785625</v>
      </c>
      <c r="AG12" s="287">
        <f ca="1">AG5*(1+OFFSET(Forecasts!$C$89,0,AG$2-2021)*(OFFSET(Forecasts!$C$87,0,AG$2-2021)))</f>
        <v>1.0639189559223887</v>
      </c>
      <c r="AH12" s="255">
        <f ca="1">SUM(AD12:AG12)</f>
        <v>4.528231812300163</v>
      </c>
      <c r="AI12" s="291">
        <f ca="1">AI5*(1+OFFSET(Forecasts!$C$89,0,AI$2-2021)*(OFFSET(Forecasts!$C$87,0,AI$2-2021)))</f>
        <v>0.61665430572481883</v>
      </c>
      <c r="AJ12" s="39">
        <f ca="1">AJ5*(1+OFFSET(Forecasts!$C$89,0,AJ$2-2021)*(OFFSET(Forecasts!$C$87,0,AJ$2-2021)))</f>
        <v>2.325571998185795</v>
      </c>
      <c r="AK12" s="39">
        <f ca="1">AK5*(1+OFFSET(Forecasts!$C$89,0,AK$2-2021)*(OFFSET(Forecasts!$C$87,0,AK$2-2021)))</f>
        <v>0.47720812405210788</v>
      </c>
      <c r="AL12" s="287">
        <f ca="1">AL5*(1+OFFSET(Forecasts!$C$89,0,AL$2-2021)*(OFFSET(Forecasts!$C$87,0,AL$2-2021)))</f>
        <v>1.0665029466436675</v>
      </c>
      <c r="AM12" s="255">
        <f ca="1">SUM(AI12:AL12)</f>
        <v>4.4859373746063893</v>
      </c>
      <c r="AN12" s="291">
        <f ca="1">AN5*(1+OFFSET(Forecasts!$C$89,0,AN$2-2021)*(OFFSET(Forecasts!$C$87,0,AN$2-2021)))</f>
        <v>0.62088434040286244</v>
      </c>
      <c r="AO12" s="39">
        <f ca="1">AO5*(1+OFFSET(Forecasts!$C$89,0,AO$2-2021)*(OFFSET(Forecasts!$C$87,0,AO$2-2021)))</f>
        <v>2.3559047365768717</v>
      </c>
      <c r="AP12" s="39">
        <f ca="1">AP5*(1+OFFSET(Forecasts!$C$89,0,AP$2-2021)*(OFFSET(Forecasts!$C$87,0,AP$2-2021)))</f>
        <v>0.48209113512681345</v>
      </c>
      <c r="AQ12" s="287">
        <f ca="1">AQ5*(1+OFFSET(Forecasts!$C$89,0,AQ$2-2021)*(OFFSET(Forecasts!$C$87,0,AQ$2-2021)))</f>
        <v>1.0862782219587535</v>
      </c>
      <c r="AR12" s="255">
        <f ca="1">SUM(AN12:AQ12)</f>
        <v>4.5451584340653008</v>
      </c>
      <c r="AS12" s="291">
        <f ca="1">AS5*(1+OFFSET(Forecasts!$C$89,0,AS$2-2021)*(OFFSET(Forecasts!$C$87,0,AS$2-2021)))</f>
        <v>0.60990543416739562</v>
      </c>
      <c r="AT12" s="39">
        <f ca="1">AT5*(1+OFFSET(Forecasts!$C$89,0,AT$2-2021)*(OFFSET(Forecasts!$C$87,0,AT$2-2021)))</f>
        <v>2.3245475925475416</v>
      </c>
      <c r="AU12" s="39">
        <f ca="1">AU5*(1+OFFSET(Forecasts!$C$89,0,AU$2-2021)*(OFFSET(Forecasts!$C$87,0,AU$2-2021)))</f>
        <v>0.47499696326122715</v>
      </c>
      <c r="AV12" s="287">
        <f ca="1">AV5*(1+OFFSET(Forecasts!$C$89,0,AV$2-2021)*(OFFSET(Forecasts!$C$87,0,AV$2-2021)))</f>
        <v>1.0765427022233007</v>
      </c>
      <c r="AW12" s="255">
        <f ca="1">SUM(AS12:AV12)</f>
        <v>4.4859926921994653</v>
      </c>
      <c r="AX12" s="523"/>
    </row>
    <row r="13" spans="1:50">
      <c r="A13" s="389" t="s">
        <v>47</v>
      </c>
      <c r="B13" s="278">
        <f t="shared" ref="B13:S13" si="5">B6</f>
        <v>1.4181430625152511</v>
      </c>
      <c r="C13" s="278">
        <f t="shared" si="5"/>
        <v>1.0278202976458486</v>
      </c>
      <c r="D13" s="278">
        <f t="shared" si="5"/>
        <v>0.80082315507132951</v>
      </c>
      <c r="E13" s="278">
        <f t="shared" si="5"/>
        <v>0.6646471783847242</v>
      </c>
      <c r="F13" s="278">
        <f t="shared" si="5"/>
        <v>0.80488655542252185</v>
      </c>
      <c r="G13" s="278">
        <f t="shared" si="5"/>
        <v>0.79823802305492053</v>
      </c>
      <c r="H13" s="278">
        <f t="shared" si="5"/>
        <v>0.85061669057581868</v>
      </c>
      <c r="I13" s="285">
        <f t="shared" si="5"/>
        <v>0.86304410589131519</v>
      </c>
      <c r="J13" s="292">
        <f t="shared" si="5"/>
        <v>0</v>
      </c>
      <c r="K13" s="278">
        <f t="shared" si="5"/>
        <v>0.88163027918637804</v>
      </c>
      <c r="L13" s="278">
        <f t="shared" si="5"/>
        <v>0</v>
      </c>
      <c r="M13" s="278">
        <f t="shared" si="5"/>
        <v>0</v>
      </c>
      <c r="N13" s="396">
        <f t="shared" si="5"/>
        <v>0.88163027918637804</v>
      </c>
      <c r="O13" s="292">
        <f t="shared" si="5"/>
        <v>0</v>
      </c>
      <c r="P13" s="278">
        <f t="shared" si="5"/>
        <v>0.44774742327096873</v>
      </c>
      <c r="Q13" s="278">
        <f t="shared" si="5"/>
        <v>0</v>
      </c>
      <c r="R13" s="278">
        <f t="shared" si="5"/>
        <v>0</v>
      </c>
      <c r="S13" s="396">
        <f t="shared" si="5"/>
        <v>0.44774742327096873</v>
      </c>
      <c r="T13" s="292">
        <f t="shared" si="2"/>
        <v>0</v>
      </c>
      <c r="U13" s="278">
        <f t="shared" si="2"/>
        <v>0.76931857995618558</v>
      </c>
      <c r="V13" s="278">
        <f t="shared" si="2"/>
        <v>0</v>
      </c>
      <c r="W13" s="278">
        <f t="shared" si="2"/>
        <v>0</v>
      </c>
      <c r="X13" s="396">
        <f t="shared" si="2"/>
        <v>0.76931857995618558</v>
      </c>
      <c r="Y13" s="292">
        <f t="shared" si="2"/>
        <v>0</v>
      </c>
      <c r="Z13" s="252">
        <f t="shared" si="2"/>
        <v>0.87103932529613382</v>
      </c>
      <c r="AA13" s="252">
        <f t="shared" si="2"/>
        <v>0</v>
      </c>
      <c r="AB13" s="288">
        <f t="shared" si="2"/>
        <v>0</v>
      </c>
      <c r="AC13" s="256">
        <f t="shared" si="2"/>
        <v>0.87103932529613382</v>
      </c>
      <c r="AD13" s="292">
        <f t="shared" si="2"/>
        <v>0</v>
      </c>
      <c r="AE13" s="252">
        <f t="shared" si="2"/>
        <v>0.87103932529613382</v>
      </c>
      <c r="AF13" s="252">
        <f t="shared" si="2"/>
        <v>0</v>
      </c>
      <c r="AG13" s="288">
        <f t="shared" si="2"/>
        <v>0</v>
      </c>
      <c r="AH13" s="256">
        <f t="shared" si="2"/>
        <v>0.87103932529613382</v>
      </c>
      <c r="AI13" s="292">
        <f t="shared" si="2"/>
        <v>0</v>
      </c>
      <c r="AJ13" s="252">
        <f t="shared" ref="AJ13:AR13" si="6">AJ6</f>
        <v>0.87103932529613382</v>
      </c>
      <c r="AK13" s="252">
        <f t="shared" si="6"/>
        <v>0</v>
      </c>
      <c r="AL13" s="288">
        <f t="shared" si="6"/>
        <v>0</v>
      </c>
      <c r="AM13" s="256">
        <f t="shared" si="6"/>
        <v>0.87103932529613382</v>
      </c>
      <c r="AN13" s="292">
        <f t="shared" si="6"/>
        <v>0</v>
      </c>
      <c r="AO13" s="252">
        <f t="shared" si="6"/>
        <v>0.87103932529613382</v>
      </c>
      <c r="AP13" s="252">
        <f t="shared" si="6"/>
        <v>0</v>
      </c>
      <c r="AQ13" s="288">
        <f t="shared" si="6"/>
        <v>0</v>
      </c>
      <c r="AR13" s="256">
        <f t="shared" si="6"/>
        <v>0.87103932529613382</v>
      </c>
      <c r="AS13" s="292">
        <f t="shared" ref="AS13:AW13" si="7">AS6</f>
        <v>0</v>
      </c>
      <c r="AT13" s="252">
        <f t="shared" si="7"/>
        <v>0.87103932529613382</v>
      </c>
      <c r="AU13" s="252">
        <f t="shared" si="7"/>
        <v>0</v>
      </c>
      <c r="AV13" s="288">
        <f t="shared" si="7"/>
        <v>0</v>
      </c>
      <c r="AW13" s="256">
        <f t="shared" si="7"/>
        <v>0.87103932529613382</v>
      </c>
      <c r="AX13" s="523"/>
    </row>
    <row r="14" spans="1:50">
      <c r="A14" s="390" t="s">
        <v>48</v>
      </c>
      <c r="B14" s="371">
        <f t="shared" ref="B14:I14" si="8">B7</f>
        <v>0.77270466072146238</v>
      </c>
      <c r="C14" s="372">
        <f t="shared" si="8"/>
        <v>1.5573309980091635E-2</v>
      </c>
      <c r="D14" s="372">
        <f t="shared" si="8"/>
        <v>0.78678287240176281</v>
      </c>
      <c r="E14" s="372">
        <f t="shared" si="8"/>
        <v>0.50829550601908213</v>
      </c>
      <c r="F14" s="373">
        <f t="shared" si="8"/>
        <v>5.0442207341371073E-2</v>
      </c>
      <c r="G14" s="373">
        <f t="shared" si="8"/>
        <v>0.16595825238660014</v>
      </c>
      <c r="H14" s="373">
        <f t="shared" si="8"/>
        <v>0.19829515159883121</v>
      </c>
      <c r="I14" s="373">
        <f t="shared" si="8"/>
        <v>0.31655075355864221</v>
      </c>
      <c r="J14" s="371">
        <f t="shared" ref="J14:AW14" si="9">J7</f>
        <v>0</v>
      </c>
      <c r="K14" s="372">
        <f t="shared" si="9"/>
        <v>0.16401064822605735</v>
      </c>
      <c r="L14" s="372">
        <f t="shared" si="9"/>
        <v>0</v>
      </c>
      <c r="M14" s="372">
        <f t="shared" si="9"/>
        <v>0</v>
      </c>
      <c r="N14" s="374">
        <f t="shared" si="9"/>
        <v>0.16401064822605735</v>
      </c>
      <c r="O14" s="371">
        <f t="shared" si="9"/>
        <v>0</v>
      </c>
      <c r="P14" s="372">
        <f t="shared" si="9"/>
        <v>0.32070963595729424</v>
      </c>
      <c r="Q14" s="372">
        <f t="shared" si="9"/>
        <v>0</v>
      </c>
      <c r="R14" s="372">
        <f t="shared" si="9"/>
        <v>0</v>
      </c>
      <c r="S14" s="374">
        <f t="shared" si="9"/>
        <v>0.32070963595729424</v>
      </c>
      <c r="T14" s="371">
        <f t="shared" si="2"/>
        <v>0</v>
      </c>
      <c r="U14" s="372">
        <f t="shared" si="2"/>
        <v>0.32092755934641165</v>
      </c>
      <c r="V14" s="372">
        <f t="shared" si="2"/>
        <v>0</v>
      </c>
      <c r="W14" s="372">
        <f t="shared" si="2"/>
        <v>0</v>
      </c>
      <c r="X14" s="374">
        <f t="shared" si="2"/>
        <v>0.32092755934641165</v>
      </c>
      <c r="Y14" s="371">
        <f t="shared" si="2"/>
        <v>0</v>
      </c>
      <c r="Z14" s="372">
        <f t="shared" si="2"/>
        <v>0.23314847302330852</v>
      </c>
      <c r="AA14" s="372">
        <f t="shared" si="2"/>
        <v>0</v>
      </c>
      <c r="AB14" s="373">
        <f t="shared" si="2"/>
        <v>0</v>
      </c>
      <c r="AC14" s="374">
        <f t="shared" si="2"/>
        <v>0.23314847302330852</v>
      </c>
      <c r="AD14" s="371">
        <f t="shared" si="2"/>
        <v>0</v>
      </c>
      <c r="AE14" s="372">
        <f t="shared" si="2"/>
        <v>0.23314847302330852</v>
      </c>
      <c r="AF14" s="372">
        <f t="shared" si="2"/>
        <v>0</v>
      </c>
      <c r="AG14" s="373">
        <f t="shared" si="2"/>
        <v>0</v>
      </c>
      <c r="AH14" s="374">
        <f t="shared" si="2"/>
        <v>0.23314847302330852</v>
      </c>
      <c r="AI14" s="371">
        <f t="shared" si="2"/>
        <v>0</v>
      </c>
      <c r="AJ14" s="372">
        <f t="shared" ref="AJ14:AR14" si="10">AJ7</f>
        <v>0.23314847302330852</v>
      </c>
      <c r="AK14" s="372">
        <f t="shared" si="10"/>
        <v>0</v>
      </c>
      <c r="AL14" s="373">
        <f t="shared" si="10"/>
        <v>0</v>
      </c>
      <c r="AM14" s="374">
        <f t="shared" si="10"/>
        <v>0.23314847302330852</v>
      </c>
      <c r="AN14" s="371">
        <f t="shared" si="10"/>
        <v>0</v>
      </c>
      <c r="AO14" s="372">
        <f t="shared" si="10"/>
        <v>0.23314847302330852</v>
      </c>
      <c r="AP14" s="372">
        <f t="shared" si="10"/>
        <v>0</v>
      </c>
      <c r="AQ14" s="373">
        <f t="shared" si="10"/>
        <v>0</v>
      </c>
      <c r="AR14" s="374">
        <f t="shared" si="10"/>
        <v>0.23314847302330852</v>
      </c>
      <c r="AS14" s="371">
        <f t="shared" si="9"/>
        <v>0</v>
      </c>
      <c r="AT14" s="372">
        <f t="shared" si="9"/>
        <v>0.23314847302330852</v>
      </c>
      <c r="AU14" s="372">
        <f t="shared" si="9"/>
        <v>0</v>
      </c>
      <c r="AV14" s="373">
        <f t="shared" si="9"/>
        <v>0</v>
      </c>
      <c r="AW14" s="374">
        <f t="shared" si="9"/>
        <v>0.23314847302330852</v>
      </c>
      <c r="AX14" s="523"/>
    </row>
    <row r="15" spans="1:50" ht="15.75" thickBot="1">
      <c r="A15" s="525" t="s">
        <v>314</v>
      </c>
      <c r="B15" s="39">
        <f t="shared" ref="B15:AW15" si="11">B8</f>
        <v>1.5348406931945722</v>
      </c>
      <c r="C15" s="39">
        <f t="shared" si="11"/>
        <v>0.36953937104143941</v>
      </c>
      <c r="D15" s="39">
        <f t="shared" si="11"/>
        <v>2.8054629316506468</v>
      </c>
      <c r="E15" s="39">
        <f t="shared" si="11"/>
        <v>0.57768535394346132</v>
      </c>
      <c r="F15" s="39">
        <f t="shared" si="11"/>
        <v>0.28422132118335086</v>
      </c>
      <c r="G15" s="39">
        <f t="shared" si="11"/>
        <v>0.40204192619515516</v>
      </c>
      <c r="H15" s="39">
        <f t="shared" si="11"/>
        <v>0.48698799701270107</v>
      </c>
      <c r="I15" s="287">
        <f t="shared" si="11"/>
        <v>0.40072667899243075</v>
      </c>
      <c r="J15" s="400">
        <f t="shared" si="11"/>
        <v>0</v>
      </c>
      <c r="K15" s="401">
        <f t="shared" si="11"/>
        <v>0</v>
      </c>
      <c r="L15" s="401">
        <f t="shared" si="11"/>
        <v>0</v>
      </c>
      <c r="M15" s="401">
        <f t="shared" si="11"/>
        <v>0</v>
      </c>
      <c r="N15" s="399">
        <f t="shared" si="11"/>
        <v>0.64904134400951563</v>
      </c>
      <c r="O15" s="400">
        <f t="shared" si="11"/>
        <v>0</v>
      </c>
      <c r="P15" s="401">
        <f t="shared" si="11"/>
        <v>0</v>
      </c>
      <c r="Q15" s="401">
        <f t="shared" si="11"/>
        <v>0</v>
      </c>
      <c r="R15" s="401">
        <f t="shared" si="11"/>
        <v>0</v>
      </c>
      <c r="S15" s="399">
        <f t="shared" si="11"/>
        <v>0.33563739077865401</v>
      </c>
      <c r="T15" s="400">
        <f t="shared" si="2"/>
        <v>0</v>
      </c>
      <c r="U15" s="401">
        <f t="shared" si="2"/>
        <v>0</v>
      </c>
      <c r="V15" s="401">
        <f t="shared" si="2"/>
        <v>0</v>
      </c>
      <c r="W15" s="401">
        <f t="shared" si="2"/>
        <v>0</v>
      </c>
      <c r="X15" s="399">
        <f t="shared" si="2"/>
        <v>0.64904134400951563</v>
      </c>
      <c r="Y15" s="494">
        <f t="shared" si="2"/>
        <v>0</v>
      </c>
      <c r="Z15" s="495">
        <f t="shared" si="2"/>
        <v>0</v>
      </c>
      <c r="AA15" s="495">
        <f t="shared" si="2"/>
        <v>0</v>
      </c>
      <c r="AB15" s="495">
        <f t="shared" si="2"/>
        <v>0</v>
      </c>
      <c r="AC15" s="496">
        <f t="shared" si="2"/>
        <v>0.67619203755112389</v>
      </c>
      <c r="AD15" s="494">
        <f t="shared" si="2"/>
        <v>0</v>
      </c>
      <c r="AE15" s="495">
        <f t="shared" si="2"/>
        <v>0</v>
      </c>
      <c r="AF15" s="495">
        <f t="shared" si="2"/>
        <v>0</v>
      </c>
      <c r="AG15" s="495">
        <f t="shared" si="2"/>
        <v>0</v>
      </c>
      <c r="AH15" s="496">
        <f t="shared" si="2"/>
        <v>0.70922136979524841</v>
      </c>
      <c r="AI15" s="494">
        <f t="shared" si="2"/>
        <v>0</v>
      </c>
      <c r="AJ15" s="495">
        <f t="shared" ref="AJ15:AR15" si="12">AJ8</f>
        <v>0</v>
      </c>
      <c r="AK15" s="495">
        <f t="shared" si="12"/>
        <v>0</v>
      </c>
      <c r="AL15" s="495">
        <f t="shared" si="12"/>
        <v>0</v>
      </c>
      <c r="AM15" s="496">
        <f t="shared" si="12"/>
        <v>0.74686329459629641</v>
      </c>
      <c r="AN15" s="494">
        <f t="shared" si="12"/>
        <v>0</v>
      </c>
      <c r="AO15" s="495">
        <f t="shared" si="12"/>
        <v>0</v>
      </c>
      <c r="AP15" s="495">
        <f t="shared" si="12"/>
        <v>0</v>
      </c>
      <c r="AQ15" s="495">
        <f t="shared" si="12"/>
        <v>0</v>
      </c>
      <c r="AR15" s="496">
        <f t="shared" si="12"/>
        <v>0.78651921750058906</v>
      </c>
      <c r="AS15" s="494">
        <f t="shared" si="11"/>
        <v>0</v>
      </c>
      <c r="AT15" s="495">
        <f t="shared" si="11"/>
        <v>0</v>
      </c>
      <c r="AU15" s="495">
        <f t="shared" si="11"/>
        <v>0</v>
      </c>
      <c r="AV15" s="495">
        <f t="shared" si="11"/>
        <v>0</v>
      </c>
      <c r="AW15" s="496">
        <f t="shared" si="11"/>
        <v>0.82336548869312021</v>
      </c>
      <c r="AX15" s="523"/>
    </row>
    <row r="17" spans="1:50" ht="15.75" thickBot="1">
      <c r="A17" s="20" t="s">
        <v>50</v>
      </c>
    </row>
    <row r="18" spans="1:50" ht="15.75" thickBot="1">
      <c r="A18" s="391" t="s">
        <v>45</v>
      </c>
      <c r="B18" s="293">
        <f t="shared" ref="B18:X18" si="13">B11</f>
        <v>5.8870727616664107</v>
      </c>
      <c r="C18" s="278">
        <f t="shared" si="13"/>
        <v>7.1801580876951245</v>
      </c>
      <c r="D18" s="278">
        <f t="shared" si="13"/>
        <v>6.4541549666239328</v>
      </c>
      <c r="E18" s="278">
        <f t="shared" si="13"/>
        <v>5.1534340760693027</v>
      </c>
      <c r="F18" s="278">
        <f t="shared" si="13"/>
        <v>5.1482294981662715</v>
      </c>
      <c r="G18" s="278">
        <f t="shared" si="13"/>
        <v>5.3453008955165577</v>
      </c>
      <c r="H18" s="278">
        <f t="shared" si="13"/>
        <v>5.6631204890753164</v>
      </c>
      <c r="I18" s="396">
        <f t="shared" si="13"/>
        <v>5.9587763888771264</v>
      </c>
      <c r="J18" s="293">
        <f t="shared" si="13"/>
        <v>0.66660546288491018</v>
      </c>
      <c r="K18" s="278">
        <f t="shared" si="13"/>
        <v>3.452220090778813</v>
      </c>
      <c r="L18" s="278">
        <f t="shared" si="13"/>
        <v>0.53773347149631701</v>
      </c>
      <c r="M18" s="278">
        <f t="shared" si="13"/>
        <v>1.29360388165827</v>
      </c>
      <c r="N18" s="396">
        <f t="shared" si="13"/>
        <v>5.9501629068183099</v>
      </c>
      <c r="O18" s="293">
        <f t="shared" si="13"/>
        <v>0.11602595659974285</v>
      </c>
      <c r="P18" s="278">
        <f t="shared" si="13"/>
        <v>5.0459532689762678</v>
      </c>
      <c r="Q18" s="278">
        <f t="shared" si="13"/>
        <v>5.872058840857465E-2</v>
      </c>
      <c r="R18" s="278">
        <f t="shared" si="13"/>
        <v>0.45227922464955234</v>
      </c>
      <c r="S18" s="396">
        <f t="shared" si="13"/>
        <v>5.6729790386341374</v>
      </c>
      <c r="T18" s="293">
        <f t="shared" si="13"/>
        <v>0.66660546288491018</v>
      </c>
      <c r="U18" s="278">
        <f t="shared" si="13"/>
        <v>3.4968253026689746</v>
      </c>
      <c r="V18" s="278">
        <f t="shared" si="13"/>
        <v>0.53773347149631701</v>
      </c>
      <c r="W18" s="278">
        <f t="shared" si="13"/>
        <v>1.29360388165827</v>
      </c>
      <c r="X18" s="396">
        <f t="shared" si="13"/>
        <v>5.994768118708472</v>
      </c>
      <c r="Y18" s="290">
        <f t="shared" ref="Y18:AW18" ca="1" si="14">SUM(Y19:Y21)</f>
        <v>0.78225804346252714</v>
      </c>
      <c r="Z18" s="253">
        <f t="shared" ca="1" si="14"/>
        <v>4.1137532053147554</v>
      </c>
      <c r="AA18" s="253">
        <f t="shared" ca="1" si="14"/>
        <v>0.61080601881457119</v>
      </c>
      <c r="AB18" s="253">
        <f t="shared" ca="1" si="14"/>
        <v>1.3437528088764745</v>
      </c>
      <c r="AC18" s="254">
        <f t="shared" ca="1" si="14"/>
        <v>6.8505700764683279</v>
      </c>
      <c r="AD18" s="290">
        <f t="shared" ca="1" si="14"/>
        <v>0.80422057730581908</v>
      </c>
      <c r="AE18" s="253">
        <f t="shared" ca="1" si="14"/>
        <v>4.155145862382188</v>
      </c>
      <c r="AF18" s="253">
        <f t="shared" ca="1" si="14"/>
        <v>0.62463528715784988</v>
      </c>
      <c r="AG18" s="253">
        <f t="shared" ca="1" si="14"/>
        <v>1.3757876829137803</v>
      </c>
      <c r="AH18" s="254">
        <f t="shared" ca="1" si="14"/>
        <v>6.9597894097596376</v>
      </c>
      <c r="AI18" s="290">
        <f t="shared" ca="1" si="14"/>
        <v>0.82283149002901601</v>
      </c>
      <c r="AJ18" s="253">
        <f t="shared" ca="1" si="14"/>
        <v>4.2073103333802697</v>
      </c>
      <c r="AK18" s="253">
        <f t="shared" ca="1" si="14"/>
        <v>0.63676174498807814</v>
      </c>
      <c r="AL18" s="253">
        <f t="shared" ca="1" si="14"/>
        <v>1.4230861611769101</v>
      </c>
      <c r="AM18" s="254">
        <f t="shared" ca="1" si="14"/>
        <v>7.089989729574274</v>
      </c>
      <c r="AN18" s="290">
        <f t="shared" ca="1" si="14"/>
        <v>0.82705417230039802</v>
      </c>
      <c r="AO18" s="253">
        <f t="shared" ca="1" si="14"/>
        <v>4.242390383142097</v>
      </c>
      <c r="AP18" s="253">
        <f t="shared" ca="1" si="14"/>
        <v>0.64217352377893511</v>
      </c>
      <c r="AQ18" s="253">
        <f t="shared" ca="1" si="14"/>
        <v>1.4469859799767353</v>
      </c>
      <c r="AR18" s="254">
        <f t="shared" ca="1" si="14"/>
        <v>7.158604059198165</v>
      </c>
      <c r="AS18" s="290">
        <f t="shared" ca="1" si="14"/>
        <v>0.82973869331194205</v>
      </c>
      <c r="AT18" s="253">
        <f t="shared" ca="1" si="14"/>
        <v>4.2665913020935138</v>
      </c>
      <c r="AU18" s="253">
        <f t="shared" ca="1" si="14"/>
        <v>0.64620404663477615</v>
      </c>
      <c r="AV18" s="286">
        <f t="shared" ca="1" si="14"/>
        <v>1.4645698906694873</v>
      </c>
      <c r="AW18" s="254">
        <f t="shared" ca="1" si="14"/>
        <v>7.2071039327097193</v>
      </c>
    </row>
    <row r="19" spans="1:50" ht="15.75" thickBot="1">
      <c r="A19" s="392" t="s">
        <v>46</v>
      </c>
      <c r="B19" s="292">
        <f t="shared" ref="B19:X19" si="15">B12</f>
        <v>3.6962250384296969</v>
      </c>
      <c r="C19" s="252">
        <f t="shared" si="15"/>
        <v>6.1367644800691847</v>
      </c>
      <c r="D19" s="252">
        <f t="shared" si="15"/>
        <v>4.8665489391508405</v>
      </c>
      <c r="E19" s="252">
        <f t="shared" si="15"/>
        <v>3.9804913916654967</v>
      </c>
      <c r="F19" s="252">
        <f t="shared" si="15"/>
        <v>4.2929007354023785</v>
      </c>
      <c r="G19" s="252">
        <f t="shared" si="15"/>
        <v>4.3811046200750372</v>
      </c>
      <c r="H19" s="252">
        <f t="shared" si="15"/>
        <v>4.6142086469006669</v>
      </c>
      <c r="I19" s="256">
        <f t="shared" si="15"/>
        <v>4.7791815294271682</v>
      </c>
      <c r="J19" s="292">
        <f t="shared" si="15"/>
        <v>0.66660546288491018</v>
      </c>
      <c r="K19" s="252">
        <f t="shared" si="15"/>
        <v>2.4065791633663776</v>
      </c>
      <c r="L19" s="252">
        <f t="shared" si="15"/>
        <v>0.53773347149631701</v>
      </c>
      <c r="M19" s="252">
        <f t="shared" si="15"/>
        <v>1.29360388165827</v>
      </c>
      <c r="N19" s="256">
        <f t="shared" si="15"/>
        <v>4.9045219794058745</v>
      </c>
      <c r="O19" s="292">
        <f t="shared" si="15"/>
        <v>0.11602595659974285</v>
      </c>
      <c r="P19" s="252">
        <f t="shared" si="15"/>
        <v>4.2774962097480049</v>
      </c>
      <c r="Q19" s="252">
        <f t="shared" si="15"/>
        <v>5.872058840857465E-2</v>
      </c>
      <c r="R19" s="252">
        <f t="shared" si="15"/>
        <v>0.45227922464955234</v>
      </c>
      <c r="S19" s="256">
        <f t="shared" si="15"/>
        <v>4.9045219794058745</v>
      </c>
      <c r="T19" s="292">
        <f t="shared" si="15"/>
        <v>0.66660546288491018</v>
      </c>
      <c r="U19" s="278">
        <f t="shared" si="15"/>
        <v>2.4065791633663776</v>
      </c>
      <c r="V19" s="278">
        <f t="shared" si="15"/>
        <v>0.53773347149631701</v>
      </c>
      <c r="W19" s="278">
        <f t="shared" si="15"/>
        <v>1.29360388165827</v>
      </c>
      <c r="X19" s="396">
        <f t="shared" si="15"/>
        <v>4.9045219794058745</v>
      </c>
      <c r="Y19" s="291">
        <f ca="1">Y5*(1+OFFSET(Forecasts!$C$89,0,Y$2-2021)*(OFFSET(Forecasts!$C$88,0,Y$2-2021)))</f>
        <v>0.78225804346252714</v>
      </c>
      <c r="Z19" s="39">
        <f ca="1">Z5*(1+OFFSET(Forecasts!$C$89,0,Z$2-2021)*(OFFSET(Forecasts!$C$88,0,Z$2-2021)))</f>
        <v>3.0095654069953133</v>
      </c>
      <c r="AA19" s="39">
        <f ca="1">AA5*(1+OFFSET(Forecasts!$C$89,0,AA$2-2021)*(OFFSET(Forecasts!$C$88,0,AA$2-2021)))</f>
        <v>0.61080601881457119</v>
      </c>
      <c r="AB19" s="39">
        <f ca="1">AB5*(1+OFFSET(Forecasts!$C$89,0,AB$2-2021)*(OFFSET(Forecasts!$C$88,0,AB$2-2021)))</f>
        <v>1.3437528088764745</v>
      </c>
      <c r="AC19" s="255">
        <f ca="1">SUM(Y19:AB19)</f>
        <v>5.7463822781488858</v>
      </c>
      <c r="AD19" s="291">
        <f ca="1">AD5*(1+OFFSET(Forecasts!$C$89,0,AD$2-2021)*(OFFSET(Forecasts!$C$88,0,AD$2-2021)))</f>
        <v>0.80422057730581908</v>
      </c>
      <c r="AE19" s="39">
        <f ca="1">AE5*(1+OFFSET(Forecasts!$C$89,0,AE$2-2021)*(OFFSET(Forecasts!$C$88,0,AE$2-2021)))</f>
        <v>3.0509580640627458</v>
      </c>
      <c r="AF19" s="39">
        <f ca="1">AF5*(1+OFFSET(Forecasts!$C$89,0,AF$2-2021)*(OFFSET(Forecasts!$C$88,0,AF$2-2021)))</f>
        <v>0.62463528715784988</v>
      </c>
      <c r="AG19" s="39">
        <f ca="1">AG5*(1+OFFSET(Forecasts!$C$89,0,AG$2-2021)*(OFFSET(Forecasts!$C$88,0,AG$2-2021)))</f>
        <v>1.3757876829137803</v>
      </c>
      <c r="AH19" s="255">
        <f ca="1">SUM(AD19:AG19)</f>
        <v>5.8556016114401954</v>
      </c>
      <c r="AI19" s="291">
        <f ca="1">AI5*(1+OFFSET(Forecasts!$C$89,0,AI$2-2021)*(OFFSET(Forecasts!$C$88,0,AI$2-2021)))</f>
        <v>0.82283149002901601</v>
      </c>
      <c r="AJ19" s="39">
        <f ca="1">AJ5*(1+OFFSET(Forecasts!$C$89,0,AJ$2-2021)*(OFFSET(Forecasts!$C$88,0,AJ$2-2021)))</f>
        <v>3.1031225350608271</v>
      </c>
      <c r="AK19" s="39">
        <f ca="1">AK5*(1+OFFSET(Forecasts!$C$89,0,AK$2-2021)*(OFFSET(Forecasts!$C$88,0,AK$2-2021)))</f>
        <v>0.63676174498807814</v>
      </c>
      <c r="AL19" s="39">
        <f ca="1">AL5*(1+OFFSET(Forecasts!$C$89,0,AL$2-2021)*(OFFSET(Forecasts!$C$88,0,AL$2-2021)))</f>
        <v>1.4230861611769101</v>
      </c>
      <c r="AM19" s="255">
        <f ca="1">SUM(AI19:AL19)</f>
        <v>5.9858019312548318</v>
      </c>
      <c r="AN19" s="291">
        <f ca="1">AN5*(1+OFFSET(Forecasts!$C$89,0,AN$2-2021)*(OFFSET(Forecasts!$C$88,0,AN$2-2021)))</f>
        <v>0.82705417230039802</v>
      </c>
      <c r="AO19" s="39">
        <f ca="1">AO5*(1+OFFSET(Forecasts!$C$89,0,AO$2-2021)*(OFFSET(Forecasts!$C$88,0,AO$2-2021)))</f>
        <v>3.1382025848226545</v>
      </c>
      <c r="AP19" s="39">
        <f ca="1">AP5*(1+OFFSET(Forecasts!$C$89,0,AP$2-2021)*(OFFSET(Forecasts!$C$88,0,AP$2-2021)))</f>
        <v>0.64217352377893511</v>
      </c>
      <c r="AQ19" s="39">
        <f ca="1">AQ5*(1+OFFSET(Forecasts!$C$89,0,AQ$2-2021)*(OFFSET(Forecasts!$C$88,0,AQ$2-2021)))</f>
        <v>1.4469859799767353</v>
      </c>
      <c r="AR19" s="255">
        <f ca="1">SUM(AN19:AQ19)</f>
        <v>6.0544162608787229</v>
      </c>
      <c r="AS19" s="291">
        <f ca="1">AS5*(1+OFFSET(Forecasts!$C$89,0,AS$2-2021)*(OFFSET(Forecasts!$C$88,0,AS$2-2021)))</f>
        <v>0.82973869331194205</v>
      </c>
      <c r="AT19" s="39">
        <f ca="1">AT5*(1+OFFSET(Forecasts!$C$89,0,AT$2-2021)*(OFFSET(Forecasts!$C$88,0,AT$2-2021)))</f>
        <v>3.1624035037740712</v>
      </c>
      <c r="AU19" s="39">
        <f ca="1">AU5*(1+OFFSET(Forecasts!$C$89,0,AU$2-2021)*(OFFSET(Forecasts!$C$88,0,AU$2-2021)))</f>
        <v>0.64620404663477615</v>
      </c>
      <c r="AV19" s="287">
        <f ca="1">AV5*(1+OFFSET(Forecasts!$C$89,0,AV$2-2021)*(OFFSET(Forecasts!$C$88,0,AV$2-2021)))</f>
        <v>1.4645698906694873</v>
      </c>
      <c r="AW19" s="255">
        <f ca="1">SUM(AS19:AV19)</f>
        <v>6.1029161343902771</v>
      </c>
      <c r="AX19" s="523"/>
    </row>
    <row r="20" spans="1:50">
      <c r="A20" s="393" t="s">
        <v>47</v>
      </c>
      <c r="B20" s="292">
        <f t="shared" ref="B20:X20" si="16">B13</f>
        <v>1.4181430625152511</v>
      </c>
      <c r="C20" s="252">
        <f t="shared" si="16"/>
        <v>1.0278202976458486</v>
      </c>
      <c r="D20" s="252">
        <f t="shared" si="16"/>
        <v>0.80082315507132951</v>
      </c>
      <c r="E20" s="252">
        <f t="shared" si="16"/>
        <v>0.6646471783847242</v>
      </c>
      <c r="F20" s="252">
        <f t="shared" si="16"/>
        <v>0.80488655542252185</v>
      </c>
      <c r="G20" s="252">
        <f t="shared" si="16"/>
        <v>0.79823802305492053</v>
      </c>
      <c r="H20" s="252">
        <f t="shared" si="16"/>
        <v>0.85061669057581868</v>
      </c>
      <c r="I20" s="256">
        <f t="shared" si="16"/>
        <v>0.86304410589131519</v>
      </c>
      <c r="J20" s="292">
        <f t="shared" si="16"/>
        <v>0</v>
      </c>
      <c r="K20" s="252">
        <f t="shared" si="16"/>
        <v>0.88163027918637804</v>
      </c>
      <c r="L20" s="252">
        <f t="shared" si="16"/>
        <v>0</v>
      </c>
      <c r="M20" s="252">
        <f t="shared" si="16"/>
        <v>0</v>
      </c>
      <c r="N20" s="256">
        <f t="shared" si="16"/>
        <v>0.88163027918637804</v>
      </c>
      <c r="O20" s="292">
        <f t="shared" si="16"/>
        <v>0</v>
      </c>
      <c r="P20" s="252">
        <f t="shared" si="16"/>
        <v>0.44774742327096873</v>
      </c>
      <c r="Q20" s="252">
        <f t="shared" si="16"/>
        <v>0</v>
      </c>
      <c r="R20" s="252">
        <f t="shared" si="16"/>
        <v>0</v>
      </c>
      <c r="S20" s="256">
        <f t="shared" si="16"/>
        <v>0.44774742327096873</v>
      </c>
      <c r="T20" s="292">
        <f t="shared" si="16"/>
        <v>0</v>
      </c>
      <c r="U20" s="278">
        <f t="shared" si="16"/>
        <v>0.76931857995618558</v>
      </c>
      <c r="V20" s="278">
        <f t="shared" si="16"/>
        <v>0</v>
      </c>
      <c r="W20" s="278">
        <f t="shared" si="16"/>
        <v>0</v>
      </c>
      <c r="X20" s="396">
        <f t="shared" si="16"/>
        <v>0.76931857995618558</v>
      </c>
      <c r="Y20" s="292">
        <f t="shared" ref="Y20:AW20" si="17">Y6</f>
        <v>0</v>
      </c>
      <c r="Z20" s="252">
        <f t="shared" si="17"/>
        <v>0.87103932529613382</v>
      </c>
      <c r="AA20" s="252">
        <f t="shared" si="17"/>
        <v>0</v>
      </c>
      <c r="AB20" s="252">
        <f t="shared" si="17"/>
        <v>0</v>
      </c>
      <c r="AC20" s="256">
        <f t="shared" si="17"/>
        <v>0.87103932529613382</v>
      </c>
      <c r="AD20" s="292">
        <f t="shared" si="17"/>
        <v>0</v>
      </c>
      <c r="AE20" s="252">
        <f t="shared" si="17"/>
        <v>0.87103932529613382</v>
      </c>
      <c r="AF20" s="252">
        <f t="shared" si="17"/>
        <v>0</v>
      </c>
      <c r="AG20" s="252">
        <f t="shared" si="17"/>
        <v>0</v>
      </c>
      <c r="AH20" s="256">
        <f t="shared" si="17"/>
        <v>0.87103932529613382</v>
      </c>
      <c r="AI20" s="292">
        <f t="shared" si="17"/>
        <v>0</v>
      </c>
      <c r="AJ20" s="252">
        <f t="shared" si="17"/>
        <v>0.87103932529613382</v>
      </c>
      <c r="AK20" s="252">
        <f t="shared" si="17"/>
        <v>0</v>
      </c>
      <c r="AL20" s="252">
        <f t="shared" si="17"/>
        <v>0</v>
      </c>
      <c r="AM20" s="256">
        <f t="shared" si="17"/>
        <v>0.87103932529613382</v>
      </c>
      <c r="AN20" s="292">
        <f t="shared" si="17"/>
        <v>0</v>
      </c>
      <c r="AO20" s="252">
        <f t="shared" si="17"/>
        <v>0.87103932529613382</v>
      </c>
      <c r="AP20" s="252">
        <f t="shared" si="17"/>
        <v>0</v>
      </c>
      <c r="AQ20" s="252">
        <f t="shared" si="17"/>
        <v>0</v>
      </c>
      <c r="AR20" s="256">
        <f t="shared" si="17"/>
        <v>0.87103932529613382</v>
      </c>
      <c r="AS20" s="292">
        <f t="shared" si="17"/>
        <v>0</v>
      </c>
      <c r="AT20" s="252">
        <f t="shared" si="17"/>
        <v>0.87103932529613382</v>
      </c>
      <c r="AU20" s="252">
        <f t="shared" si="17"/>
        <v>0</v>
      </c>
      <c r="AV20" s="288">
        <f t="shared" si="17"/>
        <v>0</v>
      </c>
      <c r="AW20" s="256">
        <f t="shared" si="17"/>
        <v>0.87103932529613382</v>
      </c>
      <c r="AX20" s="523"/>
    </row>
    <row r="21" spans="1:50">
      <c r="A21" s="394" t="s">
        <v>48</v>
      </c>
      <c r="B21" s="292">
        <f t="shared" ref="B21:S21" si="18">B7</f>
        <v>0.77270466072146238</v>
      </c>
      <c r="C21" s="252">
        <f t="shared" si="18"/>
        <v>1.5573309980091635E-2</v>
      </c>
      <c r="D21" s="252">
        <f t="shared" si="18"/>
        <v>0.78678287240176281</v>
      </c>
      <c r="E21" s="252">
        <f t="shared" si="18"/>
        <v>0.50829550601908213</v>
      </c>
      <c r="F21" s="252">
        <f t="shared" si="18"/>
        <v>5.0442207341371073E-2</v>
      </c>
      <c r="G21" s="252">
        <f t="shared" si="18"/>
        <v>0.16595825238660014</v>
      </c>
      <c r="H21" s="252">
        <f t="shared" si="18"/>
        <v>0.19829515159883121</v>
      </c>
      <c r="I21" s="256">
        <f t="shared" si="18"/>
        <v>0.31655075355864221</v>
      </c>
      <c r="J21" s="292">
        <f t="shared" si="18"/>
        <v>0</v>
      </c>
      <c r="K21" s="252">
        <f t="shared" si="18"/>
        <v>0.16401064822605735</v>
      </c>
      <c r="L21" s="252">
        <f t="shared" si="18"/>
        <v>0</v>
      </c>
      <c r="M21" s="252">
        <f t="shared" si="18"/>
        <v>0</v>
      </c>
      <c r="N21" s="256">
        <f t="shared" si="18"/>
        <v>0.16401064822605735</v>
      </c>
      <c r="O21" s="292">
        <f t="shared" si="18"/>
        <v>0</v>
      </c>
      <c r="P21" s="252">
        <f t="shared" si="18"/>
        <v>0.32070963595729424</v>
      </c>
      <c r="Q21" s="252">
        <f t="shared" si="18"/>
        <v>0</v>
      </c>
      <c r="R21" s="252">
        <f t="shared" si="18"/>
        <v>0</v>
      </c>
      <c r="S21" s="256">
        <f t="shared" si="18"/>
        <v>0.32070963595729424</v>
      </c>
      <c r="T21" s="371">
        <f t="shared" ref="T21:X22" si="19">T14</f>
        <v>0</v>
      </c>
      <c r="U21" s="372">
        <f t="shared" si="19"/>
        <v>0.32092755934641165</v>
      </c>
      <c r="V21" s="372">
        <f t="shared" si="19"/>
        <v>0</v>
      </c>
      <c r="W21" s="372">
        <f t="shared" si="19"/>
        <v>0</v>
      </c>
      <c r="X21" s="374">
        <f t="shared" si="19"/>
        <v>0.32092755934641165</v>
      </c>
      <c r="Y21" s="371">
        <f t="shared" ref="Y21:AV21" si="20">Y7</f>
        <v>0</v>
      </c>
      <c r="Z21" s="372">
        <f t="shared" si="20"/>
        <v>0.23314847302330852</v>
      </c>
      <c r="AA21" s="372">
        <f t="shared" si="20"/>
        <v>0</v>
      </c>
      <c r="AB21" s="372">
        <f t="shared" si="20"/>
        <v>0</v>
      </c>
      <c r="AC21" s="374">
        <f>AC7</f>
        <v>0.23314847302330852</v>
      </c>
      <c r="AD21" s="371">
        <f t="shared" si="20"/>
        <v>0</v>
      </c>
      <c r="AE21" s="372">
        <f t="shared" si="20"/>
        <v>0.23314847302330852</v>
      </c>
      <c r="AF21" s="372">
        <f t="shared" si="20"/>
        <v>0</v>
      </c>
      <c r="AG21" s="372">
        <f t="shared" si="20"/>
        <v>0</v>
      </c>
      <c r="AH21" s="374">
        <f>AH7</f>
        <v>0.23314847302330852</v>
      </c>
      <c r="AI21" s="371">
        <f t="shared" si="20"/>
        <v>0</v>
      </c>
      <c r="AJ21" s="372">
        <f t="shared" si="20"/>
        <v>0.23314847302330852</v>
      </c>
      <c r="AK21" s="372">
        <f t="shared" si="20"/>
        <v>0</v>
      </c>
      <c r="AL21" s="372">
        <f t="shared" si="20"/>
        <v>0</v>
      </c>
      <c r="AM21" s="374">
        <f>AM7</f>
        <v>0.23314847302330852</v>
      </c>
      <c r="AN21" s="371">
        <f t="shared" si="20"/>
        <v>0</v>
      </c>
      <c r="AO21" s="372">
        <f t="shared" si="20"/>
        <v>0.23314847302330852</v>
      </c>
      <c r="AP21" s="372">
        <f t="shared" si="20"/>
        <v>0</v>
      </c>
      <c r="AQ21" s="372">
        <f t="shared" si="20"/>
        <v>0</v>
      </c>
      <c r="AR21" s="374">
        <f>AR7</f>
        <v>0.23314847302330852</v>
      </c>
      <c r="AS21" s="371">
        <f t="shared" si="20"/>
        <v>0</v>
      </c>
      <c r="AT21" s="372">
        <f t="shared" si="20"/>
        <v>0.23314847302330852</v>
      </c>
      <c r="AU21" s="372">
        <f t="shared" si="20"/>
        <v>0</v>
      </c>
      <c r="AV21" s="373">
        <f t="shared" si="20"/>
        <v>0</v>
      </c>
      <c r="AW21" s="374">
        <f>AW7</f>
        <v>0.23314847302330852</v>
      </c>
      <c r="AX21" s="523"/>
    </row>
    <row r="22" spans="1:50" ht="15.75" thickBot="1">
      <c r="A22" s="525" t="s">
        <v>314</v>
      </c>
      <c r="B22" s="397">
        <f t="shared" ref="B22:AW22" si="21">B8</f>
        <v>1.5348406931945722</v>
      </c>
      <c r="C22" s="398">
        <f t="shared" si="21"/>
        <v>0.36953937104143941</v>
      </c>
      <c r="D22" s="398">
        <f t="shared" si="21"/>
        <v>2.8054629316506468</v>
      </c>
      <c r="E22" s="398">
        <f t="shared" si="21"/>
        <v>0.57768535394346132</v>
      </c>
      <c r="F22" s="398">
        <f t="shared" si="21"/>
        <v>0.28422132118335086</v>
      </c>
      <c r="G22" s="398">
        <f t="shared" si="21"/>
        <v>0.40204192619515516</v>
      </c>
      <c r="H22" s="398">
        <f t="shared" si="21"/>
        <v>0.48698799701270107</v>
      </c>
      <c r="I22" s="399">
        <f t="shared" si="21"/>
        <v>0.40072667899243075</v>
      </c>
      <c r="J22" s="400">
        <f t="shared" si="21"/>
        <v>0</v>
      </c>
      <c r="K22" s="401">
        <f t="shared" si="21"/>
        <v>0</v>
      </c>
      <c r="L22" s="401">
        <f t="shared" si="21"/>
        <v>0</v>
      </c>
      <c r="M22" s="401">
        <f t="shared" si="21"/>
        <v>0</v>
      </c>
      <c r="N22" s="399">
        <f t="shared" si="21"/>
        <v>0.64904134400951563</v>
      </c>
      <c r="O22" s="400">
        <f t="shared" si="21"/>
        <v>0</v>
      </c>
      <c r="P22" s="401">
        <f t="shared" si="21"/>
        <v>0</v>
      </c>
      <c r="Q22" s="401">
        <f t="shared" si="21"/>
        <v>0</v>
      </c>
      <c r="R22" s="401">
        <f t="shared" si="21"/>
        <v>0</v>
      </c>
      <c r="S22" s="399">
        <f t="shared" si="21"/>
        <v>0.33563739077865401</v>
      </c>
      <c r="T22" s="400">
        <f t="shared" si="19"/>
        <v>0</v>
      </c>
      <c r="U22" s="401">
        <f t="shared" si="19"/>
        <v>0</v>
      </c>
      <c r="V22" s="401">
        <f t="shared" si="19"/>
        <v>0</v>
      </c>
      <c r="W22" s="401">
        <f t="shared" si="19"/>
        <v>0</v>
      </c>
      <c r="X22" s="399">
        <f t="shared" si="19"/>
        <v>0.64904134400951563</v>
      </c>
      <c r="Y22" s="494">
        <f t="shared" si="21"/>
        <v>0</v>
      </c>
      <c r="Z22" s="495">
        <f t="shared" si="21"/>
        <v>0</v>
      </c>
      <c r="AA22" s="495">
        <f t="shared" si="21"/>
        <v>0</v>
      </c>
      <c r="AB22" s="495">
        <f t="shared" si="21"/>
        <v>0</v>
      </c>
      <c r="AC22" s="496">
        <f t="shared" si="21"/>
        <v>0.67619203755112389</v>
      </c>
      <c r="AD22" s="494">
        <f t="shared" si="21"/>
        <v>0</v>
      </c>
      <c r="AE22" s="495">
        <f t="shared" si="21"/>
        <v>0</v>
      </c>
      <c r="AF22" s="495">
        <f t="shared" si="21"/>
        <v>0</v>
      </c>
      <c r="AG22" s="495">
        <f t="shared" si="21"/>
        <v>0</v>
      </c>
      <c r="AH22" s="496">
        <f t="shared" si="21"/>
        <v>0.70922136979524841</v>
      </c>
      <c r="AI22" s="494">
        <f t="shared" si="21"/>
        <v>0</v>
      </c>
      <c r="AJ22" s="495">
        <f t="shared" si="21"/>
        <v>0</v>
      </c>
      <c r="AK22" s="495">
        <f t="shared" si="21"/>
        <v>0</v>
      </c>
      <c r="AL22" s="495">
        <f t="shared" si="21"/>
        <v>0</v>
      </c>
      <c r="AM22" s="496">
        <f t="shared" si="21"/>
        <v>0.74686329459629641</v>
      </c>
      <c r="AN22" s="494">
        <f t="shared" si="21"/>
        <v>0</v>
      </c>
      <c r="AO22" s="495">
        <f t="shared" si="21"/>
        <v>0</v>
      </c>
      <c r="AP22" s="495">
        <f t="shared" si="21"/>
        <v>0</v>
      </c>
      <c r="AQ22" s="495">
        <f t="shared" si="21"/>
        <v>0</v>
      </c>
      <c r="AR22" s="496">
        <f t="shared" si="21"/>
        <v>0.78651921750058906</v>
      </c>
      <c r="AS22" s="494">
        <f t="shared" si="21"/>
        <v>0</v>
      </c>
      <c r="AT22" s="495">
        <f t="shared" si="21"/>
        <v>0</v>
      </c>
      <c r="AU22" s="495">
        <f t="shared" si="21"/>
        <v>0</v>
      </c>
      <c r="AV22" s="495">
        <f t="shared" si="21"/>
        <v>0</v>
      </c>
      <c r="AW22" s="496">
        <f t="shared" si="21"/>
        <v>0.82336548869312021</v>
      </c>
      <c r="AX22" s="523"/>
    </row>
    <row r="24" spans="1:50" ht="15.75" thickBot="1">
      <c r="A24" s="20" t="s">
        <v>315</v>
      </c>
    </row>
    <row r="25" spans="1:50" ht="15.75" thickBot="1">
      <c r="A25" s="513" t="s">
        <v>45</v>
      </c>
      <c r="B25" s="488">
        <f t="shared" ref="B25:AW25" si="22">SUM(B26:B28)</f>
        <v>5.8870727616664107</v>
      </c>
      <c r="C25" s="489">
        <f t="shared" si="22"/>
        <v>7.1801580876951245</v>
      </c>
      <c r="D25" s="489">
        <f t="shared" si="22"/>
        <v>6.4541549666239328</v>
      </c>
      <c r="E25" s="489">
        <f t="shared" si="22"/>
        <v>5.1534340760693027</v>
      </c>
      <c r="F25" s="489">
        <f t="shared" si="22"/>
        <v>5.1482294981662715</v>
      </c>
      <c r="G25" s="489">
        <f t="shared" si="22"/>
        <v>5.3453008955165577</v>
      </c>
      <c r="H25" s="489">
        <f t="shared" si="22"/>
        <v>5.6631204890753164</v>
      </c>
      <c r="I25" s="491">
        <f t="shared" si="22"/>
        <v>5.9587763888771264</v>
      </c>
      <c r="J25" s="488">
        <f t="shared" si="22"/>
        <v>0.66660546288491018</v>
      </c>
      <c r="K25" s="489">
        <f t="shared" si="22"/>
        <v>3.452220090778813</v>
      </c>
      <c r="L25" s="489">
        <f t="shared" si="22"/>
        <v>0.53773347149631701</v>
      </c>
      <c r="M25" s="489">
        <f t="shared" si="22"/>
        <v>1.29360388165827</v>
      </c>
      <c r="N25" s="491">
        <f t="shared" si="22"/>
        <v>5.9501629068183099</v>
      </c>
      <c r="O25" s="488">
        <f t="shared" si="22"/>
        <v>0.11602595659974285</v>
      </c>
      <c r="P25" s="489">
        <f t="shared" si="22"/>
        <v>5.0459532689762678</v>
      </c>
      <c r="Q25" s="489">
        <f t="shared" si="22"/>
        <v>5.872058840857465E-2</v>
      </c>
      <c r="R25" s="489">
        <f t="shared" si="22"/>
        <v>0.45227922464955234</v>
      </c>
      <c r="S25" s="491">
        <f t="shared" si="22"/>
        <v>5.6729790386341374</v>
      </c>
      <c r="T25" s="293">
        <f t="shared" ref="T25:X29" si="23">T18</f>
        <v>0.66660546288491018</v>
      </c>
      <c r="U25" s="278">
        <f t="shared" si="23"/>
        <v>3.4968253026689746</v>
      </c>
      <c r="V25" s="278">
        <f t="shared" si="23"/>
        <v>0.53773347149631701</v>
      </c>
      <c r="W25" s="278">
        <f t="shared" si="23"/>
        <v>1.29360388165827</v>
      </c>
      <c r="X25" s="396">
        <f t="shared" si="23"/>
        <v>5.994768118708472</v>
      </c>
      <c r="Y25" s="488">
        <f t="shared" si="22"/>
        <v>0.68505947933635702</v>
      </c>
      <c r="Z25" s="489">
        <f t="shared" si="22"/>
        <v>3.7231690627626164</v>
      </c>
      <c r="AA25" s="489">
        <f t="shared" si="22"/>
        <v>0.53672473188647973</v>
      </c>
      <c r="AB25" s="490">
        <f t="shared" si="22"/>
        <v>1.1924183540492448</v>
      </c>
      <c r="AC25" s="491">
        <f t="shared" si="22"/>
        <v>6.1373716280346979</v>
      </c>
      <c r="AD25" s="488">
        <f t="shared" si="22"/>
        <v>0.63655794284097811</v>
      </c>
      <c r="AE25" s="489">
        <f t="shared" si="22"/>
        <v>3.5339351358309861</v>
      </c>
      <c r="AF25" s="489">
        <f t="shared" si="22"/>
        <v>0.4955672148270252</v>
      </c>
      <c r="AG25" s="490">
        <f t="shared" si="22"/>
        <v>1.1023665845191108</v>
      </c>
      <c r="AH25" s="491">
        <f t="shared" si="22"/>
        <v>5.7684268780181007</v>
      </c>
      <c r="AI25" s="497">
        <f t="shared" si="22"/>
        <v>0.42067342291433585</v>
      </c>
      <c r="AJ25" s="498">
        <f t="shared" si="22"/>
        <v>2.7013249839620346</v>
      </c>
      <c r="AK25" s="498">
        <f t="shared" si="22"/>
        <v>0.3257508864291967</v>
      </c>
      <c r="AL25" s="499">
        <f t="shared" si="22"/>
        <v>0.73202595986290653</v>
      </c>
      <c r="AM25" s="500">
        <f t="shared" si="22"/>
        <v>4.179775253168474</v>
      </c>
      <c r="AN25" s="488">
        <f t="shared" si="22"/>
        <v>0.33151538353869808</v>
      </c>
      <c r="AO25" s="489">
        <f t="shared" si="22"/>
        <v>2.370355303710153</v>
      </c>
      <c r="AP25" s="489">
        <f t="shared" si="22"/>
        <v>0.25683286803832284</v>
      </c>
      <c r="AQ25" s="490">
        <f t="shared" si="22"/>
        <v>0.57938536345137359</v>
      </c>
      <c r="AR25" s="491">
        <f t="shared" si="22"/>
        <v>3.5380889187385476</v>
      </c>
      <c r="AS25" s="488">
        <f t="shared" si="22"/>
        <v>0.23538182953416079</v>
      </c>
      <c r="AT25" s="489">
        <f t="shared" si="22"/>
        <v>2.0103951450622124</v>
      </c>
      <c r="AU25" s="489">
        <f t="shared" si="22"/>
        <v>0.18211318399139861</v>
      </c>
      <c r="AV25" s="490">
        <f t="shared" si="22"/>
        <v>0.4110722159341153</v>
      </c>
      <c r="AW25" s="491">
        <f t="shared" si="22"/>
        <v>2.8389623745218873</v>
      </c>
    </row>
    <row r="26" spans="1:50" ht="15.75" thickBot="1">
      <c r="A26" s="514" t="s">
        <v>46</v>
      </c>
      <c r="B26" s="292">
        <f>B5</f>
        <v>3.6962250384296969</v>
      </c>
      <c r="C26" s="252">
        <f t="shared" ref="C26:N26" si="24">C5</f>
        <v>6.1367644800691847</v>
      </c>
      <c r="D26" s="252">
        <f t="shared" si="24"/>
        <v>4.8665489391508405</v>
      </c>
      <c r="E26" s="252">
        <f t="shared" si="24"/>
        <v>3.9804913916654967</v>
      </c>
      <c r="F26" s="252">
        <f t="shared" si="24"/>
        <v>4.2929007354023785</v>
      </c>
      <c r="G26" s="252">
        <f t="shared" si="24"/>
        <v>4.3811046200750372</v>
      </c>
      <c r="H26" s="252">
        <f t="shared" si="24"/>
        <v>4.6142086469006669</v>
      </c>
      <c r="I26" s="256">
        <f t="shared" si="24"/>
        <v>4.7791815294271682</v>
      </c>
      <c r="J26" s="292">
        <f t="shared" si="24"/>
        <v>0.66660546288491018</v>
      </c>
      <c r="K26" s="252">
        <f t="shared" si="24"/>
        <v>2.4065791633663776</v>
      </c>
      <c r="L26" s="252">
        <f t="shared" si="24"/>
        <v>0.53773347149631701</v>
      </c>
      <c r="M26" s="252">
        <f t="shared" si="24"/>
        <v>1.29360388165827</v>
      </c>
      <c r="N26" s="256">
        <f t="shared" si="24"/>
        <v>4.9045219794058745</v>
      </c>
      <c r="O26" s="292">
        <f t="shared" ref="O26:S27" si="25">O5</f>
        <v>0.11602595659974285</v>
      </c>
      <c r="P26" s="252">
        <f t="shared" si="25"/>
        <v>4.2774962097480049</v>
      </c>
      <c r="Q26" s="252">
        <f t="shared" si="25"/>
        <v>5.872058840857465E-2</v>
      </c>
      <c r="R26" s="252">
        <f t="shared" si="25"/>
        <v>0.45227922464955234</v>
      </c>
      <c r="S26" s="512">
        <f t="shared" si="25"/>
        <v>4.9045219794058745</v>
      </c>
      <c r="T26" s="292">
        <f t="shared" si="23"/>
        <v>0.66660546288491018</v>
      </c>
      <c r="U26" s="278">
        <f t="shared" si="23"/>
        <v>2.4065791633663776</v>
      </c>
      <c r="V26" s="278">
        <f t="shared" si="23"/>
        <v>0.53773347149631701</v>
      </c>
      <c r="W26" s="278">
        <f t="shared" si="23"/>
        <v>1.29360388165827</v>
      </c>
      <c r="X26" s="396">
        <f t="shared" si="23"/>
        <v>4.9045219794058745</v>
      </c>
      <c r="Y26" s="261">
        <f>SUMIF('Domestic Air'!$A$6:$A$31,Summary_Format!AC$2,'Domestic Air'!$AU$6:$AU$31)</f>
        <v>0.68505947933635702</v>
      </c>
      <c r="Z26" s="35">
        <f>SUMIF('Domestic Air'!$A$6:$A$31,Summary_Format!AC$2,'Domestic Air'!$AY$6:$AY$31)</f>
        <v>2.6189812644431743</v>
      </c>
      <c r="AA26" s="35">
        <f>SUMIF('Domestic Air'!$A$6:$A$31,Summary_Format!Y$2,'Domestic Air'!$BC$6:$BC$31)</f>
        <v>0.53672473188647973</v>
      </c>
      <c r="AB26" s="257">
        <f>SUMIF('Domestic Air'!$A$6:$A$31,Summary_Format!Z$2,'Domestic Air'!$BG$6:$BG$31)</f>
        <v>1.1924183540492448</v>
      </c>
      <c r="AC26" s="262">
        <f>SUM(Y26:AB26)</f>
        <v>5.0331838297152558</v>
      </c>
      <c r="AD26" s="261">
        <f>SUMIF('Domestic Air'!$A$6:$A$31,Summary_Format!AH$2,'Domestic Air'!$AU$6:$AU$31)</f>
        <v>0.63655794284097811</v>
      </c>
      <c r="AE26" s="35">
        <f>SUMIF('Domestic Air'!$A$6:$A$31,Summary_Format!AH$2,'Domestic Air'!$AY$6:$AY$31)</f>
        <v>2.4297473375115439</v>
      </c>
      <c r="AF26" s="35">
        <f>SUMIF('Domestic Air'!$A$6:$A$31,Summary_Format!AD$2,'Domestic Air'!$BC$6:$BC$31)</f>
        <v>0.4955672148270252</v>
      </c>
      <c r="AG26" s="257">
        <f>SUMIF('Domestic Air'!$A$6:$A$31,Summary_Format!AE$2,'Domestic Air'!$BG$6:$BG$31)</f>
        <v>1.1023665845191108</v>
      </c>
      <c r="AH26" s="262">
        <f>SUM(AD26:AG26)</f>
        <v>4.6642390796986586</v>
      </c>
      <c r="AI26" s="261">
        <f>SUMIF('Domestic Air'!$A$6:$A$31,Summary_Format!AM$2,'Domestic Air'!$AU$6:$AU$31)</f>
        <v>0.42067342291433585</v>
      </c>
      <c r="AJ26" s="35">
        <f>SUMIF('Domestic Air'!$A$6:$A$31,Summary_Format!AM$2,'Domestic Air'!$AY$6:$AY$31)</f>
        <v>1.5971371856425924</v>
      </c>
      <c r="AK26" s="35">
        <f>SUMIF('Domestic Air'!$A$6:$A$31,Summary_Format!AI$2,'Domestic Air'!$BC$6:$BC$31)</f>
        <v>0.3257508864291967</v>
      </c>
      <c r="AL26" s="257">
        <f>SUMIF('Domestic Air'!$A$6:$A$31,Summary_Format!AJ$2,'Domestic Air'!$BG$6:$BG$31)</f>
        <v>0.73202595986290653</v>
      </c>
      <c r="AM26" s="262">
        <f>SUM(AI26:AL26)</f>
        <v>3.0755874548490318</v>
      </c>
      <c r="AN26" s="261">
        <f>SUMIF('Domestic Air'!$A$6:$A$31,Summary_Format!AR$2,'Domestic Air'!$AU$6:$AU$31)</f>
        <v>0.33151538353869808</v>
      </c>
      <c r="AO26" s="35">
        <f>SUMIF('Domestic Air'!$A$6:$A$31,Summary_Format!AR$2,'Domestic Air'!$AY$6:$AY$31)</f>
        <v>1.2661675053907109</v>
      </c>
      <c r="AP26" s="35">
        <f>SUMIF('Domestic Air'!$A$6:$A$31,Summary_Format!AN$2,'Domestic Air'!$BC$6:$BC$31)</f>
        <v>0.25683286803832284</v>
      </c>
      <c r="AQ26" s="257">
        <f>SUMIF('Domestic Air'!$A$6:$A$31,Summary_Format!AO$2,'Domestic Air'!$BG$6:$BG$31)</f>
        <v>0.57938536345137359</v>
      </c>
      <c r="AR26" s="262">
        <f>SUM(AN26:AQ26)</f>
        <v>2.4339011204191054</v>
      </c>
      <c r="AS26" s="261">
        <f>SUMIF('Domestic Air'!$A$6:$A$31,Summary_Format!AW$2,'Domestic Air'!$AU$6:$AU$31)</f>
        <v>0.23538182953416079</v>
      </c>
      <c r="AT26" s="35">
        <f>SUMIF('Domestic Air'!$A$6:$A$31,Summary_Format!AW$2,'Domestic Air'!$AY$6:$AY$31)</f>
        <v>0.90620734674277026</v>
      </c>
      <c r="AU26" s="35">
        <f>SUMIF('Domestic Air'!$A$6:$A$31,Summary_Format!AS$2,'Domestic Air'!$BC$6:$BC$31)</f>
        <v>0.18211318399139861</v>
      </c>
      <c r="AV26" s="257">
        <f>SUMIF('Domestic Air'!$A$6:$A$31,Summary_Format!AT$2,'Domestic Air'!$BG$6:$BG$31)</f>
        <v>0.4110722159341153</v>
      </c>
      <c r="AW26" s="262">
        <f>SUM(AS26:AV26)</f>
        <v>1.7347745762024449</v>
      </c>
      <c r="AX26" s="523"/>
    </row>
    <row r="27" spans="1:50">
      <c r="A27" s="395" t="s">
        <v>47</v>
      </c>
      <c r="B27" s="260">
        <f>B6</f>
        <v>1.4181430625152511</v>
      </c>
      <c r="C27" s="34">
        <f t="shared" ref="C27:N27" si="26">C6</f>
        <v>1.0278202976458486</v>
      </c>
      <c r="D27" s="34">
        <f t="shared" si="26"/>
        <v>0.80082315507132951</v>
      </c>
      <c r="E27" s="34">
        <f t="shared" si="26"/>
        <v>0.6646471783847242</v>
      </c>
      <c r="F27" s="34">
        <f t="shared" si="26"/>
        <v>0.80488655542252185</v>
      </c>
      <c r="G27" s="35">
        <f t="shared" si="26"/>
        <v>0.79823802305492053</v>
      </c>
      <c r="H27" s="35">
        <f t="shared" si="26"/>
        <v>0.85061669057581868</v>
      </c>
      <c r="I27" s="262">
        <f t="shared" si="26"/>
        <v>0.86304410589131519</v>
      </c>
      <c r="J27" s="283">
        <f t="shared" si="26"/>
        <v>0</v>
      </c>
      <c r="K27" s="35">
        <f t="shared" si="26"/>
        <v>0.88163027918637804</v>
      </c>
      <c r="L27" s="279">
        <f t="shared" si="26"/>
        <v>0</v>
      </c>
      <c r="M27" s="279">
        <f t="shared" si="26"/>
        <v>0</v>
      </c>
      <c r="N27" s="262">
        <f t="shared" si="26"/>
        <v>0.88163027918637804</v>
      </c>
      <c r="O27" s="283">
        <f t="shared" si="25"/>
        <v>0</v>
      </c>
      <c r="P27" s="35">
        <f t="shared" si="25"/>
        <v>0.44774742327096873</v>
      </c>
      <c r="Q27" s="280">
        <f t="shared" si="25"/>
        <v>0</v>
      </c>
      <c r="R27" s="280">
        <f t="shared" si="25"/>
        <v>0</v>
      </c>
      <c r="S27" s="512">
        <f t="shared" si="25"/>
        <v>0.44774742327096873</v>
      </c>
      <c r="T27" s="292">
        <f t="shared" si="23"/>
        <v>0</v>
      </c>
      <c r="U27" s="278">
        <f t="shared" si="23"/>
        <v>0.76931857995618558</v>
      </c>
      <c r="V27" s="278">
        <f t="shared" si="23"/>
        <v>0</v>
      </c>
      <c r="W27" s="278">
        <f t="shared" si="23"/>
        <v>0</v>
      </c>
      <c r="X27" s="396">
        <f t="shared" si="23"/>
        <v>0.76931857995618558</v>
      </c>
      <c r="Y27" s="289">
        <f t="shared" ref="Y27:AW27" si="27">Y6</f>
        <v>0</v>
      </c>
      <c r="Z27" s="35">
        <f t="shared" si="27"/>
        <v>0.87103932529613382</v>
      </c>
      <c r="AA27" s="280">
        <f t="shared" si="27"/>
        <v>0</v>
      </c>
      <c r="AB27" s="294">
        <f t="shared" si="27"/>
        <v>0</v>
      </c>
      <c r="AC27" s="262">
        <f t="shared" si="27"/>
        <v>0.87103932529613382</v>
      </c>
      <c r="AD27" s="289">
        <f t="shared" si="27"/>
        <v>0</v>
      </c>
      <c r="AE27" s="35">
        <f t="shared" si="27"/>
        <v>0.87103932529613382</v>
      </c>
      <c r="AF27" s="280">
        <f t="shared" si="27"/>
        <v>0</v>
      </c>
      <c r="AG27" s="294">
        <f t="shared" si="27"/>
        <v>0</v>
      </c>
      <c r="AH27" s="262">
        <f t="shared" si="27"/>
        <v>0.87103932529613382</v>
      </c>
      <c r="AI27" s="289">
        <f t="shared" si="27"/>
        <v>0</v>
      </c>
      <c r="AJ27" s="35">
        <f t="shared" si="27"/>
        <v>0.87103932529613382</v>
      </c>
      <c r="AK27" s="280">
        <f t="shared" si="27"/>
        <v>0</v>
      </c>
      <c r="AL27" s="294">
        <f t="shared" si="27"/>
        <v>0</v>
      </c>
      <c r="AM27" s="262">
        <f t="shared" si="27"/>
        <v>0.87103932529613382</v>
      </c>
      <c r="AN27" s="289">
        <f t="shared" si="27"/>
        <v>0</v>
      </c>
      <c r="AO27" s="35">
        <f t="shared" si="27"/>
        <v>0.87103932529613382</v>
      </c>
      <c r="AP27" s="280">
        <f t="shared" si="27"/>
        <v>0</v>
      </c>
      <c r="AQ27" s="294">
        <f t="shared" si="27"/>
        <v>0</v>
      </c>
      <c r="AR27" s="262">
        <f t="shared" si="27"/>
        <v>0.87103932529613382</v>
      </c>
      <c r="AS27" s="289">
        <f t="shared" si="27"/>
        <v>0</v>
      </c>
      <c r="AT27" s="35">
        <f t="shared" si="27"/>
        <v>0.87103932529613382</v>
      </c>
      <c r="AU27" s="280">
        <f t="shared" si="27"/>
        <v>0</v>
      </c>
      <c r="AV27" s="294">
        <f t="shared" si="27"/>
        <v>0</v>
      </c>
      <c r="AW27" s="262">
        <f t="shared" si="27"/>
        <v>0.87103932529613382</v>
      </c>
      <c r="AX27" s="523"/>
    </row>
    <row r="28" spans="1:50">
      <c r="A28" s="395" t="s">
        <v>48</v>
      </c>
      <c r="B28" s="515">
        <f t="shared" ref="B28:AW28" si="28">B7</f>
        <v>0.77270466072146238</v>
      </c>
      <c r="C28" s="366">
        <f t="shared" si="28"/>
        <v>1.5573309980091635E-2</v>
      </c>
      <c r="D28" s="366">
        <f t="shared" si="28"/>
        <v>0.78678287240176281</v>
      </c>
      <c r="E28" s="366">
        <f t="shared" si="28"/>
        <v>0.50829550601908213</v>
      </c>
      <c r="F28" s="34">
        <f t="shared" si="28"/>
        <v>5.0442207341371073E-2</v>
      </c>
      <c r="G28" s="34">
        <f t="shared" si="28"/>
        <v>0.16595825238660014</v>
      </c>
      <c r="H28" s="35">
        <f t="shared" si="28"/>
        <v>0.19829515159883121</v>
      </c>
      <c r="I28" s="262">
        <f t="shared" si="28"/>
        <v>0.31655075355864221</v>
      </c>
      <c r="J28" s="261">
        <f t="shared" si="28"/>
        <v>0</v>
      </c>
      <c r="K28" s="35">
        <f t="shared" si="28"/>
        <v>0.16401064822605735</v>
      </c>
      <c r="L28" s="35">
        <f t="shared" si="28"/>
        <v>0</v>
      </c>
      <c r="M28" s="35">
        <f t="shared" si="28"/>
        <v>0</v>
      </c>
      <c r="N28" s="262">
        <f t="shared" si="28"/>
        <v>0.16401064822605735</v>
      </c>
      <c r="O28" s="261">
        <f t="shared" si="28"/>
        <v>0</v>
      </c>
      <c r="P28" s="35">
        <f t="shared" si="28"/>
        <v>0.32070963595729424</v>
      </c>
      <c r="Q28" s="35">
        <f t="shared" si="28"/>
        <v>0</v>
      </c>
      <c r="R28" s="35">
        <f t="shared" si="28"/>
        <v>0</v>
      </c>
      <c r="S28" s="262">
        <f t="shared" si="28"/>
        <v>0.32070963595729424</v>
      </c>
      <c r="T28" s="371">
        <f t="shared" si="23"/>
        <v>0</v>
      </c>
      <c r="U28" s="372">
        <f t="shared" si="23"/>
        <v>0.32092755934641165</v>
      </c>
      <c r="V28" s="372">
        <f t="shared" si="23"/>
        <v>0</v>
      </c>
      <c r="W28" s="372">
        <f t="shared" si="23"/>
        <v>0</v>
      </c>
      <c r="X28" s="374">
        <f t="shared" si="23"/>
        <v>0.32092755934641165</v>
      </c>
      <c r="Y28" s="369">
        <f t="shared" si="28"/>
        <v>0</v>
      </c>
      <c r="Z28" s="367">
        <f t="shared" si="28"/>
        <v>0.23314847302330852</v>
      </c>
      <c r="AA28" s="367">
        <f t="shared" si="28"/>
        <v>0</v>
      </c>
      <c r="AB28" s="368">
        <f t="shared" si="28"/>
        <v>0</v>
      </c>
      <c r="AC28" s="370">
        <f t="shared" si="28"/>
        <v>0.23314847302330852</v>
      </c>
      <c r="AD28" s="369">
        <f t="shared" si="28"/>
        <v>0</v>
      </c>
      <c r="AE28" s="367">
        <f t="shared" si="28"/>
        <v>0.23314847302330852</v>
      </c>
      <c r="AF28" s="367">
        <f t="shared" si="28"/>
        <v>0</v>
      </c>
      <c r="AG28" s="368">
        <f t="shared" si="28"/>
        <v>0</v>
      </c>
      <c r="AH28" s="370">
        <f t="shared" si="28"/>
        <v>0.23314847302330852</v>
      </c>
      <c r="AI28" s="369">
        <f t="shared" si="28"/>
        <v>0</v>
      </c>
      <c r="AJ28" s="367">
        <f t="shared" si="28"/>
        <v>0.23314847302330852</v>
      </c>
      <c r="AK28" s="367">
        <f t="shared" si="28"/>
        <v>0</v>
      </c>
      <c r="AL28" s="368">
        <f t="shared" si="28"/>
        <v>0</v>
      </c>
      <c r="AM28" s="370">
        <f t="shared" si="28"/>
        <v>0.23314847302330852</v>
      </c>
      <c r="AN28" s="369">
        <f t="shared" si="28"/>
        <v>0</v>
      </c>
      <c r="AO28" s="367">
        <f t="shared" si="28"/>
        <v>0.23314847302330852</v>
      </c>
      <c r="AP28" s="367">
        <f t="shared" si="28"/>
        <v>0</v>
      </c>
      <c r="AQ28" s="368">
        <f t="shared" si="28"/>
        <v>0</v>
      </c>
      <c r="AR28" s="370">
        <f t="shared" si="28"/>
        <v>0.23314847302330852</v>
      </c>
      <c r="AS28" s="369">
        <f t="shared" si="28"/>
        <v>0</v>
      </c>
      <c r="AT28" s="367">
        <f t="shared" si="28"/>
        <v>0.23314847302330852</v>
      </c>
      <c r="AU28" s="367">
        <f t="shared" si="28"/>
        <v>0</v>
      </c>
      <c r="AV28" s="368">
        <f t="shared" si="28"/>
        <v>0</v>
      </c>
      <c r="AW28" s="370">
        <f t="shared" si="28"/>
        <v>0.23314847302330852</v>
      </c>
      <c r="AX28" s="523"/>
    </row>
    <row r="29" spans="1:50" ht="15.75" thickBot="1">
      <c r="A29" s="525" t="s">
        <v>314</v>
      </c>
      <c r="B29" s="494">
        <f>B8</f>
        <v>1.5348406931945722</v>
      </c>
      <c r="C29" s="495">
        <f t="shared" ref="C29:I29" si="29">C8</f>
        <v>0.36953937104143941</v>
      </c>
      <c r="D29" s="495">
        <f t="shared" si="29"/>
        <v>2.8054629316506468</v>
      </c>
      <c r="E29" s="495">
        <f t="shared" si="29"/>
        <v>0.57768535394346132</v>
      </c>
      <c r="F29" s="495">
        <f t="shared" si="29"/>
        <v>0.28422132118335086</v>
      </c>
      <c r="G29" s="495">
        <f t="shared" si="29"/>
        <v>0.40204192619515516</v>
      </c>
      <c r="H29" s="495">
        <f t="shared" si="29"/>
        <v>0.48698799701270107</v>
      </c>
      <c r="I29" s="496">
        <f t="shared" si="29"/>
        <v>0.40072667899243075</v>
      </c>
      <c r="J29" s="492"/>
      <c r="K29" s="493"/>
      <c r="L29" s="493"/>
      <c r="M29" s="493"/>
      <c r="N29" s="263">
        <f>SUMIF(Marine_Forecast!$A$5:$A$31,Summary_Format!N$2,Marine_Forecast!$E$5:$E$31)</f>
        <v>0.64904134400951563</v>
      </c>
      <c r="O29" s="492"/>
      <c r="P29" s="493"/>
      <c r="Q29" s="493"/>
      <c r="R29" s="493"/>
      <c r="S29" s="263">
        <f>S8</f>
        <v>0.33563739077865401</v>
      </c>
      <c r="T29" s="400">
        <f t="shared" si="23"/>
        <v>0</v>
      </c>
      <c r="U29" s="401">
        <f t="shared" si="23"/>
        <v>0</v>
      </c>
      <c r="V29" s="401">
        <f t="shared" si="23"/>
        <v>0</v>
      </c>
      <c r="W29" s="401">
        <f t="shared" si="23"/>
        <v>0</v>
      </c>
      <c r="X29" s="399">
        <f t="shared" si="23"/>
        <v>0.64904134400951563</v>
      </c>
      <c r="Y29" s="492"/>
      <c r="Z29" s="493"/>
      <c r="AA29" s="493"/>
      <c r="AB29" s="493"/>
      <c r="AC29" s="263">
        <f>SUMIF(Marine_Forecast!$A$5:$A$31,Summary_Format!AC$2,Marine_Forecast!$E$5:$E$31)</f>
        <v>0.62251233723292265</v>
      </c>
      <c r="AD29" s="492"/>
      <c r="AE29" s="493"/>
      <c r="AF29" s="493"/>
      <c r="AG29" s="493"/>
      <c r="AH29" s="263">
        <f>SUMIF(Marine_Forecast!$A$5:$A$31,Summary_Format!AH$2,Marine_Forecast!$E$5:$E$31)</f>
        <v>0.55618982029144048</v>
      </c>
      <c r="AI29" s="492"/>
      <c r="AJ29" s="493"/>
      <c r="AK29" s="493"/>
      <c r="AL29" s="493"/>
      <c r="AM29" s="263">
        <f>SUMIF(Marine_Forecast!$A$5:$A$31,Summary_Format!AM$2,Marine_Forecast!$E$5:$E$31)</f>
        <v>0.36717721359405175</v>
      </c>
      <c r="AN29" s="492"/>
      <c r="AO29" s="493"/>
      <c r="AP29" s="493"/>
      <c r="AQ29" s="493"/>
      <c r="AR29" s="263">
        <f>SUMIF(Marine_Forecast!$A$5:$A$31,Summary_Format!AR$2,Marine_Forecast!$E$5:$E$31)</f>
        <v>0.17816460689666311</v>
      </c>
      <c r="AS29" s="492"/>
      <c r="AT29" s="493"/>
      <c r="AU29" s="493"/>
      <c r="AV29" s="493"/>
      <c r="AW29" s="263">
        <f>SUMIF(Marine_Forecast!$A$5:$A$31,Summary_Format!AW$2,Marine_Forecast!$E$5:$E$31)</f>
        <v>8.9082303448331554E-2</v>
      </c>
      <c r="AX29" s="523"/>
    </row>
  </sheetData>
  <mergeCells count="1">
    <mergeCell ref="B3:I3"/>
  </mergeCells>
  <conditionalFormatting sqref="J29:M29 O29:R29 Y29:AB29 AD29:AG29 AI29:AL29 AN29:AQ29 AS29:AV29">
    <cfRule type="cellIs" dxfId="0" priority="1" operator="notEqual">
      <formula>0</formula>
    </cfRule>
  </conditionalFormatting>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B050"/>
  </sheetPr>
  <dimension ref="A1:BG38"/>
  <sheetViews>
    <sheetView workbookViewId="0">
      <selection activeCell="BJ15" sqref="BJ15"/>
    </sheetView>
  </sheetViews>
  <sheetFormatPr defaultColWidth="8.5703125" defaultRowHeight="15"/>
  <cols>
    <col min="1" max="1" width="10.140625" style="55" customWidth="1"/>
    <col min="2" max="4" width="11.42578125" style="48" customWidth="1"/>
    <col min="5" max="5" width="13.140625" style="48" customWidth="1"/>
    <col min="6" max="11" width="12.42578125" style="48" customWidth="1"/>
    <col min="12" max="12" width="12.5703125" style="48" customWidth="1"/>
    <col min="13" max="13" width="13.140625" style="48" customWidth="1"/>
    <col min="14" max="14" width="13.5703125" style="48" customWidth="1"/>
    <col min="15" max="17" width="12.140625" style="48" customWidth="1"/>
    <col min="18" max="20" width="8.140625" style="48" customWidth="1"/>
    <col min="21" max="21" width="12.85546875" style="48" customWidth="1"/>
    <col min="22" max="38" width="8.140625" style="48" customWidth="1"/>
    <col min="39" max="39" width="12.85546875" style="48" customWidth="1"/>
    <col min="40" max="16384" width="8.5703125" style="48"/>
  </cols>
  <sheetData>
    <row r="1" spans="1:59" s="41" customFormat="1" ht="15.75" thickBot="1">
      <c r="A1" s="304" t="s">
        <v>317</v>
      </c>
      <c r="B1" s="351"/>
      <c r="C1" s="351"/>
      <c r="D1" s="351"/>
      <c r="E1" s="351"/>
      <c r="F1" s="351"/>
      <c r="L1" s="351"/>
      <c r="Q1" s="339"/>
      <c r="R1" s="528" t="s">
        <v>316</v>
      </c>
      <c r="S1" s="529"/>
      <c r="T1" s="529"/>
      <c r="U1" s="529"/>
      <c r="V1" s="529"/>
      <c r="W1" s="529"/>
      <c r="X1" s="529"/>
      <c r="Y1" s="529"/>
      <c r="Z1" s="529"/>
      <c r="AA1" s="529"/>
      <c r="AB1" s="529"/>
      <c r="AC1" s="529"/>
      <c r="AD1" s="529"/>
      <c r="AE1" s="529"/>
      <c r="AF1" s="529"/>
      <c r="AG1" s="529"/>
      <c r="AH1" s="529"/>
      <c r="AI1" s="529"/>
      <c r="AJ1" s="529"/>
      <c r="AK1" s="530"/>
      <c r="AL1" s="382"/>
      <c r="AM1" s="543" t="s">
        <v>319</v>
      </c>
      <c r="AN1" s="544"/>
      <c r="AO1" s="544"/>
      <c r="AP1" s="544"/>
      <c r="AQ1" s="544"/>
      <c r="AR1" s="544"/>
      <c r="AS1" s="544"/>
      <c r="AT1" s="544"/>
      <c r="AU1" s="544"/>
      <c r="AV1" s="544"/>
      <c r="AW1" s="544"/>
      <c r="AX1" s="544"/>
      <c r="AY1" s="544"/>
      <c r="AZ1" s="544"/>
      <c r="BA1" s="544"/>
      <c r="BB1" s="544"/>
      <c r="BC1" s="544"/>
      <c r="BD1" s="544"/>
      <c r="BE1" s="544"/>
      <c r="BF1" s="544"/>
      <c r="BG1" s="545"/>
    </row>
    <row r="2" spans="1:59" s="42" customFormat="1" ht="20.85" customHeight="1">
      <c r="A2" s="546" t="s">
        <v>51</v>
      </c>
      <c r="B2" s="547" t="s">
        <v>52</v>
      </c>
      <c r="C2" s="548"/>
      <c r="D2" s="548"/>
      <c r="E2" s="548"/>
      <c r="F2" s="549"/>
      <c r="G2" s="550" t="s">
        <v>53</v>
      </c>
      <c r="H2" s="551"/>
      <c r="I2" s="551"/>
      <c r="J2" s="551"/>
      <c r="K2" s="552"/>
      <c r="L2" s="362" t="s">
        <v>318</v>
      </c>
      <c r="M2" s="553" t="s">
        <v>54</v>
      </c>
      <c r="N2" s="535"/>
      <c r="O2" s="535"/>
      <c r="P2" s="535"/>
      <c r="Q2" s="554"/>
      <c r="R2" s="534" t="s">
        <v>55</v>
      </c>
      <c r="S2" s="535"/>
      <c r="T2" s="535"/>
      <c r="U2" s="535"/>
      <c r="V2" s="535"/>
      <c r="W2" s="535"/>
      <c r="X2" s="535"/>
      <c r="Y2" s="535"/>
      <c r="Z2" s="535"/>
      <c r="AA2" s="535"/>
      <c r="AB2" s="535"/>
      <c r="AC2" s="535"/>
      <c r="AD2" s="535"/>
      <c r="AE2" s="535"/>
      <c r="AF2" s="535"/>
      <c r="AG2" s="535"/>
      <c r="AH2" s="535"/>
      <c r="AI2" s="535"/>
      <c r="AJ2" s="535"/>
      <c r="AK2" s="536"/>
      <c r="AL2" s="383"/>
      <c r="AM2" s="362" t="s">
        <v>318</v>
      </c>
      <c r="AN2" s="534" t="s">
        <v>55</v>
      </c>
      <c r="AO2" s="535"/>
      <c r="AP2" s="535"/>
      <c r="AQ2" s="535"/>
      <c r="AR2" s="535"/>
      <c r="AS2" s="535"/>
      <c r="AT2" s="535"/>
      <c r="AU2" s="535"/>
      <c r="AV2" s="535"/>
      <c r="AW2" s="535"/>
      <c r="AX2" s="535"/>
      <c r="AY2" s="535"/>
      <c r="AZ2" s="535"/>
      <c r="BA2" s="535"/>
      <c r="BB2" s="535"/>
      <c r="BC2" s="535"/>
      <c r="BD2" s="535"/>
      <c r="BE2" s="535"/>
      <c r="BF2" s="535"/>
      <c r="BG2" s="536"/>
    </row>
    <row r="3" spans="1:59" s="54" customFormat="1" ht="20.85" customHeight="1">
      <c r="A3" s="546"/>
      <c r="B3" s="353" t="s">
        <v>40</v>
      </c>
      <c r="C3" s="53" t="s">
        <v>41</v>
      </c>
      <c r="D3" s="53" t="s">
        <v>42</v>
      </c>
      <c r="E3" s="53" t="s">
        <v>43</v>
      </c>
      <c r="F3" s="354" t="s">
        <v>44</v>
      </c>
      <c r="G3" s="349" t="s">
        <v>40</v>
      </c>
      <c r="H3" s="53" t="s">
        <v>41</v>
      </c>
      <c r="I3" s="53" t="s">
        <v>42</v>
      </c>
      <c r="J3" s="53" t="s">
        <v>43</v>
      </c>
      <c r="K3" s="328" t="s">
        <v>44</v>
      </c>
      <c r="L3" s="363" t="s">
        <v>40</v>
      </c>
      <c r="M3" s="349" t="s">
        <v>40</v>
      </c>
      <c r="N3" s="53" t="s">
        <v>41</v>
      </c>
      <c r="O3" s="53" t="s">
        <v>42</v>
      </c>
      <c r="P3" s="53" t="s">
        <v>43</v>
      </c>
      <c r="Q3" s="328" t="s">
        <v>44</v>
      </c>
      <c r="R3" s="537" t="s">
        <v>40</v>
      </c>
      <c r="S3" s="538"/>
      <c r="T3" s="538"/>
      <c r="U3" s="539"/>
      <c r="V3" s="540" t="s">
        <v>41</v>
      </c>
      <c r="W3" s="538"/>
      <c r="X3" s="538"/>
      <c r="Y3" s="539"/>
      <c r="Z3" s="541" t="s">
        <v>56</v>
      </c>
      <c r="AA3" s="541"/>
      <c r="AB3" s="541"/>
      <c r="AC3" s="541"/>
      <c r="AD3" s="541" t="s">
        <v>57</v>
      </c>
      <c r="AE3" s="541"/>
      <c r="AF3" s="541"/>
      <c r="AG3" s="541"/>
      <c r="AH3" s="541" t="s">
        <v>44</v>
      </c>
      <c r="AI3" s="541"/>
      <c r="AJ3" s="541"/>
      <c r="AK3" s="542"/>
      <c r="AL3" s="327"/>
      <c r="AM3" s="363" t="s">
        <v>40</v>
      </c>
      <c r="AN3" s="537" t="s">
        <v>40</v>
      </c>
      <c r="AO3" s="538"/>
      <c r="AP3" s="538"/>
      <c r="AQ3" s="539"/>
      <c r="AR3" s="540" t="s">
        <v>41</v>
      </c>
      <c r="AS3" s="538"/>
      <c r="AT3" s="538"/>
      <c r="AU3" s="539"/>
      <c r="AV3" s="541" t="s">
        <v>56</v>
      </c>
      <c r="AW3" s="541"/>
      <c r="AX3" s="541"/>
      <c r="AY3" s="541"/>
      <c r="AZ3" s="541" t="s">
        <v>57</v>
      </c>
      <c r="BA3" s="541"/>
      <c r="BB3" s="541"/>
      <c r="BC3" s="541"/>
      <c r="BD3" s="541" t="s">
        <v>44</v>
      </c>
      <c r="BE3" s="541"/>
      <c r="BF3" s="541"/>
      <c r="BG3" s="542"/>
    </row>
    <row r="4" spans="1:59" s="43" customFormat="1" ht="20.85" customHeight="1">
      <c r="A4" s="546"/>
      <c r="B4" s="531" t="s">
        <v>327</v>
      </c>
      <c r="C4" s="532"/>
      <c r="D4" s="532"/>
      <c r="E4" s="532"/>
      <c r="F4" s="533"/>
      <c r="G4" s="532" t="s">
        <v>327</v>
      </c>
      <c r="H4" s="532"/>
      <c r="I4" s="532"/>
      <c r="J4" s="532"/>
      <c r="K4" s="532"/>
      <c r="L4" s="363" t="s">
        <v>357</v>
      </c>
      <c r="M4" s="539" t="s">
        <v>58</v>
      </c>
      <c r="N4" s="541"/>
      <c r="O4" s="541"/>
      <c r="P4" s="541"/>
      <c r="Q4" s="540"/>
      <c r="R4" s="342" t="s">
        <v>59</v>
      </c>
      <c r="S4" s="44" t="s">
        <v>60</v>
      </c>
      <c r="T4" s="44" t="s">
        <v>61</v>
      </c>
      <c r="U4" s="44" t="s">
        <v>62</v>
      </c>
      <c r="V4" s="44" t="s">
        <v>59</v>
      </c>
      <c r="W4" s="44" t="s">
        <v>60</v>
      </c>
      <c r="X4" s="44" t="s">
        <v>61</v>
      </c>
      <c r="Y4" s="44" t="s">
        <v>62</v>
      </c>
      <c r="Z4" s="44" t="s">
        <v>59</v>
      </c>
      <c r="AA4" s="44" t="s">
        <v>60</v>
      </c>
      <c r="AB4" s="44" t="s">
        <v>61</v>
      </c>
      <c r="AC4" s="44" t="s">
        <v>62</v>
      </c>
      <c r="AD4" s="44" t="s">
        <v>59</v>
      </c>
      <c r="AE4" s="44" t="s">
        <v>60</v>
      </c>
      <c r="AF4" s="44" t="s">
        <v>61</v>
      </c>
      <c r="AG4" s="44" t="s">
        <v>62</v>
      </c>
      <c r="AH4" s="44" t="s">
        <v>59</v>
      </c>
      <c r="AI4" s="44" t="s">
        <v>60</v>
      </c>
      <c r="AJ4" s="44" t="s">
        <v>61</v>
      </c>
      <c r="AK4" s="341" t="s">
        <v>62</v>
      </c>
      <c r="AL4" s="327"/>
      <c r="AM4" s="363" t="s">
        <v>357</v>
      </c>
      <c r="AN4" s="342" t="s">
        <v>59</v>
      </c>
      <c r="AO4" s="44" t="s">
        <v>60</v>
      </c>
      <c r="AP4" s="44" t="s">
        <v>61</v>
      </c>
      <c r="AQ4" s="44" t="s">
        <v>62</v>
      </c>
      <c r="AR4" s="44" t="s">
        <v>59</v>
      </c>
      <c r="AS4" s="44" t="s">
        <v>60</v>
      </c>
      <c r="AT4" s="44" t="s">
        <v>61</v>
      </c>
      <c r="AU4" s="44" t="s">
        <v>62</v>
      </c>
      <c r="AV4" s="44" t="s">
        <v>59</v>
      </c>
      <c r="AW4" s="44" t="s">
        <v>60</v>
      </c>
      <c r="AX4" s="44" t="s">
        <v>61</v>
      </c>
      <c r="AY4" s="44" t="s">
        <v>62</v>
      </c>
      <c r="AZ4" s="44" t="s">
        <v>59</v>
      </c>
      <c r="BA4" s="44" t="s">
        <v>60</v>
      </c>
      <c r="BB4" s="44" t="s">
        <v>61</v>
      </c>
      <c r="BC4" s="44" t="s">
        <v>62</v>
      </c>
      <c r="BD4" s="44" t="s">
        <v>59</v>
      </c>
      <c r="BE4" s="44" t="s">
        <v>60</v>
      </c>
      <c r="BF4" s="44" t="s">
        <v>61</v>
      </c>
      <c r="BG4" s="341" t="s">
        <v>62</v>
      </c>
    </row>
    <row r="5" spans="1:59">
      <c r="A5" s="348">
        <v>2019</v>
      </c>
      <c r="B5" s="355">
        <f>Forecasts!G8</f>
        <v>1.0202997966377045</v>
      </c>
      <c r="C5" s="45">
        <f>Forecasts!H8</f>
        <v>0.89274694072725569</v>
      </c>
      <c r="D5" s="45">
        <f>Forecasts!I8</f>
        <v>1.0287468443631402</v>
      </c>
      <c r="E5" s="45">
        <f>Forecasts!J8</f>
        <v>1.0934126473810502</v>
      </c>
      <c r="F5" s="356">
        <f>Forecasts!K8</f>
        <v>1.0642532822941639</v>
      </c>
      <c r="G5" s="350">
        <f>Forecasts!S8</f>
        <v>1.1208589998942953</v>
      </c>
      <c r="H5" s="45">
        <f>Forecasts!T8</f>
        <v>1.0365438270167182</v>
      </c>
      <c r="I5" s="45">
        <f>Forecasts!U8</f>
        <v>1.2414107175060369</v>
      </c>
      <c r="J5" s="45">
        <f>Forecasts!V8</f>
        <v>0.99778875696761515</v>
      </c>
      <c r="K5" s="360">
        <f>Forecasts!W8</f>
        <v>1.0267472077935187</v>
      </c>
      <c r="L5" s="364">
        <f>Forecasts!C44</f>
        <v>1.052923027504908</v>
      </c>
      <c r="M5" s="361">
        <f>SUM(N5:Q5)</f>
        <v>67350.20061321769</v>
      </c>
      <c r="N5" s="46">
        <f>'ICF Data'!B23</f>
        <v>9154.0035590999996</v>
      </c>
      <c r="O5" s="46">
        <f>'ICF Data'!C23</f>
        <v>33047.785314227433</v>
      </c>
      <c r="P5" s="46">
        <f>'ICF Data'!D23</f>
        <v>7384.299088431474</v>
      </c>
      <c r="Q5" s="340">
        <f>'ICF Data'!E23</f>
        <v>17764.112651458789</v>
      </c>
      <c r="R5" s="343">
        <f>V5+Z5+AD5+AH5</f>
        <v>4.8647227297778821</v>
      </c>
      <c r="S5" s="47">
        <f>W5+AA5+AE5+AI5</f>
        <v>9.3781507587165728E-5</v>
      </c>
      <c r="T5" s="47">
        <f>X5+AB5+AF5+AJ5</f>
        <v>3.9705468120404819E-2</v>
      </c>
      <c r="U5" s="47">
        <f>Y5+AC5+AG5+AK5</f>
        <v>4.9045219794058745</v>
      </c>
      <c r="V5" s="47">
        <f>'ICF Data'!B5</f>
        <v>0.66119608816253339</v>
      </c>
      <c r="W5" s="47">
        <f>'ICF Data'!B6</f>
        <v>1.2746454300274199E-5</v>
      </c>
      <c r="X5" s="47">
        <f>'ICF Data'!B7</f>
        <v>5.3966282680765511E-3</v>
      </c>
      <c r="Y5" s="47">
        <f>SUM(V5:X5)</f>
        <v>0.66660546288491018</v>
      </c>
      <c r="Z5" s="47">
        <f>'ICF Data'!C5</f>
        <v>2.3870502377596567</v>
      </c>
      <c r="AA5" s="47">
        <f>'ICF Data'!C6</f>
        <v>4.6017251633501481E-5</v>
      </c>
      <c r="AB5" s="47">
        <f>'ICF Data'!C7</f>
        <v>1.9482908355086929E-2</v>
      </c>
      <c r="AC5" s="47">
        <f>SUM(Z5:AB5)</f>
        <v>2.4065791633663776</v>
      </c>
      <c r="AD5" s="47">
        <f>'ICF Data'!D5</f>
        <v>0.5333698681206418</v>
      </c>
      <c r="AE5" s="47">
        <f>'ICF Data'!D6</f>
        <v>1.0282236647885052E-5</v>
      </c>
      <c r="AF5" s="47">
        <f>'ICF Data'!D7</f>
        <v>4.3533211390273038E-3</v>
      </c>
      <c r="AG5" s="47">
        <f>SUM(AD5:AF5)</f>
        <v>0.53773347149631701</v>
      </c>
      <c r="AH5" s="47">
        <f>'ICF Data'!E5</f>
        <v>1.2831065357350504</v>
      </c>
      <c r="AI5" s="47">
        <f>'ICF Data'!E6</f>
        <v>2.4735565005505004E-5</v>
      </c>
      <c r="AJ5" s="47">
        <f>'ICF Data'!E7</f>
        <v>1.0472610358214035E-2</v>
      </c>
      <c r="AK5" s="344">
        <f>SUM(AH5:AJ5)</f>
        <v>1.29360388165827</v>
      </c>
      <c r="AL5" s="384"/>
      <c r="AM5" s="364">
        <f>Forecasts!D44</f>
        <v>1.052923027504908</v>
      </c>
      <c r="AN5" s="343">
        <f t="shared" ref="AN5:AN31" si="0">AR5+AV5+AZ5+BD5</f>
        <v>4.8647227297778821</v>
      </c>
      <c r="AO5" s="47">
        <f>AS5+AW5+BA5+BE5</f>
        <v>9.3781507587165728E-5</v>
      </c>
      <c r="AP5" s="47">
        <f>AT5+AX5+BB5+BF5</f>
        <v>3.9705468120404819E-2</v>
      </c>
      <c r="AQ5" s="47">
        <f t="shared" ref="AQ5:AQ31" si="1">AU5+AY5+BC5+BG5</f>
        <v>4.9045219794058745</v>
      </c>
      <c r="AR5" s="47">
        <f t="shared" ref="AR5:BG5" si="2">V5</f>
        <v>0.66119608816253339</v>
      </c>
      <c r="AS5" s="47">
        <f t="shared" si="2"/>
        <v>1.2746454300274199E-5</v>
      </c>
      <c r="AT5" s="47">
        <f t="shared" si="2"/>
        <v>5.3966282680765511E-3</v>
      </c>
      <c r="AU5" s="47">
        <f t="shared" si="2"/>
        <v>0.66660546288491018</v>
      </c>
      <c r="AV5" s="47">
        <f t="shared" si="2"/>
        <v>2.3870502377596567</v>
      </c>
      <c r="AW5" s="47">
        <f t="shared" si="2"/>
        <v>4.6017251633501481E-5</v>
      </c>
      <c r="AX5" s="47">
        <f t="shared" si="2"/>
        <v>1.9482908355086929E-2</v>
      </c>
      <c r="AY5" s="47">
        <f t="shared" si="2"/>
        <v>2.4065791633663776</v>
      </c>
      <c r="AZ5" s="47">
        <f t="shared" si="2"/>
        <v>0.5333698681206418</v>
      </c>
      <c r="BA5" s="47">
        <f t="shared" si="2"/>
        <v>1.0282236647885052E-5</v>
      </c>
      <c r="BB5" s="47">
        <f t="shared" si="2"/>
        <v>4.3533211390273038E-3</v>
      </c>
      <c r="BC5" s="47">
        <f t="shared" si="2"/>
        <v>0.53773347149631701</v>
      </c>
      <c r="BD5" s="47">
        <f t="shared" si="2"/>
        <v>1.2831065357350504</v>
      </c>
      <c r="BE5" s="47">
        <f t="shared" si="2"/>
        <v>2.4735565005505004E-5</v>
      </c>
      <c r="BF5" s="47">
        <f t="shared" si="2"/>
        <v>1.0472610358214035E-2</v>
      </c>
      <c r="BG5" s="344">
        <f t="shared" si="2"/>
        <v>1.29360388165827</v>
      </c>
    </row>
    <row r="6" spans="1:59">
      <c r="A6" s="348">
        <f t="shared" ref="A6:A31" si="3">A5+1</f>
        <v>2020</v>
      </c>
      <c r="B6" s="355">
        <f>Forecasts!G9</f>
        <v>0.91011699590399564</v>
      </c>
      <c r="C6" s="45">
        <f>Forecasts!H9</f>
        <v>0.79633865112459901</v>
      </c>
      <c r="D6" s="45">
        <f>Forecasts!I9</f>
        <v>0.9176518417654429</v>
      </c>
      <c r="E6" s="45">
        <f>Forecasts!J9</f>
        <v>0.97533434505940142</v>
      </c>
      <c r="F6" s="356">
        <f>Forecasts!K9</f>
        <v>0.94932391769011304</v>
      </c>
      <c r="G6" s="350">
        <f>Forecasts!S9</f>
        <v>0.29304831313601948</v>
      </c>
      <c r="H6" s="45">
        <f>Forecasts!T9</f>
        <v>0.29981449147312589</v>
      </c>
      <c r="I6" s="45">
        <f>Forecasts!U9</f>
        <v>0.31392828373842774</v>
      </c>
      <c r="J6" s="45">
        <f>Forecasts!V9</f>
        <v>0.24850928894588509</v>
      </c>
      <c r="K6" s="360">
        <f>Forecasts!W9</f>
        <v>0.27526966074555892</v>
      </c>
      <c r="L6" s="364">
        <f>Forecasts!C45</f>
        <v>1.0237756355938079</v>
      </c>
      <c r="M6" s="361">
        <f>SUM(N6:Q6)</f>
        <v>33858.961343525538</v>
      </c>
      <c r="N6" s="46">
        <f>N$5*Y6/$Y$5</f>
        <v>4281.0394024816842</v>
      </c>
      <c r="O6" s="46">
        <f>O$5*AC6/$AC$5</f>
        <v>17079.707677810358</v>
      </c>
      <c r="P6" s="46">
        <f>P$5*AG6/$AG$5</f>
        <v>3616.0346113641576</v>
      </c>
      <c r="Q6" s="340">
        <f>Q$5*AK6/$AK$5</f>
        <v>8882.1796518693372</v>
      </c>
      <c r="R6" s="343">
        <f t="shared" ref="R6:R31" si="4">V6+Z6+AD6+AH6</f>
        <v>2.4456416960129088</v>
      </c>
      <c r="S6" s="47">
        <f t="shared" ref="S6:S31" si="5">W6+AA6+AE6+AI6</f>
        <v>4.7146770332087478E-5</v>
      </c>
      <c r="T6" s="47">
        <f t="shared" ref="T6:T31" si="6">X6+AB6+AF6+AJ6</f>
        <v>1.9961127034141789E-2</v>
      </c>
      <c r="U6" s="47">
        <f t="shared" ref="U6:U31" si="7">Y6+AC6+AG6+AK6</f>
        <v>2.4656499698173828</v>
      </c>
      <c r="V6" s="47">
        <f>V$5*$L6*(ShrAirByVis*$H6+(1-ShrAirByVis)*$C6)</f>
        <v>0.30922060363158277</v>
      </c>
      <c r="W6" s="47">
        <f t="shared" ref="V6:X7" si="8">W$5*(ShrAirByVis*$H6+(1-ShrAirByVis)*$C6)*$L6</f>
        <v>5.9611155653484321E-6</v>
      </c>
      <c r="X6" s="47">
        <f t="shared" si="8"/>
        <v>2.5238332175668999E-3</v>
      </c>
      <c r="Y6" s="47">
        <f t="shared" ref="Y6:Y16" si="9">SUM(V6:X6)</f>
        <v>0.31175039796471499</v>
      </c>
      <c r="Z6" s="47">
        <f t="shared" ref="Z6:AB7" si="10">Z$5*(ShrAirByVis*$I6+(1-ShrAirByVis)*$D6)*$L6</f>
        <v>1.2336717842218212</v>
      </c>
      <c r="AA6" s="47">
        <f t="shared" si="10"/>
        <v>2.3782568137722737E-5</v>
      </c>
      <c r="AB6" s="47">
        <f t="shared" si="10"/>
        <v>1.0069127968923111E-2</v>
      </c>
      <c r="AC6" s="47">
        <f t="shared" ref="AC6:AC16" si="11">SUM(Z6:AB6)</f>
        <v>1.2437646947588821</v>
      </c>
      <c r="AD6" s="47">
        <f t="shared" ref="AD6:AF7" si="12">AD$5*(ShrAirByVis*$J6+(1-ShrAirByVis)*$E6)*$L6</f>
        <v>0.26118713241240826</v>
      </c>
      <c r="AE6" s="47">
        <f t="shared" si="12"/>
        <v>5.0351324012915974E-6</v>
      </c>
      <c r="AF6" s="47">
        <f t="shared" si="12"/>
        <v>2.1317879631619491E-3</v>
      </c>
      <c r="AG6" s="47">
        <f t="shared" ref="AG6:AG31" si="13">SUM(AD6:AF6)</f>
        <v>0.2633239555079715</v>
      </c>
      <c r="AH6" s="47">
        <f t="shared" ref="AH6:AJ7" si="14">AH$5*(ShrAirByVis*$K6+(1-ShrAirByVis)*$F6)*$L6</f>
        <v>0.6415621757470964</v>
      </c>
      <c r="AI6" s="47">
        <f t="shared" si="14"/>
        <v>1.2367954227724715E-5</v>
      </c>
      <c r="AJ6" s="47">
        <f t="shared" si="14"/>
        <v>5.2363778844898281E-3</v>
      </c>
      <c r="AK6" s="344">
        <f t="shared" ref="AK6:AK31" si="15">SUM(AH6:AJ6)</f>
        <v>0.64681092158581399</v>
      </c>
      <c r="AL6" s="384"/>
      <c r="AM6" s="364">
        <f>Forecasts!D45</f>
        <v>1.0237756355938079</v>
      </c>
      <c r="AN6" s="343">
        <f t="shared" si="0"/>
        <v>2.4456416960129088</v>
      </c>
      <c r="AO6" s="47">
        <f t="shared" ref="AO6:AO31" si="16">AS6+AW6+BA6+BE6</f>
        <v>4.7146770332087478E-5</v>
      </c>
      <c r="AP6" s="47">
        <f t="shared" ref="AP6:AP31" si="17">AT6+AX6+BB6+BF6</f>
        <v>1.9961127034141789E-2</v>
      </c>
      <c r="AQ6" s="47">
        <f t="shared" si="1"/>
        <v>2.4656499698173828</v>
      </c>
      <c r="AR6" s="47">
        <f>AR$5*$AM6*(ShrAirByVis*$H6+(1-ShrAirByVis)*$C6)</f>
        <v>0.30922060363158277</v>
      </c>
      <c r="AS6" s="47">
        <f>AS$5*(ShrAirByVis*$H6+(1-ShrAirByVis)*$C6)*$AM6</f>
        <v>5.9611155653484321E-6</v>
      </c>
      <c r="AT6" s="47">
        <f>AT$5*(ShrAirByVis*$H6+(1-ShrAirByVis)*$C6)*$AM6</f>
        <v>2.5238332175668999E-3</v>
      </c>
      <c r="AU6" s="47">
        <f t="shared" ref="AU6:AU16" si="18">SUM(AR6:AT6)</f>
        <v>0.31175039796471499</v>
      </c>
      <c r="AV6" s="47">
        <f>AV$5*(ShrAirByVis*$I6+(1-ShrAirByVis)*$D6)*$AM6</f>
        <v>1.2336717842218212</v>
      </c>
      <c r="AW6" s="47">
        <f>AW$5*(ShrAirByVis*$I6+(1-ShrAirByVis)*$D6)*$AM6</f>
        <v>2.3782568137722737E-5</v>
      </c>
      <c r="AX6" s="47">
        <f>AX$5*(ShrAirByVis*$I6+(1-ShrAirByVis)*$D6)*$AM6</f>
        <v>1.0069127968923111E-2</v>
      </c>
      <c r="AY6" s="47">
        <f t="shared" ref="AY6:AY16" si="19">SUM(AV6:AX6)</f>
        <v>1.2437646947588821</v>
      </c>
      <c r="AZ6" s="47">
        <f>AZ$5*(ShrAirByVis*$J6+(1-ShrAirByVis)*$E6)*$AM6</f>
        <v>0.26118713241240826</v>
      </c>
      <c r="BA6" s="47">
        <f>BA$5*(ShrAirByVis*$J6+(1-ShrAirByVis)*$E6)*$AM6</f>
        <v>5.0351324012915974E-6</v>
      </c>
      <c r="BB6" s="47">
        <f>BB$5*(ShrAirByVis*$J6+(1-ShrAirByVis)*$E6)*$AM6</f>
        <v>2.1317879631619491E-3</v>
      </c>
      <c r="BC6" s="47">
        <f t="shared" ref="BC6:BC31" si="20">SUM(AZ6:BB6)</f>
        <v>0.2633239555079715</v>
      </c>
      <c r="BD6" s="47">
        <f>BD$5*(ShrAirByVis*$K6+(1-ShrAirByVis)*$F6)*$AM6</f>
        <v>0.6415621757470964</v>
      </c>
      <c r="BE6" s="47">
        <f>BE$5*(ShrAirByVis*$K6+(1-ShrAirByVis)*$F6)*$AM6</f>
        <v>1.2367954227724715E-5</v>
      </c>
      <c r="BF6" s="47">
        <f>BF$5*(ShrAirByVis*$K6+(1-ShrAirByVis)*$F6)*$AM6</f>
        <v>5.2363778844898281E-3</v>
      </c>
      <c r="BG6" s="344">
        <f t="shared" ref="BG6:BG31" si="21">SUM(BD6:BF6)</f>
        <v>0.64681092158581399</v>
      </c>
    </row>
    <row r="7" spans="1:59">
      <c r="A7" s="348">
        <f t="shared" si="3"/>
        <v>2021</v>
      </c>
      <c r="B7" s="355">
        <f>Forecasts!G10</f>
        <v>0.96065814634230207</v>
      </c>
      <c r="C7" s="45">
        <f>Forecasts!H10</f>
        <v>0.84056139583485379</v>
      </c>
      <c r="D7" s="45">
        <f>Forecasts!I10</f>
        <v>0.96861142168031866</v>
      </c>
      <c r="E7" s="45">
        <f>Forecasts!J10</f>
        <v>1.0294971835550517</v>
      </c>
      <c r="F7" s="356">
        <f>Forecasts!K10</f>
        <v>1.0020423298883177</v>
      </c>
      <c r="G7" s="350">
        <f>Forecasts!S10</f>
        <v>0.7416568311770394</v>
      </c>
      <c r="H7" s="45">
        <f>Forecasts!T10</f>
        <v>0.74442903863830212</v>
      </c>
      <c r="I7" s="45">
        <f>Forecasts!U10</f>
        <v>0.718293082563492</v>
      </c>
      <c r="J7" s="45">
        <f>Forecasts!V10</f>
        <v>0.63431152863476059</v>
      </c>
      <c r="K7" s="360">
        <f>Forecasts!W10</f>
        <v>0.82696781628566574</v>
      </c>
      <c r="L7" s="364">
        <f>Forecasts!C46</f>
        <v>0.98800389945652189</v>
      </c>
      <c r="M7" s="361">
        <f t="shared" ref="M7:M31" si="22">SUM(N7:Q7)</f>
        <v>54070.181556520212</v>
      </c>
      <c r="N7" s="46">
        <f>N$5*Y7/$Y$5</f>
        <v>7007.6616711614924</v>
      </c>
      <c r="O7" s="46">
        <f>O$5*AC7/$AC$5</f>
        <v>26037.479086804771</v>
      </c>
      <c r="P7" s="46">
        <f>P$5*AG7/$AG$5</f>
        <v>5539.367671931017</v>
      </c>
      <c r="Q7" s="340">
        <f>Q$5*AK7/$AK$5</f>
        <v>15485.673126622929</v>
      </c>
      <c r="R7" s="343">
        <f t="shared" si="4"/>
        <v>3.9055034554655648</v>
      </c>
      <c r="S7" s="47">
        <f t="shared" si="5"/>
        <v>7.5289800115117583E-5</v>
      </c>
      <c r="T7" s="47">
        <f t="shared" si="6"/>
        <v>3.1876399038306379E-2</v>
      </c>
      <c r="U7" s="47">
        <f t="shared" si="7"/>
        <v>3.9374551443039865</v>
      </c>
      <c r="V7" s="47">
        <f t="shared" si="8"/>
        <v>0.50616524826805387</v>
      </c>
      <c r="W7" s="47">
        <f t="shared" si="8"/>
        <v>9.7577894378735736E-6</v>
      </c>
      <c r="X7" s="47">
        <f t="shared" si="8"/>
        <v>4.1312792619697019E-3</v>
      </c>
      <c r="Y7" s="47">
        <f t="shared" si="9"/>
        <v>0.51030628531946143</v>
      </c>
      <c r="Z7" s="47">
        <f t="shared" si="10"/>
        <v>1.8806939724963045</v>
      </c>
      <c r="AA7" s="47">
        <f t="shared" si="10"/>
        <v>3.6255779794227269E-5</v>
      </c>
      <c r="AB7" s="47">
        <f t="shared" si="10"/>
        <v>1.5350070028060787E-2</v>
      </c>
      <c r="AC7" s="47">
        <f t="shared" si="11"/>
        <v>1.8960802983041596</v>
      </c>
      <c r="AD7" s="47">
        <f t="shared" si="12"/>
        <v>0.40010998596715514</v>
      </c>
      <c r="AE7" s="47">
        <f t="shared" si="12"/>
        <v>7.7132695466885893E-6</v>
      </c>
      <c r="AF7" s="47">
        <f t="shared" si="12"/>
        <v>3.2656649052637495E-3</v>
      </c>
      <c r="AG7" s="47">
        <f t="shared" si="13"/>
        <v>0.40338336414196557</v>
      </c>
      <c r="AH7" s="47">
        <f t="shared" si="14"/>
        <v>1.1185342487340515</v>
      </c>
      <c r="AI7" s="47">
        <f t="shared" si="14"/>
        <v>2.1562961336328144E-5</v>
      </c>
      <c r="AJ7" s="47">
        <f t="shared" si="14"/>
        <v>9.1293848430121383E-3</v>
      </c>
      <c r="AK7" s="344">
        <f t="shared" si="15"/>
        <v>1.1276851965383998</v>
      </c>
      <c r="AL7" s="384"/>
      <c r="AM7" s="364">
        <f>Forecasts!D46</f>
        <v>0.98800389945652189</v>
      </c>
      <c r="AN7" s="343">
        <f t="shared" si="0"/>
        <v>3.7318893615475011</v>
      </c>
      <c r="AO7" s="47">
        <f t="shared" si="16"/>
        <v>7.1942889639346373E-5</v>
      </c>
      <c r="AP7" s="47">
        <f t="shared" si="17"/>
        <v>3.0459375036276271E-2</v>
      </c>
      <c r="AQ7" s="47">
        <f t="shared" si="1"/>
        <v>3.7624206794734167</v>
      </c>
      <c r="AR7" s="47">
        <f>AR$8*$AM7*(ShrAirByVis*$H7)*Forecasts!$N98*(1-Forecasts!$B98)+V$8*$AM7*(ShrAirByVis*$H7)*(1-Forecasts!$N98)*(1-Forecasts!$F98-Forecasts!$J98)+V$8*$AM7*(1-ShrAirByVis)*$C7*Forecasts!$O98*(1-Forecasts!$B98)+V$8*$AM7*(1-ShrAirByVis)*$C7*(1-Forecasts!$O98)*(1-Forecasts!$F98-Forecasts!$J98)</f>
        <v>0.50616524826805398</v>
      </c>
      <c r="AS7" s="47">
        <f>AS$8*$AM7*(ShrAirByVis*$H7)*Forecasts!$N98*(1-Forecasts!$B98)+W$8*$AM7*(ShrAirByVis*$H7)*(1-Forecasts!$N98)*(1-Forecasts!$F98-Forecasts!$J98)+W$8*$AM7*(1-ShrAirByVis)*$C7*Forecasts!$O98*(1-Forecasts!$B98)+W$8*$AM7*(1-ShrAirByVis)*$C7*(1-Forecasts!$O98)*(1-Forecasts!$F98-Forecasts!$J98)</f>
        <v>9.7577894378735736E-6</v>
      </c>
      <c r="AT7" s="47">
        <f>AT$8*$AM7*(ShrAirByVis*$H7)*Forecasts!$N98*(1-Forecasts!$B98)+X$8*$AM7*(ShrAirByVis*$H7)*(1-Forecasts!$N98)*(1-Forecasts!$F98-Forecasts!$J98)+X$8*$AM7*(1-ShrAirByVis)*$C7*Forecasts!$O98*(1-Forecasts!$B98)+X$8*$AM7*(1-ShrAirByVis)*$C7*(1-Forecasts!$O98)*(1-Forecasts!$F98-Forecasts!$J98)</f>
        <v>4.1312792619697027E-3</v>
      </c>
      <c r="AU7" s="47">
        <f t="shared" si="18"/>
        <v>0.51030628531946154</v>
      </c>
      <c r="AV7" s="47">
        <f>AV$8*$AM7*(ShrAirByVis*$I7)*Forecasts!$N98*(1-Forecasts!$B98)+Z$8*$AM7*(ShrAirByVis*$H7)*(1-Forecasts!$N98)*(1-Forecasts!$F98-Forecasts!$J98)+Z$8*$AM7*(1-ShrAirByVis)*$C7*Forecasts!$O98*(1-Forecasts!$B98)+Z$8*$AM7*(1-ShrAirByVis)*$D7*(1-Forecasts!$O98)*(1-Forecasts!$F98-Forecasts!$J98)</f>
        <v>1.7980059326168354</v>
      </c>
      <c r="AW7" s="47">
        <f>AW$8*$AM7*(ShrAirByVis*$I7)*Forecasts!$N98*(1-Forecasts!$B98)+AA$8*$AM7*(ShrAirByVis*$H7)*(1-Forecasts!$N98)*(1-Forecasts!$F98-Forecasts!$J98)+AA$8*$AM7*(1-ShrAirByVis)*$C7*Forecasts!$O98*(1-Forecasts!$B98)+AA$8*$AM7*(1-ShrAirByVis)*$D7*(1-Forecasts!$O98)*(1-Forecasts!$F98-Forecasts!$J98)</f>
        <v>3.4661730252234481E-5</v>
      </c>
      <c r="AX7" s="47">
        <f>AX$8*$AM7*(ShrAirByVis*$I7)*Forecasts!$N98*(1-Forecasts!$B98)+AB$8*$AM7*(ShrAirByVis*$H7)*(1-Forecasts!$N98)*(1-Forecasts!$F98-Forecasts!$J98)+AB$8*$AM7*(1-ShrAirByVis)*$C7*Forecasts!$O98*(1-Forecasts!$B98)+AB$8*$AM7*(1-ShrAirByVis)*$D7*(1-Forecasts!$O98)*(1-Forecasts!$F98-Forecasts!$J98)</f>
        <v>1.4675177025161331E-2</v>
      </c>
      <c r="AY7" s="47">
        <f t="shared" si="19"/>
        <v>1.812715771372249</v>
      </c>
      <c r="AZ7" s="47">
        <f>AZ$8*$AM7*(ShrAirByVis*$J7)*Forecasts!$N98*(1-Forecasts!$B98)+AD$8*$AM7*(ShrAirByVis*$H7)*(1-Forecasts!$N98)*(1-Forecasts!$F98-Forecasts!$J98)+AD$8*$AM7*(1-ShrAirByVis)*$C7*Forecasts!$O98*(1-Forecasts!$B98)+AD$8*$AM7*(1-ShrAirByVis)*$E7*(1-Forecasts!$O98)*(1-Forecasts!$F98-Forecasts!$J98)</f>
        <v>0.37548965708997606</v>
      </c>
      <c r="BA7" s="47">
        <f>BA$8*$AM7*(ShrAirByVis*$J7)*Forecasts!$N98*(1-Forecasts!$B98)+AE$8*$AM7*(ShrAirByVis*$H7)*(1-Forecasts!$N98)*(1-Forecasts!$F98-Forecasts!$J98)+AE$8*$AM7*(1-ShrAirByVis)*$C7*Forecasts!$O98*(1-Forecasts!$B98)+AE$8*$AM7*(1-ShrAirByVis)*$E7*(1-Forecasts!$O98)*(1-Forecasts!$F98-Forecasts!$J98)</f>
        <v>7.238641970226672E-6</v>
      </c>
      <c r="BB7" s="47">
        <f>BB$8*$AM7*(ShrAirByVis*$J7)*Forecasts!$N98*(1-Forecasts!$B98)+AF$8*$AM7*(ShrAirByVis*$H7)*(1-Forecasts!$N98)*(1-Forecasts!$F98-Forecasts!$J98)+AF$8*$AM7*(1-ShrAirByVis)*$C7*Forecasts!$O98*(1-Forecasts!$B98)+AF$8*$AM7*(1-ShrAirByVis)*$E7*(1-Forecasts!$O98)*(1-Forecasts!$F98-Forecasts!$J98)</f>
        <v>3.064715799292534E-3</v>
      </c>
      <c r="BC7" s="47">
        <f t="shared" si="20"/>
        <v>0.3785616115312388</v>
      </c>
      <c r="BD7" s="47">
        <f>BD$8*$AM7*(ShrAirByVis*$K7)*Forecasts!$N98*(1-Forecasts!$B98)+AH$8*$AM7*(ShrAirByVis*$H7)*(1-Forecasts!$N98)*(1-Forecasts!$F98-Forecasts!$J98)+AH$8*$AM7*(1-ShrAirByVis)*$C7*Forecasts!$O98*(1-Forecasts!$B98)+AH$8*$AM7*(1-ShrAirByVis)*$F7*(1-Forecasts!$O98)*(1-Forecasts!$F98-Forecasts!$J98)</f>
        <v>1.0522285235726352</v>
      </c>
      <c r="BE7" s="47">
        <f>BE$8*$AM7*(ShrAirByVis*$K7)*Forecasts!$N98*(1-Forecasts!$B98)+AI$8*$AM7*(ShrAirByVis*$H7)*(1-Forecasts!$N98)*(1-Forecasts!$F98-Forecasts!$J98)+AI$8*$AM7*(1-ShrAirByVis)*$C7*Forecasts!$O98*(1-Forecasts!$B98)+AI$8*$AM7*(1-ShrAirByVis)*$F7*(1-Forecasts!$O98)*(1-Forecasts!$F98-Forecasts!$J98)</f>
        <v>2.0284727979011641E-5</v>
      </c>
      <c r="BF7" s="47">
        <f>BF$8*$AM7*(ShrAirByVis*$K7)*Forecasts!$N98*(1-Forecasts!$B98)+AJ$8*$AM7*(ShrAirByVis*$H7)*(1-Forecasts!$N98)*(1-Forecasts!$F98-Forecasts!$J98)+AJ$8*$AM7*(1-ShrAirByVis)*$C7*Forecasts!$O98*(1-Forecasts!$B98)+AJ$8*$AM7*(1-ShrAirByVis)*$F7*(1-Forecasts!$O98)*(1-Forecasts!$F98-Forecasts!$J98)</f>
        <v>8.5882029498527031E-3</v>
      </c>
      <c r="BG7" s="344">
        <f t="shared" si="21"/>
        <v>1.060837011250467</v>
      </c>
    </row>
    <row r="8" spans="1:59">
      <c r="A8" s="348">
        <f t="shared" si="3"/>
        <v>2022</v>
      </c>
      <c r="B8" s="355">
        <f>Forecasts!G11</f>
        <v>1</v>
      </c>
      <c r="C8" s="45">
        <f>Forecasts!H11</f>
        <v>1</v>
      </c>
      <c r="D8" s="45">
        <f>Forecasts!I11</f>
        <v>1</v>
      </c>
      <c r="E8" s="45">
        <f>Forecasts!J11</f>
        <v>1</v>
      </c>
      <c r="F8" s="356">
        <f>Forecasts!K11</f>
        <v>1</v>
      </c>
      <c r="G8" s="350">
        <f>Forecasts!S11</f>
        <v>1</v>
      </c>
      <c r="H8" s="45">
        <f>Forecasts!T11</f>
        <v>1</v>
      </c>
      <c r="I8" s="45">
        <f>Forecasts!U11</f>
        <v>1</v>
      </c>
      <c r="J8" s="45">
        <f>Forecasts!V11</f>
        <v>1</v>
      </c>
      <c r="K8" s="360">
        <f>Forecasts!W11</f>
        <v>1</v>
      </c>
      <c r="L8" s="364">
        <f>Forecasts!C47</f>
        <v>1</v>
      </c>
      <c r="M8" s="361">
        <f t="shared" si="22"/>
        <v>67350.20061321769</v>
      </c>
      <c r="N8" s="46">
        <f>'ICF Data'!B23</f>
        <v>9154.0035590999996</v>
      </c>
      <c r="O8" s="46">
        <f>'ICF Data'!C23</f>
        <v>33047.785314227433</v>
      </c>
      <c r="P8" s="46">
        <f>'ICF Data'!D23</f>
        <v>7384.299088431474</v>
      </c>
      <c r="Q8" s="46">
        <f>'ICF Data'!E23</f>
        <v>17764.112651458789</v>
      </c>
      <c r="R8" s="343">
        <f t="shared" si="4"/>
        <v>4.8647227297778821</v>
      </c>
      <c r="S8" s="47">
        <f t="shared" si="5"/>
        <v>9.3781507587165728E-5</v>
      </c>
      <c r="T8" s="47">
        <f t="shared" si="6"/>
        <v>3.9705468120404819E-2</v>
      </c>
      <c r="U8" s="47">
        <f t="shared" si="7"/>
        <v>4.9045219794058745</v>
      </c>
      <c r="V8" s="47">
        <f>'ICF Data'!B5</f>
        <v>0.66119608816253339</v>
      </c>
      <c r="W8" s="47">
        <f>'ICF Data'!B6</f>
        <v>1.2746454300274199E-5</v>
      </c>
      <c r="X8" s="47">
        <f>'ICF Data'!B7</f>
        <v>5.3966282680765511E-3</v>
      </c>
      <c r="Y8" s="47">
        <f t="shared" si="9"/>
        <v>0.66660546288491018</v>
      </c>
      <c r="Z8" s="47">
        <f>'ICF Data'!$C5</f>
        <v>2.3870502377596567</v>
      </c>
      <c r="AA8" s="47">
        <f>'ICF Data'!$C6</f>
        <v>4.6017251633501481E-5</v>
      </c>
      <c r="AB8" s="47">
        <f>'ICF Data'!$C7</f>
        <v>1.9482908355086929E-2</v>
      </c>
      <c r="AC8" s="47">
        <f t="shared" si="11"/>
        <v>2.4065791633663776</v>
      </c>
      <c r="AD8" s="47">
        <f>'ICF Data'!$D5</f>
        <v>0.5333698681206418</v>
      </c>
      <c r="AE8" s="47">
        <f>'ICF Data'!$D6</f>
        <v>1.0282236647885052E-5</v>
      </c>
      <c r="AF8" s="47">
        <f>'ICF Data'!$D7</f>
        <v>4.3533211390273038E-3</v>
      </c>
      <c r="AG8" s="47">
        <f t="shared" si="13"/>
        <v>0.53773347149631701</v>
      </c>
      <c r="AH8" s="47">
        <f>'ICF Data'!$E5</f>
        <v>1.2831065357350504</v>
      </c>
      <c r="AI8" s="47">
        <f>'ICF Data'!$E6</f>
        <v>2.4735565005505004E-5</v>
      </c>
      <c r="AJ8" s="47">
        <f>'ICF Data'!$E7</f>
        <v>1.0472610358214035E-2</v>
      </c>
      <c r="AK8" s="344">
        <f t="shared" si="15"/>
        <v>1.29360388165827</v>
      </c>
      <c r="AL8" s="384"/>
      <c r="AM8" s="364">
        <f>Forecasts!D47</f>
        <v>1</v>
      </c>
      <c r="AN8" s="343">
        <f t="shared" si="0"/>
        <v>4.8647227297778821</v>
      </c>
      <c r="AO8" s="47">
        <f t="shared" si="16"/>
        <v>9.3781507587165728E-5</v>
      </c>
      <c r="AP8" s="47">
        <f t="shared" si="17"/>
        <v>3.9705468120404819E-2</v>
      </c>
      <c r="AQ8" s="47">
        <f t="shared" si="1"/>
        <v>4.9045219794058745</v>
      </c>
      <c r="AR8" s="47">
        <f>V8</f>
        <v>0.66119608816253339</v>
      </c>
      <c r="AS8" s="47">
        <f>W8</f>
        <v>1.2746454300274199E-5</v>
      </c>
      <c r="AT8" s="47">
        <f>X8</f>
        <v>5.3966282680765511E-3</v>
      </c>
      <c r="AU8" s="47">
        <f t="shared" si="18"/>
        <v>0.66660546288491018</v>
      </c>
      <c r="AV8" s="47">
        <f>Z8</f>
        <v>2.3870502377596567</v>
      </c>
      <c r="AW8" s="47">
        <f>AA8</f>
        <v>4.6017251633501481E-5</v>
      </c>
      <c r="AX8" s="47">
        <f>AB8</f>
        <v>1.9482908355086929E-2</v>
      </c>
      <c r="AY8" s="47">
        <f t="shared" si="19"/>
        <v>2.4065791633663776</v>
      </c>
      <c r="AZ8" s="47">
        <f>AD8</f>
        <v>0.5333698681206418</v>
      </c>
      <c r="BA8" s="47">
        <f>AE8</f>
        <v>1.0282236647885052E-5</v>
      </c>
      <c r="BB8" s="47">
        <f>AF8</f>
        <v>4.3533211390273038E-3</v>
      </c>
      <c r="BC8" s="47">
        <f t="shared" si="20"/>
        <v>0.53773347149631701</v>
      </c>
      <c r="BD8" s="47">
        <f>AH8</f>
        <v>1.2831065357350504</v>
      </c>
      <c r="BE8" s="47">
        <f>AI8</f>
        <v>2.4735565005505004E-5</v>
      </c>
      <c r="BF8" s="47">
        <f>AJ8</f>
        <v>1.0472610358214035E-2</v>
      </c>
      <c r="BG8" s="344">
        <f t="shared" si="21"/>
        <v>1.29360388165827</v>
      </c>
    </row>
    <row r="9" spans="1:59">
      <c r="A9" s="348">
        <f t="shared" si="3"/>
        <v>2023</v>
      </c>
      <c r="B9" s="355">
        <f>Forecasts!G12</f>
        <v>1.0196805576744787</v>
      </c>
      <c r="C9" s="45">
        <f>Forecasts!H12</f>
        <v>1.0196805576744787</v>
      </c>
      <c r="D9" s="45">
        <f>Forecasts!I12</f>
        <v>1.0196805576744787</v>
      </c>
      <c r="E9" s="45">
        <f>Forecasts!J12</f>
        <v>1.0196805576744787</v>
      </c>
      <c r="F9" s="356">
        <f>Forecasts!K12</f>
        <v>1.0196805576744787</v>
      </c>
      <c r="G9" s="350">
        <f>Forecasts!S12</f>
        <v>1.0395375740506774</v>
      </c>
      <c r="H9" s="45">
        <f>Forecasts!T12</f>
        <v>1.0599553570866564</v>
      </c>
      <c r="I9" s="45">
        <f>Forecasts!U12</f>
        <v>1.148023309221021</v>
      </c>
      <c r="J9" s="45">
        <f>Forecasts!V12</f>
        <v>1.0475608592570265</v>
      </c>
      <c r="K9" s="360">
        <f>Forecasts!W12</f>
        <v>0.84694367645687718</v>
      </c>
      <c r="L9" s="364">
        <f>Forecasts!C48</f>
        <v>0.99487105095481632</v>
      </c>
      <c r="M9" s="361">
        <f t="shared" si="22"/>
        <v>69512.280319304627</v>
      </c>
      <c r="N9" s="46">
        <f>N$8*Y9/$Y$8</f>
        <v>9537.0981854308502</v>
      </c>
      <c r="O9" s="46">
        <f>O$8*AC9/$AC$8</f>
        <v>36410.837817552434</v>
      </c>
      <c r="P9" s="46">
        <f>P$8*AG9/$AG$8</f>
        <v>7631.0666531648849</v>
      </c>
      <c r="Q9" s="340">
        <f>Q$8*AK9/$AK$8</f>
        <v>15933.277663156463</v>
      </c>
      <c r="R9" s="343">
        <f t="shared" si="4"/>
        <v>5.0208903164224346</v>
      </c>
      <c r="S9" s="47">
        <f t="shared" si="5"/>
        <v>9.6792086509192826E-5</v>
      </c>
      <c r="T9" s="47">
        <f t="shared" si="6"/>
        <v>4.0980095160297575E-2</v>
      </c>
      <c r="U9" s="47">
        <f t="shared" si="7"/>
        <v>5.0619672036692407</v>
      </c>
      <c r="V9" s="47">
        <f t="shared" ref="V9:X31" si="23">V$8*(ShrAirByVis*$H9+(1-ShrAirByVis)*$C9)*$L9</f>
        <v>0.68886711392636313</v>
      </c>
      <c r="W9" s="47">
        <f t="shared" si="23"/>
        <v>1.3279892824268709E-5</v>
      </c>
      <c r="X9" s="47">
        <f t="shared" si="23"/>
        <v>5.6224769119467043E-3</v>
      </c>
      <c r="Y9" s="47">
        <f t="shared" si="9"/>
        <v>0.69450287073113415</v>
      </c>
      <c r="Z9" s="47">
        <f t="shared" ref="Z9:AB31" si="24">Z$8*(ShrAirByVis*$I9+(1-ShrAirByVis)*$D9)*$L9</f>
        <v>2.6299644058750045</v>
      </c>
      <c r="AA9" s="47">
        <f t="shared" si="24"/>
        <v>5.0700120147403337E-5</v>
      </c>
      <c r="AB9" s="47">
        <f t="shared" si="24"/>
        <v>2.1465553881636592E-2</v>
      </c>
      <c r="AC9" s="47">
        <f t="shared" si="11"/>
        <v>2.6514806598767886</v>
      </c>
      <c r="AD9" s="47">
        <f t="shared" ref="AD9:AF31" si="25">AD$8*(ShrAirByVis*$J9+(1-ShrAirByVis)*$E9)*$L9</f>
        <v>0.55119395431786933</v>
      </c>
      <c r="AE9" s="47">
        <f t="shared" si="25"/>
        <v>1.0625847120216311E-5</v>
      </c>
      <c r="AF9" s="47">
        <f t="shared" si="25"/>
        <v>4.4987998693868606E-3</v>
      </c>
      <c r="AG9" s="47">
        <f t="shared" si="13"/>
        <v>0.55570338003437636</v>
      </c>
      <c r="AH9" s="47">
        <f t="shared" ref="AH9:AJ31" si="26">AH$8*(ShrAirByVis*$K9+(1-ShrAirByVis)*$F9)*$L9</f>
        <v>1.1508648423031973</v>
      </c>
      <c r="AI9" s="47">
        <f t="shared" si="26"/>
        <v>2.2186226417304472E-5</v>
      </c>
      <c r="AJ9" s="47">
        <f t="shared" si="26"/>
        <v>9.393264497327419E-3</v>
      </c>
      <c r="AK9" s="344">
        <f t="shared" si="15"/>
        <v>1.160280293026942</v>
      </c>
      <c r="AL9" s="384"/>
      <c r="AM9" s="364">
        <f>Forecasts!D48</f>
        <v>0.99487105095481632</v>
      </c>
      <c r="AN9" s="343">
        <f t="shared" si="0"/>
        <v>4.9251136605722134</v>
      </c>
      <c r="AO9" s="47">
        <f t="shared" si="16"/>
        <v>9.4945716289095833E-5</v>
      </c>
      <c r="AP9" s="47">
        <f t="shared" si="17"/>
        <v>4.019837394682288E-2</v>
      </c>
      <c r="AQ9" s="47">
        <f t="shared" si="1"/>
        <v>4.9654069802353256</v>
      </c>
      <c r="AR9" s="47">
        <f>AR$8*$AM9*(ShrAirByVis*$H9)*Forecasts!$N100*(1-Forecasts!$B100)+V$8*$AM9*(ShrAirByVis*$H9)*(1-Forecasts!$N100)*(1-Forecasts!$F100-Forecasts!$J100)+V$8*$AM9*(1-ShrAirByVis)*$C9*Forecasts!$O100*(1-Forecasts!$B100)+V$8*$AM9*(1-ShrAirByVis)*$C9*(1-Forecasts!$O100)*(1-Forecasts!$F100-Forecasts!$J100)</f>
        <v>0.67507353342286736</v>
      </c>
      <c r="AS9" s="47">
        <f>AS$8*$AM9*(ShrAirByVis*$H9)*Forecasts!$N100*(1-Forecasts!$B100)+W$8*$AM9*(ShrAirByVis*$H9)*(1-Forecasts!$N100)*(1-Forecasts!$F100-Forecasts!$J100)+W$8*$AM9*(1-ShrAirByVis)*$C9*Forecasts!$O100*(1-Forecasts!$B100)+W$8*$AM9*(1-ShrAirByVis)*$C9*(1-Forecasts!$O100)*(1-Forecasts!$F100-Forecasts!$J100)</f>
        <v>1.3013981929342568E-5</v>
      </c>
      <c r="AT9" s="47">
        <f>AT$8*$AM9*(ShrAirByVis*$H9)*Forecasts!$N100*(1-Forecasts!$B100)+X$8*$AM9*(ShrAirByVis*$H9)*(1-Forecasts!$N100)*(1-Forecasts!$F100-Forecasts!$J100)+X$8*$AM9*(1-ShrAirByVis)*$C9*Forecasts!$O100*(1-Forecasts!$B100)+X$8*$AM9*(1-ShrAirByVis)*$C9*(1-Forecasts!$O100)*(1-Forecasts!$F100-Forecasts!$J100)</f>
        <v>5.509894838646754E-3</v>
      </c>
      <c r="AU9" s="47">
        <f t="shared" si="18"/>
        <v>0.6805964422434434</v>
      </c>
      <c r="AV9" s="47">
        <f>AV$8*$AM9*(ShrAirByVis*$I9)*Forecasts!$N100*(1-Forecasts!$B100)+Z$8*$AM9*(ShrAirByVis*$H9)*(1-Forecasts!$N100)*(1-Forecasts!$F100-Forecasts!$J100)+Z$8*$AM9*(1-ShrAirByVis)*$C9*Forecasts!$O100*(1-Forecasts!$B100)+Z$8*$AM9*(1-ShrAirByVis)*$D9*(1-Forecasts!$O100)*(1-Forecasts!$F100-Forecasts!$J100)</f>
        <v>2.5629489601341335</v>
      </c>
      <c r="AW9" s="47">
        <f>AW$8*$AM9*(ShrAirByVis*$I9)*Forecasts!$N100*(1-Forecasts!$B100)+AA$8*$AM9*(ShrAirByVis*$H9)*(1-Forecasts!$N100)*(1-Forecasts!$F100-Forecasts!$J100)+AA$8*$AM9*(1-ShrAirByVis)*$C9*Forecasts!$O100*(1-Forecasts!$B100)+AA$8*$AM9*(1-ShrAirByVis)*$D9*(1-Forecasts!$O100)*(1-Forecasts!$F100-Forecasts!$J100)</f>
        <v>4.9408204886799826E-5</v>
      </c>
      <c r="AX9" s="47">
        <f>AX$8*$AM9*(ShrAirByVis*$I9)*Forecasts!$N100*(1-Forecasts!$B100)+AB$8*$AM9*(ShrAirByVis*$H9)*(1-Forecasts!$N100)*(1-Forecasts!$F100-Forecasts!$J100)+AB$8*$AM9*(1-ShrAirByVis)*$C9*Forecasts!$O100*(1-Forecasts!$B100)+AB$8*$AM9*(1-ShrAirByVis)*$D9*(1-Forecasts!$O100)*(1-Forecasts!$F100-Forecasts!$J100)</f>
        <v>2.0918579307289097E-2</v>
      </c>
      <c r="AY9" s="47">
        <f t="shared" si="19"/>
        <v>2.5839169476463097</v>
      </c>
      <c r="AZ9" s="47">
        <f>AZ$8*$AM9*(ShrAirByVis*$J9)*Forecasts!$N100*(1-Forecasts!$B100)+AD$8*$AM9*(ShrAirByVis*$H9)*(1-Forecasts!$N100)*(1-Forecasts!$F100-Forecasts!$J100)+AD$8*$AM9*(1-ShrAirByVis)*$C9*Forecasts!$O100*(1-Forecasts!$B100)+AD$8*$AM9*(1-ShrAirByVis)*$E9*(1-Forecasts!$O100)*(1-Forecasts!$F100-Forecasts!$J100)</f>
        <v>0.54060847634231213</v>
      </c>
      <c r="BA9" s="47">
        <f>BA$8*$AM9*(ShrAirByVis*$J9)*Forecasts!$N100*(1-Forecasts!$B100)+AE$8*$AM9*(ShrAirByVis*$H9)*(1-Forecasts!$N100)*(1-Forecasts!$F100-Forecasts!$J100)+AE$8*$AM9*(1-ShrAirByVis)*$C9*Forecasts!$O100*(1-Forecasts!$B100)+AE$8*$AM9*(1-ShrAirByVis)*$E9*(1-Forecasts!$O100)*(1-Forecasts!$F100-Forecasts!$J100)</f>
        <v>1.0421781618805129E-5</v>
      </c>
      <c r="BB9" s="47">
        <f>BB$8*$AM9*(ShrAirByVis*$J9)*Forecasts!$N100*(1-Forecasts!$B100)+AF$8*$AM9*(ShrAirByVis*$H9)*(1-Forecasts!$N100)*(1-Forecasts!$F100-Forecasts!$J100)+AF$8*$AM9*(1-ShrAirByVis)*$C9*Forecasts!$O100*(1-Forecasts!$B100)+AF$8*$AM9*(1-ShrAirByVis)*$E9*(1-Forecasts!$O100)*(1-Forecasts!$F100-Forecasts!$J100)</f>
        <v>4.4124020659262464E-3</v>
      </c>
      <c r="BC9" s="47">
        <f t="shared" si="20"/>
        <v>0.54503130018985724</v>
      </c>
      <c r="BD9" s="47">
        <f>BD$8*$AM9*(ShrAirByVis*$K9)*Forecasts!$N100*(1-Forecasts!$B100)+AH$8*$AM9*(ShrAirByVis*$H9)*(1-Forecasts!$N100)*(1-Forecasts!$F100-Forecasts!$J100)+AH$8*$AM9*(1-ShrAirByVis)*$C9*Forecasts!$O100*(1-Forecasts!$B100)+AH$8*$AM9*(1-ShrAirByVis)*$F9*(1-Forecasts!$O100)*(1-Forecasts!$F100-Forecasts!$J100)</f>
        <v>1.1464826906729002</v>
      </c>
      <c r="BE9" s="47">
        <f>BE$8*$AM9*(ShrAirByVis*$K9)*Forecasts!$N100*(1-Forecasts!$B100)+AI$8*$AM9*(ShrAirByVis*$H9)*(1-Forecasts!$N100)*(1-Forecasts!$F100-Forecasts!$J100)+AI$8*$AM9*(1-ShrAirByVis)*$C9*Forecasts!$O100*(1-Forecasts!$B100)+AI$8*$AM9*(1-ShrAirByVis)*$F9*(1-Forecasts!$O100)*(1-Forecasts!$F100-Forecasts!$J100)</f>
        <v>2.2101747854148299E-5</v>
      </c>
      <c r="BF9" s="47">
        <f>BF$8*$AM9*(ShrAirByVis*$K9)*Forecasts!$N100*(1-Forecasts!$B100)+AJ$8*$AM9*(ShrAirByVis*$H9)*(1-Forecasts!$N100)*(1-Forecasts!$F100-Forecasts!$J100)+AJ$8*$AM9*(1-ShrAirByVis)*$C9*Forecasts!$O100*(1-Forecasts!$B100)+AJ$8*$AM9*(1-ShrAirByVis)*$F9*(1-Forecasts!$O100)*(1-Forecasts!$F100-Forecasts!$J100)</f>
        <v>9.3574977349607825E-3</v>
      </c>
      <c r="BG9" s="344">
        <f t="shared" si="21"/>
        <v>1.1558622901557152</v>
      </c>
    </row>
    <row r="10" spans="1:59">
      <c r="A10" s="348">
        <f>A9+1</f>
        <v>2024</v>
      </c>
      <c r="B10" s="355">
        <f>Forecasts!G13</f>
        <v>1.0329886986421941</v>
      </c>
      <c r="C10" s="45">
        <f>Forecasts!H13</f>
        <v>1.0329886986421941</v>
      </c>
      <c r="D10" s="45">
        <f>Forecasts!I13</f>
        <v>1.0329886986421941</v>
      </c>
      <c r="E10" s="45">
        <f>Forecasts!J13</f>
        <v>1.0329886986421941</v>
      </c>
      <c r="F10" s="356">
        <f>Forecasts!K13</f>
        <v>1.0329886986421941</v>
      </c>
      <c r="G10" s="350">
        <f>Forecasts!S13</f>
        <v>1.0466507504261555</v>
      </c>
      <c r="H10" s="45">
        <f>Forecasts!T13</f>
        <v>1.0615488636936323</v>
      </c>
      <c r="I10" s="45">
        <f>Forecasts!U13</f>
        <v>1.1559108555707793</v>
      </c>
      <c r="J10" s="45">
        <f>Forecasts!V13</f>
        <v>1.0306446003697567</v>
      </c>
      <c r="K10" s="360">
        <f>Forecasts!W13</f>
        <v>0.86677860440363319</v>
      </c>
      <c r="L10" s="364">
        <f>Forecasts!C49</f>
        <v>0.98944866928041986</v>
      </c>
      <c r="M10" s="361">
        <f t="shared" si="22"/>
        <v>69753.941701593794</v>
      </c>
      <c r="N10" s="46">
        <f t="shared" ref="N10:N31" si="27">N$8*Y10/$Y$8</f>
        <v>9533.0993698677521</v>
      </c>
      <c r="O10" s="46">
        <f t="shared" ref="O10:O31" si="28">O$8*AC10/$AC$8</f>
        <v>36526.345270271231</v>
      </c>
      <c r="P10" s="46">
        <f t="shared" ref="P10:P31" si="29">P$8*AG10/$AG$8</f>
        <v>7535.7014042791043</v>
      </c>
      <c r="Q10" s="340">
        <f t="shared" ref="Q10:Q31" si="30">Q$8*AK10/$AK$8</f>
        <v>16158.795657175702</v>
      </c>
      <c r="R10" s="343">
        <f t="shared" si="4"/>
        <v>5.0383455817167864</v>
      </c>
      <c r="S10" s="47">
        <f t="shared" si="5"/>
        <v>9.7128586898951553E-5</v>
      </c>
      <c r="T10" s="47">
        <f t="shared" si="6"/>
        <v>4.1122563604683054E-2</v>
      </c>
      <c r="U10" s="47">
        <f t="shared" si="7"/>
        <v>5.0795652739083694</v>
      </c>
      <c r="V10" s="47">
        <f t="shared" si="23"/>
        <v>0.68857827842498565</v>
      </c>
      <c r="W10" s="47">
        <f t="shared" si="23"/>
        <v>1.3274324690118315E-5</v>
      </c>
      <c r="X10" s="47">
        <f t="shared" si="23"/>
        <v>5.6201194602626056E-3</v>
      </c>
      <c r="Y10" s="47">
        <f t="shared" si="9"/>
        <v>0.6942116722099384</v>
      </c>
      <c r="Z10" s="47">
        <f t="shared" si="24"/>
        <v>2.6383075396085895</v>
      </c>
      <c r="AA10" s="47">
        <f t="shared" si="24"/>
        <v>5.0860958021008658E-5</v>
      </c>
      <c r="AB10" s="47">
        <f t="shared" si="24"/>
        <v>2.1533649855217038E-2</v>
      </c>
      <c r="AC10" s="47">
        <f t="shared" si="11"/>
        <v>2.6598920504218277</v>
      </c>
      <c r="AD10" s="47">
        <f t="shared" si="25"/>
        <v>0.5443056972724325</v>
      </c>
      <c r="AE10" s="47">
        <f t="shared" si="25"/>
        <v>1.0493056174821882E-5</v>
      </c>
      <c r="AF10" s="47">
        <f t="shared" si="25"/>
        <v>4.4425784800672628E-3</v>
      </c>
      <c r="AG10" s="47">
        <f t="shared" si="13"/>
        <v>0.54875876880867458</v>
      </c>
      <c r="AH10" s="47">
        <f t="shared" si="26"/>
        <v>1.1671540664107791</v>
      </c>
      <c r="AI10" s="47">
        <f t="shared" si="26"/>
        <v>2.2500248013002691E-5</v>
      </c>
      <c r="AJ10" s="47">
        <f t="shared" si="26"/>
        <v>9.5262158091361515E-3</v>
      </c>
      <c r="AK10" s="344">
        <f t="shared" si="15"/>
        <v>1.1767027824679284</v>
      </c>
      <c r="AL10" s="384"/>
      <c r="AM10" s="364">
        <f>Forecasts!D49</f>
        <v>0.98249165608810618</v>
      </c>
      <c r="AN10" s="343">
        <f t="shared" si="0"/>
        <v>4.8993868456053615</v>
      </c>
      <c r="AO10" s="47">
        <f t="shared" si="16"/>
        <v>9.4449758014179396E-5</v>
      </c>
      <c r="AP10" s="47">
        <f t="shared" si="17"/>
        <v>3.998839379209522E-2</v>
      </c>
      <c r="AQ10" s="47">
        <f t="shared" si="1"/>
        <v>4.9394696891554704</v>
      </c>
      <c r="AR10" s="47">
        <f>AR$8*$AM10*(ShrAirByVis*$H10)*Forecasts!$N101*(1-Forecasts!$B101)+V$8*$AM10*(ShrAirByVis*$H10)*(1-Forecasts!$N101)*(1-Forecasts!$F101-Forecasts!$J101)+V$8*$AM10*(1-ShrAirByVis)*$C10*Forecasts!$O101*(1-Forecasts!$B101)+V$8*$AM10*(1-ShrAirByVis)*$C10*(1-Forecasts!$O101)*(1-Forecasts!$F101-Forecasts!$J101)</f>
        <v>0.66920840265260562</v>
      </c>
      <c r="AS10" s="47">
        <f>AS$8*$AM10*(ShrAirByVis*$H10)*Forecasts!$N101*(1-Forecasts!$B101)+W$8*$AM10*(ShrAirByVis*$H10)*(1-Forecasts!$N101)*(1-Forecasts!$F101-Forecasts!$J101)+W$8*$AM10*(1-ShrAirByVis)*$C10*Forecasts!$O101*(1-Forecasts!$B101)+W$8*$AM10*(1-ShrAirByVis)*$C10*(1-Forecasts!$O101)*(1-Forecasts!$F101-Forecasts!$J101)</f>
        <v>1.2900914682474802E-5</v>
      </c>
      <c r="AT10" s="47">
        <f>AT$8*$AM10*(ShrAirByVis*$H10)*Forecasts!$N101*(1-Forecasts!$B101)+X$8*$AM10*(ShrAirByVis*$H10)*(1-Forecasts!$N101)*(1-Forecasts!$F101-Forecasts!$J101)+X$8*$AM10*(1-ShrAirByVis)*$C10*Forecasts!$O101*(1-Forecasts!$B101)+X$8*$AM10*(1-ShrAirByVis)*$C10*(1-Forecasts!$O101)*(1-Forecasts!$F101-Forecasts!$J101)</f>
        <v>5.4620241221113282E-3</v>
      </c>
      <c r="AU10" s="47">
        <f t="shared" si="18"/>
        <v>0.67468332768939931</v>
      </c>
      <c r="AV10" s="47">
        <f>AV$8*$AM10*(ShrAirByVis*$I10)*Forecasts!$N101*(1-Forecasts!$B101)+Z$8*$AM10*(ShrAirByVis*$H10)*(1-Forecasts!$N101)*(1-Forecasts!$F101-Forecasts!$J101)+Z$8*$AM10*(1-ShrAirByVis)*$C10*Forecasts!$O101*(1-Forecasts!$B101)+Z$8*$AM10*(1-ShrAirByVis)*$D10*(1-Forecasts!$O101)*(1-Forecasts!$F101-Forecasts!$J101)</f>
        <v>2.5489216366663392</v>
      </c>
      <c r="AW10" s="47">
        <f>AW$8*$AM10*(ShrAirByVis*$I10)*Forecasts!$N101*(1-Forecasts!$B101)+AA$8*$AM10*(ShrAirByVis*$H10)*(1-Forecasts!$N101)*(1-Forecasts!$F101-Forecasts!$J101)+AA$8*$AM10*(1-ShrAirByVis)*$C10*Forecasts!$O101*(1-Forecasts!$B101)+AA$8*$AM10*(1-ShrAirByVis)*$D10*(1-Forecasts!$O101)*(1-Forecasts!$F101-Forecasts!$J101)</f>
        <v>4.9137787924663409E-5</v>
      </c>
      <c r="AX10" s="47">
        <f>AX$8*$AM10*(ShrAirByVis*$I10)*Forecasts!$N101*(1-Forecasts!$B101)+AB$8*$AM10*(ShrAirByVis*$H10)*(1-Forecasts!$N101)*(1-Forecasts!$F101-Forecasts!$J101)+AB$8*$AM10*(1-ShrAirByVis)*$C10*Forecasts!$O101*(1-Forecasts!$B101)+AB$8*$AM10*(1-ShrAirByVis)*$D10*(1-Forecasts!$O101)*(1-Forecasts!$F101-Forecasts!$J101)</f>
        <v>2.080408944307631E-2</v>
      </c>
      <c r="AY10" s="47">
        <f t="shared" si="19"/>
        <v>2.5697748638973401</v>
      </c>
      <c r="AZ10" s="47">
        <f>AZ$8*$AM10*(ShrAirByVis*$J10)*Forecasts!$N101*(1-Forecasts!$B101)+AD$8*$AM10*(ShrAirByVis*$H10)*(1-Forecasts!$N101)*(1-Forecasts!$F101-Forecasts!$J101)+AD$8*$AM10*(1-ShrAirByVis)*$C10*Forecasts!$O101*(1-Forecasts!$B101)+AD$8*$AM10*(1-ShrAirByVis)*$E10*(1-Forecasts!$O101)*(1-Forecasts!$F101-Forecasts!$J101)</f>
        <v>0.53010434995312783</v>
      </c>
      <c r="BA10" s="47">
        <f>BA$8*$AM10*(ShrAirByVis*$J10)*Forecasts!$N101*(1-Forecasts!$B101)+AE$8*$AM10*(ShrAirByVis*$H10)*(1-Forecasts!$N101)*(1-Forecasts!$F101-Forecasts!$J101)+AE$8*$AM10*(1-ShrAirByVis)*$C10*Forecasts!$O101*(1-Forecasts!$B101)+AE$8*$AM10*(1-ShrAirByVis)*$E10*(1-Forecasts!$O101)*(1-Forecasts!$F101-Forecasts!$J101)</f>
        <v>1.0219284402954803E-5</v>
      </c>
      <c r="BB10" s="47">
        <f>BB$8*$AM10*(ShrAirByVis*$J10)*Forecasts!$N101*(1-Forecasts!$B101)+AF$8*$AM10*(ShrAirByVis*$H10)*(1-Forecasts!$N101)*(1-Forecasts!$F101-Forecasts!$J101)+AF$8*$AM10*(1-ShrAirByVis)*$C10*Forecasts!$O101*(1-Forecasts!$B101)+AF$8*$AM10*(1-ShrAirByVis)*$E10*(1-Forecasts!$O101)*(1-Forecasts!$F101-Forecasts!$J101)</f>
        <v>4.3266682474445723E-3</v>
      </c>
      <c r="BC10" s="47">
        <f t="shared" si="20"/>
        <v>0.5344412374849753</v>
      </c>
      <c r="BD10" s="47">
        <f>BD$8*$AM10*(ShrAirByVis*$K10)*Forecasts!$N101*(1-Forecasts!$B101)+AH$8*$AM10*(ShrAirByVis*$H10)*(1-Forecasts!$N101)*(1-Forecasts!$F101-Forecasts!$J101)+AH$8*$AM10*(1-ShrAirByVis)*$C10*Forecasts!$O101*(1-Forecasts!$B101)+AH$8*$AM10*(1-ShrAirByVis)*$F10*(1-Forecasts!$O101)*(1-Forecasts!$F101-Forecasts!$J101)</f>
        <v>1.1511524563332884</v>
      </c>
      <c r="BE10" s="47">
        <f>BE$8*$AM10*(ShrAirByVis*$K10)*Forecasts!$N101*(1-Forecasts!$B101)+AI$8*$AM10*(ShrAirByVis*$H10)*(1-Forecasts!$N101)*(1-Forecasts!$F101-Forecasts!$J101)+AI$8*$AM10*(1-ShrAirByVis)*$C10*Forecasts!$O101*(1-Forecasts!$B101)+AI$8*$AM10*(1-ShrAirByVis)*$F10*(1-Forecasts!$O101)*(1-Forecasts!$F101-Forecasts!$J101)</f>
        <v>2.2191771004086379E-5</v>
      </c>
      <c r="BF10" s="47">
        <f>BF$8*$AM10*(ShrAirByVis*$K10)*Forecasts!$N101*(1-Forecasts!$B101)+AJ$8*$AM10*(ShrAirByVis*$H10)*(1-Forecasts!$N101)*(1-Forecasts!$F101-Forecasts!$J101)+AJ$8*$AM10*(1-ShrAirByVis)*$C10*Forecasts!$O101*(1-Forecasts!$B101)+AJ$8*$AM10*(1-ShrAirByVis)*$F10*(1-Forecasts!$O101)*(1-Forecasts!$F101-Forecasts!$J101)</f>
        <v>9.3956119794630106E-3</v>
      </c>
      <c r="BG10" s="344">
        <f t="shared" si="21"/>
        <v>1.1605702600837555</v>
      </c>
    </row>
    <row r="11" spans="1:59">
      <c r="A11" s="348">
        <f t="shared" si="3"/>
        <v>2025</v>
      </c>
      <c r="B11" s="355">
        <f>Forecasts!G14</f>
        <v>1.0540305829059626</v>
      </c>
      <c r="C11" s="45">
        <f>Forecasts!H14</f>
        <v>1.0540305829059629</v>
      </c>
      <c r="D11" s="45">
        <f>Forecasts!I14</f>
        <v>1.0540305829059629</v>
      </c>
      <c r="E11" s="45">
        <f>Forecasts!J14</f>
        <v>1.0540305829059629</v>
      </c>
      <c r="F11" s="356">
        <f>Forecasts!K14</f>
        <v>1.0540305829059629</v>
      </c>
      <c r="G11" s="350">
        <f>Forecasts!S14</f>
        <v>1.0919262466305288</v>
      </c>
      <c r="H11" s="45">
        <f>Forecasts!T14</f>
        <v>1.1014526096135628</v>
      </c>
      <c r="I11" s="45">
        <f>Forecasts!U14</f>
        <v>1.2057891997186874</v>
      </c>
      <c r="J11" s="45">
        <f>Forecasts!V14</f>
        <v>1.0505385947947756</v>
      </c>
      <c r="K11" s="360">
        <f>Forecasts!W14</f>
        <v>0.91904176149801409</v>
      </c>
      <c r="L11" s="364">
        <f>Forecasts!C50</f>
        <v>0.98241831739910934</v>
      </c>
      <c r="M11" s="361">
        <f t="shared" si="22"/>
        <v>71773.669500792093</v>
      </c>
      <c r="N11" s="46">
        <f t="shared" si="27"/>
        <v>9770.5873988429048</v>
      </c>
      <c r="O11" s="46">
        <f t="shared" si="28"/>
        <v>37590.181510214832</v>
      </c>
      <c r="P11" s="46">
        <f t="shared" si="29"/>
        <v>7629.1111870848217</v>
      </c>
      <c r="Q11" s="340">
        <f t="shared" si="30"/>
        <v>16783.789404649531</v>
      </c>
      <c r="R11" s="343">
        <f t="shared" si="4"/>
        <v>5.1842310526324589</v>
      </c>
      <c r="S11" s="47">
        <f t="shared" si="5"/>
        <v>9.9940948498470706E-5</v>
      </c>
      <c r="T11" s="47">
        <f t="shared" si="6"/>
        <v>4.2313268858903567E-2</v>
      </c>
      <c r="U11" s="47">
        <f t="shared" si="7"/>
        <v>5.2266442624398612</v>
      </c>
      <c r="V11" s="47">
        <f t="shared" si="23"/>
        <v>0.70573210131024133</v>
      </c>
      <c r="W11" s="47">
        <f t="shared" si="23"/>
        <v>1.360501391135908E-5</v>
      </c>
      <c r="X11" s="47">
        <f t="shared" si="23"/>
        <v>5.7601275564166665E-3</v>
      </c>
      <c r="Y11" s="47">
        <f t="shared" si="9"/>
        <v>0.71150583388056932</v>
      </c>
      <c r="Z11" s="47">
        <f t="shared" si="24"/>
        <v>2.715148711425373</v>
      </c>
      <c r="AA11" s="47">
        <f t="shared" si="24"/>
        <v>5.2342292382293298E-5</v>
      </c>
      <c r="AB11" s="47">
        <f t="shared" si="24"/>
        <v>2.2160821200303164E-2</v>
      </c>
      <c r="AC11" s="47">
        <f t="shared" si="11"/>
        <v>2.7373618749180584</v>
      </c>
      <c r="AD11" s="47">
        <f t="shared" si="25"/>
        <v>0.55105271048785276</v>
      </c>
      <c r="AE11" s="47">
        <f t="shared" si="25"/>
        <v>1.0623124239581151E-5</v>
      </c>
      <c r="AF11" s="47">
        <f t="shared" si="25"/>
        <v>4.4976470488251466E-3</v>
      </c>
      <c r="AG11" s="47">
        <f t="shared" si="13"/>
        <v>0.55556098066091752</v>
      </c>
      <c r="AH11" s="47">
        <f t="shared" si="26"/>
        <v>1.2122975294089917</v>
      </c>
      <c r="AI11" s="47">
        <f t="shared" si="26"/>
        <v>2.3370517965237173E-5</v>
      </c>
      <c r="AJ11" s="47">
        <f t="shared" si="26"/>
        <v>9.894673053358588E-3</v>
      </c>
      <c r="AK11" s="344">
        <f t="shared" si="15"/>
        <v>1.2222155729803157</v>
      </c>
      <c r="AL11" s="384"/>
      <c r="AM11" s="364">
        <f>Forecasts!D50</f>
        <v>0.9702663006992952</v>
      </c>
      <c r="AN11" s="343">
        <f t="shared" si="0"/>
        <v>4.9923405139948764</v>
      </c>
      <c r="AO11" s="47">
        <f t="shared" si="16"/>
        <v>9.624170704016722E-5</v>
      </c>
      <c r="AP11" s="47">
        <f t="shared" si="17"/>
        <v>4.0747074013338401E-2</v>
      </c>
      <c r="AQ11" s="47">
        <f t="shared" si="1"/>
        <v>5.0331838297152558</v>
      </c>
      <c r="AR11" s="47">
        <f>AR$8*$AM11*(ShrAirByVis*$H11)*Forecasts!$N102*(1-Forecasts!$B102)+V$8*$AM11*(ShrAirByVis*$H11)*(1-Forecasts!$N102)*(1-Forecasts!$F102-Forecasts!$J102)+V$8*$AM11*(1-ShrAirByVis)*$C11*Forecasts!$O102*(1-Forecasts!$B102)+V$8*$AM11*(1-ShrAirByVis)*$C11*(1-Forecasts!$O102)*(1-Forecasts!$F102-Forecasts!$J102)</f>
        <v>0.67950035383083063</v>
      </c>
      <c r="AS11" s="47">
        <f>AS$8*$AM11*(ShrAirByVis*$H11)*Forecasts!$N102*(1-Forecasts!$B102)+W$8*$AM11*(ShrAirByVis*$H11)*(1-Forecasts!$N102)*(1-Forecasts!$F102-Forecasts!$J102)+W$8*$AM11*(1-ShrAirByVis)*$C11*Forecasts!$O102*(1-Forecasts!$B102)+W$8*$AM11*(1-ShrAirByVis)*$C11*(1-Forecasts!$O102)*(1-Forecasts!$F102-Forecasts!$J102)</f>
        <v>1.3099321611527372E-5</v>
      </c>
      <c r="AT11" s="47">
        <f>AT$8*$AM11*(ShrAirByVis*$H11)*Forecasts!$N102*(1-Forecasts!$B102)+X$8*$AM11*(ShrAirByVis*$H11)*(1-Forecasts!$N102)*(1-Forecasts!$F102-Forecasts!$J102)+X$8*$AM11*(1-ShrAirByVis)*$C11*Forecasts!$O102*(1-Forecasts!$B102)+X$8*$AM11*(1-ShrAirByVis)*$C11*(1-Forecasts!$O102)*(1-Forecasts!$F102-Forecasts!$J102)</f>
        <v>5.5460261839148459E-3</v>
      </c>
      <c r="AU11" s="47">
        <f t="shared" si="18"/>
        <v>0.68505947933635702</v>
      </c>
      <c r="AV11" s="47">
        <f>AV$8*$AM11*(ShrAirByVis*$I11)*Forecasts!$N102*(1-Forecasts!$B102)+Z$8*$AM11*(ShrAirByVis*$H11)*(1-Forecasts!$N102)*(1-Forecasts!$F102-Forecasts!$J102)+Z$8*$AM11*(1-ShrAirByVis)*$C11*Forecasts!$O102*(1-Forecasts!$B102)+Z$8*$AM11*(1-ShrAirByVis)*$D11*(1-Forecasts!$O102)*(1-Forecasts!$F102-Forecasts!$J102)</f>
        <v>2.5977287367651893</v>
      </c>
      <c r="AW11" s="47">
        <f>AW$8*$AM11*(ShrAirByVis*$I11)*Forecasts!$N102*(1-Forecasts!$B102)+AA$8*$AM11*(ShrAirByVis*$H11)*(1-Forecasts!$N102)*(1-Forecasts!$F102-Forecasts!$J102)+AA$8*$AM11*(1-ShrAirByVis)*$C11*Forecasts!$O102*(1-Forecasts!$B102)+AA$8*$AM11*(1-ShrAirByVis)*$D11*(1-Forecasts!$O102)*(1-Forecasts!$F102-Forecasts!$J102)</f>
        <v>5.0078685008110731E-5</v>
      </c>
      <c r="AX11" s="47">
        <f>AX$8*$AM11*(ShrAirByVis*$I11)*Forecasts!$N102*(1-Forecasts!$B102)+AB$8*$AM11*(ShrAirByVis*$H11)*(1-Forecasts!$N102)*(1-Forecasts!$F102-Forecasts!$J102)+AB$8*$AM11*(1-ShrAirByVis)*$C11*Forecasts!$O102*(1-Forecasts!$B102)+AB$8*$AM11*(1-ShrAirByVis)*$D11*(1-Forecasts!$O102)*(1-Forecasts!$F102-Forecasts!$J102)</f>
        <v>2.1202448992976658E-2</v>
      </c>
      <c r="AY11" s="47">
        <f t="shared" si="19"/>
        <v>2.6189812644431743</v>
      </c>
      <c r="AZ11" s="47">
        <f>AZ$8*$AM11*(ShrAirByVis*$J11)*Forecasts!$N102*(1-Forecasts!$B102)+AD$8*$AM11*(ShrAirByVis*$H11)*(1-Forecasts!$N102)*(1-Forecasts!$F102-Forecasts!$J102)+AD$8*$AM11*(1-ShrAirByVis)*$C11*Forecasts!$O102*(1-Forecasts!$B102)+AD$8*$AM11*(1-ShrAirByVis)*$E11*(1-Forecasts!$O102)*(1-Forecasts!$F102-Forecasts!$J102)</f>
        <v>0.53236931423812117</v>
      </c>
      <c r="BA11" s="47">
        <f>BA$8*$AM11*(ShrAirByVis*$J11)*Forecasts!$N102*(1-Forecasts!$B102)+AE$8*$AM11*(ShrAirByVis*$H11)*(1-Forecasts!$N102)*(1-Forecasts!$F102-Forecasts!$J102)+AE$8*$AM11*(1-ShrAirByVis)*$C11*Forecasts!$O102*(1-Forecasts!$B102)+AE$8*$AM11*(1-ShrAirByVis)*$E11*(1-Forecasts!$O102)*(1-Forecasts!$F102-Forecasts!$J102)</f>
        <v>1.0262948097080172E-5</v>
      </c>
      <c r="BB11" s="47">
        <f>BB$8*$AM11*(ShrAirByVis*$J11)*Forecasts!$N102*(1-Forecasts!$B102)+AF$8*$AM11*(ShrAirByVis*$H11)*(1-Forecasts!$N102)*(1-Forecasts!$F102-Forecasts!$J102)+AF$8*$AM11*(1-ShrAirByVis)*$C11*Forecasts!$O102*(1-Forecasts!$B102)+AF$8*$AM11*(1-ShrAirByVis)*$E11*(1-Forecasts!$O102)*(1-Forecasts!$F102-Forecasts!$J102)</f>
        <v>4.3451547002615358E-3</v>
      </c>
      <c r="BC11" s="47">
        <f t="shared" si="20"/>
        <v>0.53672473188647973</v>
      </c>
      <c r="BD11" s="47">
        <f>BD$8*$AM11*(ShrAirByVis*$K11)*Forecasts!$N102*(1-Forecasts!$B102)+AH$8*$AM11*(ShrAirByVis*$H11)*(1-Forecasts!$N102)*(1-Forecasts!$F102-Forecasts!$J102)+AH$8*$AM11*(1-ShrAirByVis)*$C11*Forecasts!$O102*(1-Forecasts!$B102)+AH$8*$AM11*(1-ShrAirByVis)*$F11*(1-Forecasts!$O102)*(1-Forecasts!$F102-Forecasts!$J102)</f>
        <v>1.182742109160736</v>
      </c>
      <c r="BE11" s="47">
        <f>BE$8*$AM11*(ShrAirByVis*$K11)*Forecasts!$N102*(1-Forecasts!$B102)+AI$8*$AM11*(ShrAirByVis*$H11)*(1-Forecasts!$N102)*(1-Forecasts!$F102-Forecasts!$J102)+AI$8*$AM11*(1-ShrAirByVis)*$C11*Forecasts!$O102*(1-Forecasts!$B102)+AI$8*$AM11*(1-ShrAirByVis)*$F11*(1-Forecasts!$O102)*(1-Forecasts!$F102-Forecasts!$J102)</f>
        <v>2.2800752323448946E-5</v>
      </c>
      <c r="BF11" s="47">
        <f>BF$8*$AM11*(ShrAirByVis*$K11)*Forecasts!$N102*(1-Forecasts!$B102)+AJ$8*$AM11*(ShrAirByVis*$H11)*(1-Forecasts!$N102)*(1-Forecasts!$F102-Forecasts!$J102)+AJ$8*$AM11*(1-ShrAirByVis)*$C11*Forecasts!$O102*(1-Forecasts!$B102)+AJ$8*$AM11*(1-ShrAirByVis)*$F11*(1-Forecasts!$O102)*(1-Forecasts!$F102-Forecasts!$J102)</f>
        <v>9.6534441361853622E-3</v>
      </c>
      <c r="BG11" s="344">
        <f t="shared" si="21"/>
        <v>1.1924183540492448</v>
      </c>
    </row>
    <row r="12" spans="1:59">
      <c r="A12" s="348">
        <f t="shared" si="3"/>
        <v>2026</v>
      </c>
      <c r="B12" s="355">
        <f>Forecasts!G15</f>
        <v>1.0682272826881669</v>
      </c>
      <c r="C12" s="45">
        <f>Forecasts!H15</f>
        <v>1.0753715891916984</v>
      </c>
      <c r="D12" s="45">
        <f>Forecasts!I15</f>
        <v>1.065385587875064</v>
      </c>
      <c r="E12" s="45">
        <f>Forecasts!J15</f>
        <v>1.0766766190035693</v>
      </c>
      <c r="F12" s="356">
        <f>Forecasts!K15</f>
        <v>1.0764480241462593</v>
      </c>
      <c r="G12" s="350">
        <f>Forecasts!S15</f>
        <v>1.1031058780743939</v>
      </c>
      <c r="H12" s="45">
        <f>Forecasts!T15</f>
        <v>1.1135824960077181</v>
      </c>
      <c r="I12" s="45">
        <f>Forecasts!U15</f>
        <v>1.2192319988943712</v>
      </c>
      <c r="J12" s="45">
        <f>Forecasts!V15</f>
        <v>1.0596548954850109</v>
      </c>
      <c r="K12" s="360">
        <f>Forecasts!W15</f>
        <v>0.92691998423369915</v>
      </c>
      <c r="L12" s="364">
        <f>Forecasts!C51</f>
        <v>0.97367498875683045</v>
      </c>
      <c r="M12" s="361">
        <f t="shared" si="22"/>
        <v>71992.370271992986</v>
      </c>
      <c r="N12" s="46">
        <f t="shared" si="27"/>
        <v>9817.7034717233637</v>
      </c>
      <c r="O12" s="46">
        <f t="shared" si="28"/>
        <v>37666.954601940059</v>
      </c>
      <c r="P12" s="46">
        <f t="shared" si="29"/>
        <v>7657.5165971282931</v>
      </c>
      <c r="Q12" s="340">
        <f t="shared" si="30"/>
        <v>16850.195601201274</v>
      </c>
      <c r="R12" s="343">
        <f t="shared" si="4"/>
        <v>5.200027866940272</v>
      </c>
      <c r="S12" s="47">
        <f t="shared" si="5"/>
        <v>1.0024547748052205E-4</v>
      </c>
      <c r="T12" s="47">
        <f t="shared" si="6"/>
        <v>4.2442201162293337E-2</v>
      </c>
      <c r="U12" s="47">
        <f t="shared" si="7"/>
        <v>5.2425703135800461</v>
      </c>
      <c r="V12" s="47">
        <f t="shared" si="23"/>
        <v>0.70913530766438027</v>
      </c>
      <c r="W12" s="47">
        <f t="shared" si="23"/>
        <v>1.3670620491682304E-5</v>
      </c>
      <c r="X12" s="47">
        <f t="shared" si="23"/>
        <v>5.7879042476912373E-3</v>
      </c>
      <c r="Y12" s="47">
        <f t="shared" si="9"/>
        <v>0.71493688253256327</v>
      </c>
      <c r="Z12" s="47">
        <f t="shared" si="24"/>
        <v>2.7206940520620826</v>
      </c>
      <c r="AA12" s="47">
        <f t="shared" si="24"/>
        <v>5.2449194755538884E-5</v>
      </c>
      <c r="AB12" s="47">
        <f t="shared" si="24"/>
        <v>2.2206081815984279E-2</v>
      </c>
      <c r="AC12" s="47">
        <f t="shared" si="11"/>
        <v>2.7429525830728223</v>
      </c>
      <c r="AD12" s="47">
        <f t="shared" si="25"/>
        <v>0.55310444073704257</v>
      </c>
      <c r="AE12" s="47">
        <f t="shared" si="25"/>
        <v>1.0662677235017749E-5</v>
      </c>
      <c r="AF12" s="47">
        <f t="shared" si="25"/>
        <v>4.5143931029223757E-3</v>
      </c>
      <c r="AG12" s="47">
        <f t="shared" si="13"/>
        <v>0.55762949651719995</v>
      </c>
      <c r="AH12" s="47">
        <f t="shared" si="26"/>
        <v>1.2170940664767667</v>
      </c>
      <c r="AI12" s="47">
        <f t="shared" si="26"/>
        <v>2.3462984998283099E-5</v>
      </c>
      <c r="AJ12" s="47">
        <f t="shared" si="26"/>
        <v>9.9338219956954452E-3</v>
      </c>
      <c r="AK12" s="344">
        <f t="shared" si="15"/>
        <v>1.2270513514574604</v>
      </c>
      <c r="AL12" s="384"/>
      <c r="AM12" s="364">
        <f>Forecasts!D51</f>
        <v>0.95819306804196647</v>
      </c>
      <c r="AN12" s="343">
        <f t="shared" si="0"/>
        <v>4.9244179369478838</v>
      </c>
      <c r="AO12" s="47">
        <f t="shared" si="16"/>
        <v>9.4932304217333919E-5</v>
      </c>
      <c r="AP12" s="47">
        <f t="shared" si="17"/>
        <v>4.0192695507635115E-2</v>
      </c>
      <c r="AQ12" s="47">
        <f t="shared" si="1"/>
        <v>4.9647055647597362</v>
      </c>
      <c r="AR12" s="47">
        <f>AR$8*$AM12*(ShrAirByVis*$H12)*Forecasts!$N103*(1-Forecasts!$B103)+V$8*$AM12*(ShrAirByVis*$H12)*(1-Forecasts!$N103)*(1-Forecasts!$F103-Forecasts!$J103)+V$8*$AM12*(1-ShrAirByVis)*$C12*Forecasts!$O103*(1-Forecasts!$B103)+V$8*$AM12*(1-ShrAirByVis)*$C12*(1-Forecasts!$O103)*(1-Forecasts!$F103-Forecasts!$J103)</f>
        <v>0.67062136507113512</v>
      </c>
      <c r="AS12" s="47">
        <f>AS$8*$AM12*(ShrAirByVis*$H12)*Forecasts!$N103*(1-Forecasts!$B103)+W$8*$AM12*(ShrAirByVis*$H12)*(1-Forecasts!$N103)*(1-Forecasts!$F103-Forecasts!$J103)+W$8*$AM12*(1-ShrAirByVis)*$C12*Forecasts!$O103*(1-Forecasts!$B103)+W$8*$AM12*(1-ShrAirByVis)*$C12*(1-Forecasts!$O103)*(1-Forecasts!$F103-Forecasts!$J103)</f>
        <v>1.2928153592713737E-5</v>
      </c>
      <c r="AT12" s="47">
        <f>AT$8*$AM12*(ShrAirByVis*$H12)*Forecasts!$N103*(1-Forecasts!$B103)+X$8*$AM12*(ShrAirByVis*$H12)*(1-Forecasts!$N103)*(1-Forecasts!$F103-Forecasts!$J103)+X$8*$AM12*(1-ShrAirByVis)*$C12*Forecasts!$O103*(1-Forecasts!$B103)+X$8*$AM12*(1-ShrAirByVis)*$C12*(1-Forecasts!$O103)*(1-Forecasts!$F103-Forecasts!$J103)</f>
        <v>5.4735566055395908E-3</v>
      </c>
      <c r="AU12" s="47">
        <f t="shared" si="18"/>
        <v>0.67610784983026739</v>
      </c>
      <c r="AV12" s="47">
        <f>AV$8*$AM12*(ShrAirByVis*$I12)*Forecasts!$N103*(1-Forecasts!$B103)+Z$8*$AM12*(ShrAirByVis*$H12)*(1-Forecasts!$N103)*(1-Forecasts!$F103-Forecasts!$J103)+Z$8*$AM12*(1-ShrAirByVis)*$C12*Forecasts!$O103*(1-Forecasts!$B103)+Z$8*$AM12*(1-ShrAirByVis)*$D12*(1-Forecasts!$O103)*(1-Forecasts!$F103-Forecasts!$J103)</f>
        <v>2.5629903550832056</v>
      </c>
      <c r="AW12" s="47">
        <f>AW$8*$AM12*(ShrAirByVis*$I12)*Forecasts!$N103*(1-Forecasts!$B103)+AA$8*$AM12*(ShrAirByVis*$H12)*(1-Forecasts!$N103)*(1-Forecasts!$F103-Forecasts!$J103)+AA$8*$AM12*(1-ShrAirByVis)*$C12*Forecasts!$O103*(1-Forecasts!$B103)+AA$8*$AM12*(1-ShrAirByVis)*$D12*(1-Forecasts!$O103)*(1-Forecasts!$F103-Forecasts!$J103)</f>
        <v>4.9409002893376186E-5</v>
      </c>
      <c r="AX12" s="47">
        <f>AX$8*$AM12*(ShrAirByVis*$I12)*Forecasts!$N103*(1-Forecasts!$B103)+AB$8*$AM12*(ShrAirByVis*$H12)*(1-Forecasts!$N103)*(1-Forecasts!$F103-Forecasts!$J103)+AB$8*$AM12*(1-ShrAirByVis)*$C12*Forecasts!$O103*(1-Forecasts!$B103)+AB$8*$AM12*(1-ShrAirByVis)*$D12*(1-Forecasts!$O103)*(1-Forecasts!$F103-Forecasts!$J103)</f>
        <v>2.0918917169469954E-2</v>
      </c>
      <c r="AY12" s="47">
        <f t="shared" si="19"/>
        <v>2.5839586812555693</v>
      </c>
      <c r="AZ12" s="47">
        <f>AZ$8*$AM12*(ShrAirByVis*$J12)*Forecasts!$N103*(1-Forecasts!$B103)+AD$8*$AM12*(ShrAirByVis*$H12)*(1-Forecasts!$N103)*(1-Forecasts!$F103-Forecasts!$J103)+AD$8*$AM12*(1-ShrAirByVis)*$C12*Forecasts!$O103*(1-Forecasts!$B103)+AD$8*$AM12*(1-ShrAirByVis)*$E12*(1-Forecasts!$O103)*(1-Forecasts!$F103-Forecasts!$J103)</f>
        <v>0.52473494759992234</v>
      </c>
      <c r="BA12" s="47">
        <f>BA$8*$AM12*(ShrAirByVis*$J12)*Forecasts!$N103*(1-Forecasts!$B103)+AE$8*$AM12*(ShrAirByVis*$H12)*(1-Forecasts!$N103)*(1-Forecasts!$F103-Forecasts!$J103)+AE$8*$AM12*(1-ShrAirByVis)*$C12*Forecasts!$O103*(1-Forecasts!$B103)+AE$8*$AM12*(1-ShrAirByVis)*$E12*(1-Forecasts!$O103)*(1-Forecasts!$F103-Forecasts!$J103)</f>
        <v>1.0115773745616954E-5</v>
      </c>
      <c r="BB12" s="47">
        <f>BB$8*$AM12*(ShrAirByVis*$J12)*Forecasts!$N103*(1-Forecasts!$B103)+AF$8*$AM12*(ShrAirByVis*$H12)*(1-Forecasts!$N103)*(1-Forecasts!$F103-Forecasts!$J103)+AF$8*$AM12*(1-ShrAirByVis)*$C12*Forecasts!$O103*(1-Forecasts!$B103)+AF$8*$AM12*(1-ShrAirByVis)*$E12*(1-Forecasts!$O103)*(1-Forecasts!$F103-Forecasts!$J103)</f>
        <v>4.2828436256103558E-3</v>
      </c>
      <c r="BC12" s="47">
        <f t="shared" si="20"/>
        <v>0.52902790699927837</v>
      </c>
      <c r="BD12" s="47">
        <f>BD$8*$AM12*(ShrAirByVis*$K12)*Forecasts!$N103*(1-Forecasts!$B103)+AH$8*$AM12*(ShrAirByVis*$H12)*(1-Forecasts!$N103)*(1-Forecasts!$F103-Forecasts!$J103)+AH$8*$AM12*(1-ShrAirByVis)*$C12*Forecasts!$O103*(1-Forecasts!$B103)+AH$8*$AM12*(1-ShrAirByVis)*$F12*(1-Forecasts!$O103)*(1-Forecasts!$F103-Forecasts!$J103)</f>
        <v>1.1660712691936206</v>
      </c>
      <c r="BE12" s="47">
        <f>BE$8*$AM12*(ShrAirByVis*$K12)*Forecasts!$N103*(1-Forecasts!$B103)+AI$8*$AM12*(ShrAirByVis*$H12)*(1-Forecasts!$N103)*(1-Forecasts!$F103-Forecasts!$J103)+AI$8*$AM12*(1-ShrAirByVis)*$C12*Forecasts!$O103*(1-Forecasts!$B103)+AI$8*$AM12*(1-ShrAirByVis)*$F12*(1-Forecasts!$O103)*(1-Forecasts!$F103-Forecasts!$J103)</f>
        <v>2.2479373985627043E-5</v>
      </c>
      <c r="BF12" s="47">
        <f>BF$8*$AM12*(ShrAirByVis*$K12)*Forecasts!$N103*(1-Forecasts!$B103)+AJ$8*$AM12*(ShrAirByVis*$H12)*(1-Forecasts!$N103)*(1-Forecasts!$F103-Forecasts!$J103)+AJ$8*$AM12*(1-ShrAirByVis)*$C12*Forecasts!$O103*(1-Forecasts!$B103)+AJ$8*$AM12*(1-ShrAirByVis)*$F12*(1-Forecasts!$O103)*(1-Forecasts!$F103-Forecasts!$J103)</f>
        <v>9.5173781070152126E-3</v>
      </c>
      <c r="BG12" s="344">
        <f t="shared" si="21"/>
        <v>1.1756111266746214</v>
      </c>
    </row>
    <row r="13" spans="1:59">
      <c r="A13" s="348">
        <f t="shared" si="3"/>
        <v>2027</v>
      </c>
      <c r="B13" s="355">
        <f>Forecasts!G16</f>
        <v>1.0826363279045692</v>
      </c>
      <c r="C13" s="45">
        <f>Forecasts!H16</f>
        <v>1.0971446878252973</v>
      </c>
      <c r="D13" s="45">
        <f>Forecasts!I16</f>
        <v>1.0768629195962909</v>
      </c>
      <c r="E13" s="45">
        <f>Forecasts!J16</f>
        <v>1.0998092092479443</v>
      </c>
      <c r="F13" s="356">
        <f>Forecasts!K16</f>
        <v>1.099342246307254</v>
      </c>
      <c r="G13" s="350">
        <f>Forecasts!S16</f>
        <v>1.1143999716072572</v>
      </c>
      <c r="H13" s="45">
        <f>Forecasts!T16</f>
        <v>1.1258443825952218</v>
      </c>
      <c r="I13" s="45">
        <f>Forecasts!U16</f>
        <v>1.2328229337533503</v>
      </c>
      <c r="J13" s="45">
        <f>Forecasts!V16</f>
        <v>1.0688488034184238</v>
      </c>
      <c r="K13" s="360">
        <f>Forecasts!W16</f>
        <v>0.9348644273750023</v>
      </c>
      <c r="L13" s="364">
        <f>Forecasts!C52</f>
        <v>0.9678607319324728</v>
      </c>
      <c r="M13" s="361">
        <f t="shared" si="22"/>
        <v>72426.159479643829</v>
      </c>
      <c r="N13" s="46">
        <f t="shared" si="27"/>
        <v>9894.3594056185175</v>
      </c>
      <c r="O13" s="46">
        <f t="shared" si="28"/>
        <v>37855.367362761222</v>
      </c>
      <c r="P13" s="46">
        <f t="shared" si="29"/>
        <v>7708.9967779933468</v>
      </c>
      <c r="Q13" s="340">
        <f t="shared" si="30"/>
        <v>16967.435933270746</v>
      </c>
      <c r="R13" s="343">
        <f t="shared" si="4"/>
        <v>5.231360575665378</v>
      </c>
      <c r="S13" s="47">
        <f t="shared" si="5"/>
        <v>1.008495054640787E-4</v>
      </c>
      <c r="T13" s="47">
        <f t="shared" si="6"/>
        <v>4.2697936162316125E-2</v>
      </c>
      <c r="U13" s="47">
        <f t="shared" si="7"/>
        <v>5.2741593613331581</v>
      </c>
      <c r="V13" s="47">
        <f t="shared" si="23"/>
        <v>0.71467218596016557</v>
      </c>
      <c r="W13" s="47">
        <f t="shared" si="23"/>
        <v>1.3777359728993184E-5</v>
      </c>
      <c r="X13" s="47">
        <f t="shared" si="23"/>
        <v>5.8330957944394534E-3</v>
      </c>
      <c r="Y13" s="47">
        <f t="shared" si="9"/>
        <v>0.720519059114334</v>
      </c>
      <c r="Z13" s="47">
        <f t="shared" si="24"/>
        <v>2.7343031554025563</v>
      </c>
      <c r="AA13" s="47">
        <f t="shared" si="24"/>
        <v>5.271154932312129E-5</v>
      </c>
      <c r="AB13" s="47">
        <f t="shared" si="24"/>
        <v>2.2317158201802707E-2</v>
      </c>
      <c r="AC13" s="47">
        <f t="shared" si="11"/>
        <v>2.7566730251536824</v>
      </c>
      <c r="AD13" s="47">
        <f t="shared" si="25"/>
        <v>0.5568228677603787</v>
      </c>
      <c r="AE13" s="47">
        <f t="shared" si="25"/>
        <v>1.0734360599409049E-5</v>
      </c>
      <c r="AF13" s="47">
        <f t="shared" si="25"/>
        <v>4.5447425994577855E-3</v>
      </c>
      <c r="AG13" s="47">
        <f t="shared" si="13"/>
        <v>0.56137834472043591</v>
      </c>
      <c r="AH13" s="47">
        <f t="shared" si="26"/>
        <v>1.2255623665422772</v>
      </c>
      <c r="AI13" s="47">
        <f t="shared" si="26"/>
        <v>2.3626235812555169E-5</v>
      </c>
      <c r="AJ13" s="47">
        <f t="shared" si="26"/>
        <v>1.0002939566616182E-2</v>
      </c>
      <c r="AK13" s="344">
        <f t="shared" si="15"/>
        <v>1.235588932344706</v>
      </c>
      <c r="AL13" s="384"/>
      <c r="AM13" s="364">
        <f>Forecasts!D52</f>
        <v>0.94627006522019219</v>
      </c>
      <c r="AN13" s="343">
        <f t="shared" si="0"/>
        <v>4.8549199323673093</v>
      </c>
      <c r="AO13" s="47">
        <f t="shared" si="16"/>
        <v>9.359253050238602E-5</v>
      </c>
      <c r="AP13" s="47">
        <f t="shared" si="17"/>
        <v>3.9625458491553064E-2</v>
      </c>
      <c r="AQ13" s="47">
        <f t="shared" si="1"/>
        <v>4.8946389833893651</v>
      </c>
      <c r="AR13" s="47">
        <f>AR$8*$AM13*(ShrAirByVis*$H13)*Forecasts!$N104*(1-Forecasts!$B104)+V$8*$AM13*(ShrAirByVis*$H13)*(1-Forecasts!$N104)*(1-Forecasts!$F104-Forecasts!$J104)+V$8*$AM13*(1-ShrAirByVis)*$C13*Forecasts!$O104*(1-Forecasts!$B104)+V$8*$AM13*(1-ShrAirByVis)*$C13*(1-Forecasts!$O104)*(1-Forecasts!$F104-Forecasts!$J104)</f>
        <v>0.66151579529760618</v>
      </c>
      <c r="AS13" s="47">
        <f>AS$8*$AM13*(ShrAirByVis*$H13)*Forecasts!$N104*(1-Forecasts!$B104)+W$8*$AM13*(ShrAirByVis*$H13)*(1-Forecasts!$N104)*(1-Forecasts!$F104-Forecasts!$J104)+W$8*$AM13*(1-ShrAirByVis)*$C13*Forecasts!$O104*(1-Forecasts!$B104)+W$8*$AM13*(1-ShrAirByVis)*$C13*(1-Forecasts!$O104)*(1-Forecasts!$F104-Forecasts!$J104)</f>
        <v>1.2752617573862227E-5</v>
      </c>
      <c r="AT13" s="47">
        <f>AT$8*$AM13*(ShrAirByVis*$H13)*Forecasts!$N104*(1-Forecasts!$B104)+X$8*$AM13*(ShrAirByVis*$H13)*(1-Forecasts!$N104)*(1-Forecasts!$F104-Forecasts!$J104)+X$8*$AM13*(1-ShrAirByVis)*$C13*Forecasts!$O104*(1-Forecasts!$B104)+X$8*$AM13*(1-ShrAirByVis)*$C13*(1-Forecasts!$O104)*(1-Forecasts!$F104-Forecasts!$J104)</f>
        <v>5.3992376915040783E-3</v>
      </c>
      <c r="AU13" s="47">
        <f t="shared" si="18"/>
        <v>0.66692778560668409</v>
      </c>
      <c r="AV13" s="47">
        <f>AV$8*$AM13*(ShrAirByVis*$I13)*Forecasts!$N104*(1-Forecasts!$B104)+Z$8*$AM13*(ShrAirByVis*$H13)*(1-Forecasts!$N104)*(1-Forecasts!$F104-Forecasts!$J104)+Z$8*$AM13*(1-ShrAirByVis)*$C13*Forecasts!$O104*(1-Forecasts!$B104)+Z$8*$AM13*(1-ShrAirByVis)*$D13*(1-Forecasts!$O104)*(1-Forecasts!$F104-Forecasts!$J104)</f>
        <v>2.5274027110954016</v>
      </c>
      <c r="AW13" s="47">
        <f>AW$8*$AM13*(ShrAirByVis*$I13)*Forecasts!$N104*(1-Forecasts!$B104)+AA$8*$AM13*(ShrAirByVis*$H13)*(1-Forecasts!$N104)*(1-Forecasts!$F104-Forecasts!$J104)+AA$8*$AM13*(1-ShrAirByVis)*$C13*Forecasts!$O104*(1-Forecasts!$B104)+AA$8*$AM13*(1-ShrAirByVis)*$D13*(1-Forecasts!$O104)*(1-Forecasts!$F104-Forecasts!$J104)</f>
        <v>4.8722948807657725E-5</v>
      </c>
      <c r="AX13" s="47">
        <f>AX$8*$AM13*(ShrAirByVis*$I13)*Forecasts!$N104*(1-Forecasts!$B104)+AB$8*$AM13*(ShrAirByVis*$H13)*(1-Forecasts!$N104)*(1-Forecasts!$F104-Forecasts!$J104)+AB$8*$AM13*(1-ShrAirByVis)*$C13*Forecasts!$O104*(1-Forecasts!$B104)+AB$8*$AM13*(1-ShrAirByVis)*$D13*(1-Forecasts!$O104)*(1-Forecasts!$F104-Forecasts!$J104)</f>
        <v>2.0628453736643928E-2</v>
      </c>
      <c r="AY13" s="47">
        <f t="shared" si="19"/>
        <v>2.5480798877808533</v>
      </c>
      <c r="AZ13" s="47">
        <f>AZ$8*$AM13*(ShrAirByVis*$J13)*Forecasts!$N104*(1-Forecasts!$B104)+AD$8*$AM13*(ShrAirByVis*$H13)*(1-Forecasts!$N104)*(1-Forecasts!$F104-Forecasts!$J104)+AD$8*$AM13*(1-ShrAirByVis)*$C13*Forecasts!$O104*(1-Forecasts!$B104)+AD$8*$AM13*(1-ShrAirByVis)*$E13*(1-Forecasts!$O104)*(1-Forecasts!$F104-Forecasts!$J104)</f>
        <v>0.51694765378898588</v>
      </c>
      <c r="BA13" s="47">
        <f>BA$8*$AM13*(ShrAirByVis*$J13)*Forecasts!$N104*(1-Forecasts!$B104)+AE$8*$AM13*(ShrAirByVis*$H13)*(1-Forecasts!$N104)*(1-Forecasts!$F104-Forecasts!$J104)+AE$8*$AM13*(1-ShrAirByVis)*$C13*Forecasts!$O104*(1-Forecasts!$B104)+AE$8*$AM13*(1-ShrAirByVis)*$E13*(1-Forecasts!$O104)*(1-Forecasts!$F104-Forecasts!$J104)</f>
        <v>9.9656512835198823E-6</v>
      </c>
      <c r="BB13" s="47">
        <f>BB$8*$AM13*(ShrAirByVis*$J13)*Forecasts!$N104*(1-Forecasts!$B104)+AF$8*$AM13*(ShrAirByVis*$H13)*(1-Forecasts!$N104)*(1-Forecasts!$F104-Forecasts!$J104)+AF$8*$AM13*(1-ShrAirByVis)*$C13*Forecasts!$O104*(1-Forecasts!$B104)+AF$8*$AM13*(1-ShrAirByVis)*$E13*(1-Forecasts!$O104)*(1-Forecasts!$F104-Forecasts!$J104)</f>
        <v>4.2192843719119485E-3</v>
      </c>
      <c r="BC13" s="47">
        <f t="shared" si="20"/>
        <v>0.5211769038121814</v>
      </c>
      <c r="BD13" s="47">
        <f>BD$8*$AM13*(ShrAirByVis*$K13)*Forecasts!$N104*(1-Forecasts!$B104)+AH$8*$AM13*(ShrAirByVis*$H13)*(1-Forecasts!$N104)*(1-Forecasts!$F104-Forecasts!$J104)+AH$8*$AM13*(1-ShrAirByVis)*$C13*Forecasts!$O104*(1-Forecasts!$B104)+AH$8*$AM13*(1-ShrAirByVis)*$F13*(1-Forecasts!$O104)*(1-Forecasts!$F104-Forecasts!$J104)</f>
        <v>1.1490537721853162</v>
      </c>
      <c r="BE13" s="47">
        <f>BE$8*$AM13*(ShrAirByVis*$K13)*Forecasts!$N104*(1-Forecasts!$B104)+AI$8*$AM13*(ShrAirByVis*$H13)*(1-Forecasts!$N104)*(1-Forecasts!$F104-Forecasts!$J104)+AI$8*$AM13*(1-ShrAirByVis)*$C13*Forecasts!$O104*(1-Forecasts!$B104)+AI$8*$AM13*(1-ShrAirByVis)*$F13*(1-Forecasts!$O104)*(1-Forecasts!$F104-Forecasts!$J104)</f>
        <v>2.2151312837346199E-5</v>
      </c>
      <c r="BF13" s="47">
        <f>BF$8*$AM13*(ShrAirByVis*$K13)*Forecasts!$N104*(1-Forecasts!$B104)+AJ$8*$AM13*(ShrAirByVis*$H13)*(1-Forecasts!$N104)*(1-Forecasts!$F104-Forecasts!$J104)+AJ$8*$AM13*(1-ShrAirByVis)*$C13*Forecasts!$O104*(1-Forecasts!$B104)+AJ$8*$AM13*(1-ShrAirByVis)*$F13*(1-Forecasts!$O104)*(1-Forecasts!$F104-Forecasts!$J104)</f>
        <v>9.3784826914931081E-3</v>
      </c>
      <c r="BG13" s="344">
        <f t="shared" si="21"/>
        <v>1.1584544061896467</v>
      </c>
    </row>
    <row r="14" spans="1:59">
      <c r="A14" s="348">
        <f t="shared" si="3"/>
        <v>2028</v>
      </c>
      <c r="B14" s="355">
        <f>Forecasts!G17</f>
        <v>1.0972612488184954</v>
      </c>
      <c r="C14" s="45">
        <f>Forecasts!H17</f>
        <v>1.1193586274006442</v>
      </c>
      <c r="D14" s="45">
        <f>Forecasts!I17</f>
        <v>1.0884638958880266</v>
      </c>
      <c r="E14" s="45">
        <f>Forecasts!J17</f>
        <v>1.1234388073421875</v>
      </c>
      <c r="F14" s="356">
        <f>Forecasts!K17</f>
        <v>1.1227233897097761</v>
      </c>
      <c r="G14" s="350">
        <f>Forecasts!S17</f>
        <v>1.1258096991434052</v>
      </c>
      <c r="H14" s="45">
        <f>Forecasts!T17</f>
        <v>1.1382396894079294</v>
      </c>
      <c r="I14" s="45">
        <f>Forecasts!U17</f>
        <v>1.246563618489583</v>
      </c>
      <c r="J14" s="45">
        <f>Forecasts!V17</f>
        <v>1.0781209671260537</v>
      </c>
      <c r="K14" s="360">
        <f>Forecasts!W17</f>
        <v>0.94287563705445343</v>
      </c>
      <c r="L14" s="364">
        <f>Forecasts!C53</f>
        <v>0.96196624410950671</v>
      </c>
      <c r="M14" s="361">
        <f t="shared" si="22"/>
        <v>72854.932965446293</v>
      </c>
      <c r="N14" s="46">
        <f t="shared" si="27"/>
        <v>9970.5893843768736</v>
      </c>
      <c r="O14" s="46">
        <f t="shared" si="28"/>
        <v>38040.139974366139</v>
      </c>
      <c r="P14" s="46">
        <f t="shared" si="29"/>
        <v>7760.1583592458792</v>
      </c>
      <c r="Q14" s="340">
        <f t="shared" si="30"/>
        <v>17084.045247457401</v>
      </c>
      <c r="R14" s="343">
        <f t="shared" si="4"/>
        <v>5.2623309974802766</v>
      </c>
      <c r="S14" s="47">
        <f t="shared" si="5"/>
        <v>1.0144654932654446E-4</v>
      </c>
      <c r="T14" s="47">
        <f t="shared" si="6"/>
        <v>4.2950714206277343E-2</v>
      </c>
      <c r="U14" s="47">
        <f t="shared" si="7"/>
        <v>5.3053831582358786</v>
      </c>
      <c r="V14" s="47">
        <f t="shared" si="23"/>
        <v>0.72017829740422679</v>
      </c>
      <c r="W14" s="47">
        <f t="shared" si="23"/>
        <v>1.3883505846839987E-5</v>
      </c>
      <c r="X14" s="47">
        <f t="shared" si="23"/>
        <v>5.8780362246661005E-3</v>
      </c>
      <c r="Y14" s="47">
        <f t="shared" si="9"/>
        <v>0.72607021713473974</v>
      </c>
      <c r="Z14" s="47">
        <f t="shared" si="24"/>
        <v>2.747649329806356</v>
      </c>
      <c r="AA14" s="47">
        <f t="shared" si="24"/>
        <v>5.296883518002083E-5</v>
      </c>
      <c r="AB14" s="47">
        <f t="shared" si="24"/>
        <v>2.2426088583194375E-2</v>
      </c>
      <c r="AC14" s="47">
        <f t="shared" si="11"/>
        <v>2.7701283872247302</v>
      </c>
      <c r="AD14" s="47">
        <f t="shared" si="25"/>
        <v>0.56051828224978617</v>
      </c>
      <c r="AE14" s="47">
        <f t="shared" si="25"/>
        <v>1.0805600331090922E-5</v>
      </c>
      <c r="AF14" s="47">
        <f t="shared" si="25"/>
        <v>4.5749042695777892E-3</v>
      </c>
      <c r="AG14" s="47">
        <f t="shared" si="13"/>
        <v>0.56510399211969498</v>
      </c>
      <c r="AH14" s="47">
        <f t="shared" si="26"/>
        <v>1.233985088019907</v>
      </c>
      <c r="AI14" s="47">
        <f t="shared" si="26"/>
        <v>2.3788607968592719E-5</v>
      </c>
      <c r="AJ14" s="47">
        <f t="shared" si="26"/>
        <v>1.0071685128839079E-2</v>
      </c>
      <c r="AK14" s="344">
        <f t="shared" si="15"/>
        <v>1.2440805617567148</v>
      </c>
      <c r="AL14" s="384"/>
      <c r="AM14" s="364">
        <f>Forecasts!D53</f>
        <v>0.93449542289175613</v>
      </c>
      <c r="AN14" s="343">
        <f t="shared" si="0"/>
        <v>4.7828306072884406</v>
      </c>
      <c r="AO14" s="47">
        <f t="shared" si="16"/>
        <v>9.2202801639638211E-5</v>
      </c>
      <c r="AP14" s="47">
        <f t="shared" si="17"/>
        <v>3.9037071329995086E-2</v>
      </c>
      <c r="AQ14" s="47">
        <f t="shared" si="1"/>
        <v>4.8219598814200744</v>
      </c>
      <c r="AR14" s="47">
        <f>AR$8*$AM14*(ShrAirByVis*$H14)*Forecasts!$N105*(1-Forecasts!$B105)+V$8*$AM14*(ShrAirByVis*$H14)*(1-Forecasts!$N105)*(1-Forecasts!$F105-Forecasts!$J105)+V$8*$AM14*(1-ShrAirByVis)*$C14*Forecasts!$O105*(1-Forecasts!$B105)+V$8*$AM14*(1-ShrAirByVis)*$C14*(1-Forecasts!$O105)*(1-Forecasts!$F105-Forecasts!$J105)</f>
        <v>0.65204486723067634</v>
      </c>
      <c r="AS14" s="47">
        <f>AS$8*$AM14*(ShrAirByVis*$H14)*Forecasts!$N105*(1-Forecasts!$B105)+W$8*$AM14*(ShrAirByVis*$H14)*(1-Forecasts!$N105)*(1-Forecasts!$F105-Forecasts!$J105)+W$8*$AM14*(1-ShrAirByVis)*$C14*Forecasts!$O105*(1-Forecasts!$B105)+W$8*$AM14*(1-ShrAirByVis)*$C14*(1-Forecasts!$O105)*(1-Forecasts!$F105-Forecasts!$J105)</f>
        <v>1.2570038224184297E-5</v>
      </c>
      <c r="AT14" s="47">
        <f>AT$8*$AM14*(ShrAirByVis*$H14)*Forecasts!$N105*(1-Forecasts!$B105)+X$8*$AM14*(ShrAirByVis*$H14)*(1-Forecasts!$N105)*(1-Forecasts!$F105-Forecasts!$J105)+X$8*$AM14*(1-ShrAirByVis)*$C14*Forecasts!$O105*(1-Forecasts!$B105)+X$8*$AM14*(1-ShrAirByVis)*$C14*(1-Forecasts!$O105)*(1-Forecasts!$F105-Forecasts!$J105)</f>
        <v>5.3219367530291514E-3</v>
      </c>
      <c r="AU14" s="47">
        <f t="shared" si="18"/>
        <v>0.6573793740219297</v>
      </c>
      <c r="AV14" s="47">
        <f>AV$8*$AM14*(ShrAirByVis*$I14)*Forecasts!$N105*(1-Forecasts!$B105)+Z$8*$AM14*(ShrAirByVis*$H14)*(1-Forecasts!$N105)*(1-Forecasts!$F105-Forecasts!$J105)+Z$8*$AM14*(1-ShrAirByVis)*$C14*Forecasts!$O105*(1-Forecasts!$B105)+Z$8*$AM14*(1-ShrAirByVis)*$D14*(1-Forecasts!$O105)*(1-Forecasts!$F105-Forecasts!$J105)</f>
        <v>2.4904367691741456</v>
      </c>
      <c r="AW14" s="47">
        <f>AW$8*$AM14*(ShrAirByVis*$I14)*Forecasts!$N105*(1-Forecasts!$B105)+AA$8*$AM14*(ShrAirByVis*$H14)*(1-Forecasts!$N105)*(1-Forecasts!$F105-Forecasts!$J105)+AA$8*$AM14*(1-ShrAirByVis)*$C14*Forecasts!$O105*(1-Forecasts!$B105)+AA$8*$AM14*(1-ShrAirByVis)*$D14*(1-Forecasts!$O105)*(1-Forecasts!$F105-Forecasts!$J105)</f>
        <v>4.8010324069245698E-5</v>
      </c>
      <c r="AX14" s="47">
        <f>AX$8*$AM14*(ShrAirByVis*$I14)*Forecasts!$N105*(1-Forecasts!$B105)+AB$8*$AM14*(ShrAirByVis*$H14)*(1-Forecasts!$N105)*(1-Forecasts!$F105-Forecasts!$J105)+AB$8*$AM14*(1-ShrAirByVis)*$C14*Forecasts!$O105*(1-Forecasts!$B105)+AB$8*$AM14*(1-ShrAirByVis)*$D14*(1-Forecasts!$O105)*(1-Forecasts!$F105-Forecasts!$J105)</f>
        <v>2.0326740749075117E-2</v>
      </c>
      <c r="AY14" s="47">
        <f t="shared" si="19"/>
        <v>2.51081152024729</v>
      </c>
      <c r="AZ14" s="47">
        <f>AZ$8*$AM14*(ShrAirByVis*$J14)*Forecasts!$N105*(1-Forecasts!$B105)+AD$8*$AM14*(ShrAirByVis*$H14)*(1-Forecasts!$N105)*(1-Forecasts!$F105-Forecasts!$J105)+AD$8*$AM14*(1-ShrAirByVis)*$C14*Forecasts!$O105*(1-Forecasts!$B105)+AD$8*$AM14*(1-ShrAirByVis)*$E14*(1-Forecasts!$O105)*(1-Forecasts!$F105-Forecasts!$J105)</f>
        <v>0.5088995518715157</v>
      </c>
      <c r="BA14" s="47">
        <f>BA$8*$AM14*(ShrAirByVis*$J14)*Forecasts!$N105*(1-Forecasts!$B105)+AE$8*$AM14*(ShrAirByVis*$H14)*(1-Forecasts!$N105)*(1-Forecasts!$F105-Forecasts!$J105)+AE$8*$AM14*(1-ShrAirByVis)*$C14*Forecasts!$O105*(1-Forecasts!$B105)+AE$8*$AM14*(1-ShrAirByVis)*$E14*(1-Forecasts!$O105)*(1-Forecasts!$F105-Forecasts!$J105)</f>
        <v>9.8105009958343239E-6</v>
      </c>
      <c r="BB14" s="47">
        <f>BB$8*$AM14*(ShrAirByVis*$J14)*Forecasts!$N105*(1-Forecasts!$B105)+AF$8*$AM14*(ShrAirByVis*$H14)*(1-Forecasts!$N105)*(1-Forecasts!$F105-Forecasts!$J105)+AF$8*$AM14*(1-ShrAirByVis)*$C14*Forecasts!$O105*(1-Forecasts!$B105)+AF$8*$AM14*(1-ShrAirByVis)*$E14*(1-Forecasts!$O105)*(1-Forecasts!$F105-Forecasts!$J105)</f>
        <v>4.1535964238285277E-3</v>
      </c>
      <c r="BC14" s="47">
        <f t="shared" si="20"/>
        <v>0.51306295879634001</v>
      </c>
      <c r="BD14" s="47">
        <f>BD$8*$AM14*(ShrAirByVis*$K14)*Forecasts!$N105*(1-Forecasts!$B105)+AH$8*$AM14*(ShrAirByVis*$H14)*(1-Forecasts!$N105)*(1-Forecasts!$F105-Forecasts!$J105)+AH$8*$AM14*(1-ShrAirByVis)*$C14*Forecasts!$O105*(1-Forecasts!$B105)+AH$8*$AM14*(1-ShrAirByVis)*$F14*(1-Forecasts!$O105)*(1-Forecasts!$F105-Forecasts!$J105)</f>
        <v>1.1314494190121027</v>
      </c>
      <c r="BE14" s="47">
        <f>BE$8*$AM14*(ShrAirByVis*$K14)*Forecasts!$N105*(1-Forecasts!$B105)+AI$8*$AM14*(ShrAirByVis*$H14)*(1-Forecasts!$N105)*(1-Forecasts!$F105-Forecasts!$J105)+AI$8*$AM14*(1-ShrAirByVis)*$C14*Forecasts!$O105*(1-Forecasts!$B105)+AI$8*$AM14*(1-ShrAirByVis)*$F14*(1-Forecasts!$O105)*(1-Forecasts!$F105-Forecasts!$J105)</f>
        <v>2.1811938350373892E-5</v>
      </c>
      <c r="BF14" s="47">
        <f>BF$8*$AM14*(ShrAirByVis*$K14)*Forecasts!$N105*(1-Forecasts!$B105)+AJ$8*$AM14*(ShrAirByVis*$H14)*(1-Forecasts!$N105)*(1-Forecasts!$F105-Forecasts!$J105)+AJ$8*$AM14*(1-ShrAirByVis)*$C14*Forecasts!$O105*(1-Forecasts!$B105)+AJ$8*$AM14*(1-ShrAirByVis)*$F14*(1-Forecasts!$O105)*(1-Forecasts!$F105-Forecasts!$J105)</f>
        <v>9.2347974040622883E-3</v>
      </c>
      <c r="BG14" s="344">
        <f t="shared" si="21"/>
        <v>1.1407060283545154</v>
      </c>
    </row>
    <row r="15" spans="1:59">
      <c r="A15" s="348">
        <f t="shared" si="3"/>
        <v>2029</v>
      </c>
      <c r="B15" s="355">
        <f>Forecasts!G18</f>
        <v>1.1121056397367235</v>
      </c>
      <c r="C15" s="45">
        <f>Forecasts!H18</f>
        <v>1.1420223336448114</v>
      </c>
      <c r="D15" s="45">
        <f>Forecasts!I18</f>
        <v>1.1001898487654282</v>
      </c>
      <c r="E15" s="45">
        <f>Forecasts!J18</f>
        <v>1.1475760915890838</v>
      </c>
      <c r="F15" s="356">
        <f>Forecasts!K18</f>
        <v>1.1466018103420648</v>
      </c>
      <c r="G15" s="350">
        <f>Forecasts!S18</f>
        <v>1.1373362445957109</v>
      </c>
      <c r="H15" s="45">
        <f>Forecasts!T18</f>
        <v>1.1507698515905695</v>
      </c>
      <c r="I15" s="45">
        <f>Forecasts!U18</f>
        <v>1.2604556847025086</v>
      </c>
      <c r="J15" s="45">
        <f>Forecasts!V18</f>
        <v>1.0874720404669314</v>
      </c>
      <c r="K15" s="360">
        <f>Forecasts!W18</f>
        <v>0.95095416383078768</v>
      </c>
      <c r="L15" s="364">
        <f>Forecasts!C54</f>
        <v>0.95650150925331934</v>
      </c>
      <c r="M15" s="361">
        <f t="shared" si="22"/>
        <v>73317.524847617897</v>
      </c>
      <c r="N15" s="46">
        <f t="shared" si="27"/>
        <v>10051.714547131567</v>
      </c>
      <c r="O15" s="46">
        <f t="shared" si="28"/>
        <v>38241.523860201669</v>
      </c>
      <c r="P15" s="46">
        <f t="shared" si="29"/>
        <v>7815.1431249591342</v>
      </c>
      <c r="Q15" s="340">
        <f t="shared" si="30"/>
        <v>17209.143315325535</v>
      </c>
      <c r="R15" s="343">
        <f t="shared" si="4"/>
        <v>5.2957441309724027</v>
      </c>
      <c r="S15" s="47">
        <f t="shared" si="5"/>
        <v>1.0209068347481192E-4</v>
      </c>
      <c r="T15" s="47">
        <f t="shared" si="6"/>
        <v>4.3223429462699581E-2</v>
      </c>
      <c r="U15" s="47">
        <f t="shared" si="7"/>
        <v>5.3390696511185762</v>
      </c>
      <c r="V15" s="47">
        <f t="shared" si="23"/>
        <v>0.72603798927769447</v>
      </c>
      <c r="W15" s="47">
        <f t="shared" si="23"/>
        <v>1.3996468243345398E-5</v>
      </c>
      <c r="X15" s="47">
        <f t="shared" si="23"/>
        <v>5.9258625493717612E-3</v>
      </c>
      <c r="Y15" s="47">
        <f t="shared" si="9"/>
        <v>0.73197784829530954</v>
      </c>
      <c r="Z15" s="47">
        <f t="shared" si="24"/>
        <v>2.7621953409231041</v>
      </c>
      <c r="AA15" s="47">
        <f t="shared" si="24"/>
        <v>5.3249251336846807E-5</v>
      </c>
      <c r="AB15" s="47">
        <f t="shared" si="24"/>
        <v>2.2544811933476964E-2</v>
      </c>
      <c r="AC15" s="47">
        <f t="shared" si="11"/>
        <v>2.7847934021079177</v>
      </c>
      <c r="AD15" s="47">
        <f t="shared" si="25"/>
        <v>0.5644898463597865</v>
      </c>
      <c r="AE15" s="47">
        <f t="shared" si="25"/>
        <v>1.0882163640122908E-5</v>
      </c>
      <c r="AF15" s="47">
        <f t="shared" si="25"/>
        <v>4.6073198502628908E-3</v>
      </c>
      <c r="AG15" s="47">
        <f t="shared" si="13"/>
        <v>0.56910804837368945</v>
      </c>
      <c r="AH15" s="47">
        <f t="shared" si="26"/>
        <v>1.2430209544118176</v>
      </c>
      <c r="AI15" s="47">
        <f t="shared" si="26"/>
        <v>2.3962800254496813E-5</v>
      </c>
      <c r="AJ15" s="47">
        <f t="shared" si="26"/>
        <v>1.0145435129587967E-2</v>
      </c>
      <c r="AK15" s="344">
        <f t="shared" si="15"/>
        <v>1.2531903523416601</v>
      </c>
      <c r="AL15" s="384"/>
      <c r="AM15" s="364">
        <f>Forecasts!D54</f>
        <v>0.92286729497507036</v>
      </c>
      <c r="AN15" s="343">
        <f t="shared" si="0"/>
        <v>4.7069416586187982</v>
      </c>
      <c r="AO15" s="47">
        <f t="shared" si="16"/>
        <v>9.0739824115373626E-5</v>
      </c>
      <c r="AP15" s="47">
        <f t="shared" si="17"/>
        <v>3.841767195217461E-2</v>
      </c>
      <c r="AQ15" s="47">
        <f t="shared" si="1"/>
        <v>4.7454500703950879</v>
      </c>
      <c r="AR15" s="47">
        <f>AR$8*$AM15*(ShrAirByVis*$H15)*Forecasts!$N106*(1-Forecasts!$B106)+V$8*$AM15*(ShrAirByVis*$H15)*(1-Forecasts!$N106)*(1-Forecasts!$F106-Forecasts!$J106)+V$8*$AM15*(1-ShrAirByVis)*$C15*Forecasts!$O106*(1-Forecasts!$B106)+V$8*$AM15*(1-ShrAirByVis)*$C15*(1-Forecasts!$O106)*(1-Forecasts!$F106-Forecasts!$J106)</f>
        <v>0.64204326507095233</v>
      </c>
      <c r="AS15" s="47">
        <f>AS$8*$AM15*(ShrAirByVis*$H15)*Forecasts!$N106*(1-Forecasts!$B106)+W$8*$AM15*(ShrAirByVis*$H15)*(1-Forecasts!$N106)*(1-Forecasts!$F106-Forecasts!$J106)+W$8*$AM15*(1-ShrAirByVis)*$C15*Forecasts!$O106*(1-Forecasts!$B106)+W$8*$AM15*(1-ShrAirByVis)*$C15*(1-Forecasts!$O106)*(1-Forecasts!$F106-Forecasts!$J106)</f>
        <v>1.2377228606673209E-5</v>
      </c>
      <c r="AT15" s="47">
        <f>AT$8*$AM15*(ShrAirByVis*$H15)*Forecasts!$N106*(1-Forecasts!$B106)+X$8*$AM15*(ShrAirByVis*$H15)*(1-Forecasts!$N106)*(1-Forecasts!$F106-Forecasts!$J106)+X$8*$AM15*(1-ShrAirByVis)*$C15*Forecasts!$O106*(1-Forecasts!$B106)+X$8*$AM15*(1-ShrAirByVis)*$C15*(1-Forecasts!$O106)*(1-Forecasts!$F106-Forecasts!$J106)</f>
        <v>5.2403044961124197E-3</v>
      </c>
      <c r="AU15" s="47">
        <f t="shared" si="18"/>
        <v>0.64729594679567148</v>
      </c>
      <c r="AV15" s="47">
        <f>AV$8*$AM15*(ShrAirByVis*$I15)*Forecasts!$N106*(1-Forecasts!$B106)+Z$8*$AM15*(ShrAirByVis*$H15)*(1-Forecasts!$N106)*(1-Forecasts!$F106-Forecasts!$J106)+Z$8*$AM15*(1-ShrAirByVis)*$C15*Forecasts!$O106*(1-Forecasts!$B106)+Z$8*$AM15*(1-ShrAirByVis)*$D15*(1-Forecasts!$O106)*(1-Forecasts!$F106-Forecasts!$J106)</f>
        <v>2.4514628417156019</v>
      </c>
      <c r="AW15" s="47">
        <f>AW$8*$AM15*(ShrAirByVis*$I15)*Forecasts!$N106*(1-Forecasts!$B106)+AA$8*$AM15*(ShrAirByVis*$H15)*(1-Forecasts!$N106)*(1-Forecasts!$F106-Forecasts!$J106)+AA$8*$AM15*(1-ShrAirByVis)*$C15*Forecasts!$O106*(1-Forecasts!$B106)+AA$8*$AM15*(1-ShrAirByVis)*$D15*(1-Forecasts!$O106)*(1-Forecasts!$F106-Forecasts!$J106)</f>
        <v>4.7258989640403135E-5</v>
      </c>
      <c r="AX15" s="47">
        <f>AX$8*$AM15*(ShrAirByVis*$I15)*Forecasts!$N106*(1-Forecasts!$B106)+AB$8*$AM15*(ShrAirByVis*$H15)*(1-Forecasts!$N106)*(1-Forecasts!$F106-Forecasts!$J106)+AB$8*$AM15*(1-ShrAirByVis)*$C15*Forecasts!$O106*(1-Forecasts!$B106)+AB$8*$AM15*(1-ShrAirByVis)*$D15*(1-Forecasts!$O106)*(1-Forecasts!$F106-Forecasts!$J106)</f>
        <v>2.0008638748161525E-2</v>
      </c>
      <c r="AY15" s="47">
        <f t="shared" si="19"/>
        <v>2.4715187394534039</v>
      </c>
      <c r="AZ15" s="47">
        <f>AZ$8*$AM15*(ShrAirByVis*$J15)*Forecasts!$N106*(1-Forecasts!$B106)+AD$8*$AM15*(ShrAirByVis*$H15)*(1-Forecasts!$N106)*(1-Forecasts!$F106-Forecasts!$J106)+AD$8*$AM15*(1-ShrAirByVis)*$C15*Forecasts!$O106*(1-Forecasts!$B106)+AD$8*$AM15*(1-ShrAirByVis)*$E15*(1-Forecasts!$O106)*(1-Forecasts!$F106-Forecasts!$J106)</f>
        <v>0.5004626069041862</v>
      </c>
      <c r="BA15" s="47">
        <f>BA$8*$AM15*(ShrAirByVis*$J15)*Forecasts!$N106*(1-Forecasts!$B106)+AE$8*$AM15*(ShrAirByVis*$H15)*(1-Forecasts!$N106)*(1-Forecasts!$F106-Forecasts!$J106)+AE$8*$AM15*(1-ShrAirByVis)*$C15*Forecasts!$O106*(1-Forecasts!$B106)+AE$8*$AM15*(1-ShrAirByVis)*$E15*(1-Forecasts!$O106)*(1-Forecasts!$F106-Forecasts!$J106)</f>
        <v>9.6478546411669058E-6</v>
      </c>
      <c r="BB15" s="47">
        <f>BB$8*$AM15*(ShrAirByVis*$J15)*Forecasts!$N106*(1-Forecasts!$B106)+AF$8*$AM15*(ShrAirByVis*$H15)*(1-Forecasts!$N106)*(1-Forecasts!$F106-Forecasts!$J106)+AF$8*$AM15*(1-ShrAirByVis)*$C15*Forecasts!$O106*(1-Forecasts!$B106)+AF$8*$AM15*(1-ShrAirByVis)*$E15*(1-Forecasts!$O106)*(1-Forecasts!$F106-Forecasts!$J106)</f>
        <v>4.0847347706487154E-3</v>
      </c>
      <c r="BC15" s="47">
        <f t="shared" si="20"/>
        <v>0.50455698952947614</v>
      </c>
      <c r="BD15" s="47">
        <f>BD$8*$AM15*(ShrAirByVis*$K15)*Forecasts!$N106*(1-Forecasts!$B106)+AH$8*$AM15*(ShrAirByVis*$H15)*(1-Forecasts!$N106)*(1-Forecasts!$F106-Forecasts!$J106)+AH$8*$AM15*(1-ShrAirByVis)*$C15*Forecasts!$O106*(1-Forecasts!$B106)+AH$8*$AM15*(1-ShrAirByVis)*$F15*(1-Forecasts!$O106)*(1-Forecasts!$F106-Forecasts!$J106)</f>
        <v>1.1129729449280577</v>
      </c>
      <c r="BE15" s="47">
        <f>BE$8*$AM15*(ShrAirByVis*$K15)*Forecasts!$N106*(1-Forecasts!$B106)+AI$8*$AM15*(ShrAirByVis*$H15)*(1-Forecasts!$N106)*(1-Forecasts!$F106-Forecasts!$J106)+AI$8*$AM15*(1-ShrAirByVis)*$C15*Forecasts!$O106*(1-Forecasts!$B106)+AI$8*$AM15*(1-ShrAirByVis)*$F15*(1-Forecasts!$O106)*(1-Forecasts!$F106-Forecasts!$J106)</f>
        <v>2.1455751227130372E-5</v>
      </c>
      <c r="BF15" s="47">
        <f>BF$8*$AM15*(ShrAirByVis*$K15)*Forecasts!$N106*(1-Forecasts!$B106)+AJ$8*$AM15*(ShrAirByVis*$H15)*(1-Forecasts!$N106)*(1-Forecasts!$F106-Forecasts!$J106)+AJ$8*$AM15*(1-ShrAirByVis)*$C15*Forecasts!$O106*(1-Forecasts!$B106)+AJ$8*$AM15*(1-ShrAirByVis)*$F15*(1-Forecasts!$O106)*(1-Forecasts!$F106-Forecasts!$J106)</f>
        <v>9.0839939372519534E-3</v>
      </c>
      <c r="BG15" s="344">
        <f t="shared" si="21"/>
        <v>1.1220783946165367</v>
      </c>
    </row>
    <row r="16" spans="1:59">
      <c r="A16" s="348">
        <f t="shared" si="3"/>
        <v>2030</v>
      </c>
      <c r="B16" s="355">
        <f>Forecasts!G19</f>
        <v>1.1271731602442665</v>
      </c>
      <c r="C16" s="45">
        <f>Forecasts!H19</f>
        <v>1.1651449130044829</v>
      </c>
      <c r="D16" s="45">
        <f>Forecasts!I19</f>
        <v>1.1120421245933689</v>
      </c>
      <c r="E16" s="45">
        <f>Forecasts!J19</f>
        <v>1.172231969716669</v>
      </c>
      <c r="F16" s="356">
        <f>Forecasts!K19</f>
        <v>1.1709880844466496</v>
      </c>
      <c r="G16" s="350">
        <f>Forecasts!S19</f>
        <v>1.1489808039984788</v>
      </c>
      <c r="H16" s="45">
        <f>Forecasts!T19</f>
        <v>1.1634363195600268</v>
      </c>
      <c r="I16" s="45">
        <f>Forecasts!U19</f>
        <v>1.2745007815829488</v>
      </c>
      <c r="J16" s="45">
        <f>Forecasts!V19</f>
        <v>1.0969026826712098</v>
      </c>
      <c r="K16" s="360">
        <f>Forecasts!W19</f>
        <v>0.9591005627242829</v>
      </c>
      <c r="L16" s="364">
        <f>Forecasts!C55</f>
        <v>0.95064505982120084</v>
      </c>
      <c r="M16" s="361">
        <f t="shared" si="22"/>
        <v>73751.361839948382</v>
      </c>
      <c r="N16" s="46">
        <f t="shared" si="27"/>
        <v>10129.166349044992</v>
      </c>
      <c r="O16" s="46">
        <f t="shared" si="28"/>
        <v>38426.847841149123</v>
      </c>
      <c r="P16" s="46">
        <f t="shared" si="29"/>
        <v>7867.2877934822864</v>
      </c>
      <c r="Q16" s="340">
        <f t="shared" si="30"/>
        <v>17328.059856271982</v>
      </c>
      <c r="R16" s="343">
        <f t="shared" si="4"/>
        <v>5.3270802911975048</v>
      </c>
      <c r="S16" s="47">
        <f t="shared" si="5"/>
        <v>1.0269477799594759E-4</v>
      </c>
      <c r="T16" s="47">
        <f t="shared" si="6"/>
        <v>4.3479192633582395E-2</v>
      </c>
      <c r="U16" s="47">
        <f t="shared" si="7"/>
        <v>5.3706621786090833</v>
      </c>
      <c r="V16" s="47">
        <f t="shared" si="23"/>
        <v>0.73163235333006449</v>
      </c>
      <c r="W16" s="47">
        <f t="shared" si="23"/>
        <v>1.4104315683778383E-5</v>
      </c>
      <c r="X16" s="47">
        <f t="shared" si="23"/>
        <v>5.9715232901526565E-3</v>
      </c>
      <c r="Y16" s="47">
        <f t="shared" si="9"/>
        <v>0.73761798093590092</v>
      </c>
      <c r="Z16" s="47">
        <f t="shared" si="24"/>
        <v>2.7755813408797403</v>
      </c>
      <c r="AA16" s="47">
        <f t="shared" si="24"/>
        <v>5.3507304945701172E-5</v>
      </c>
      <c r="AB16" s="47">
        <f t="shared" si="24"/>
        <v>2.2654067367766068E-2</v>
      </c>
      <c r="AC16" s="47">
        <f t="shared" si="11"/>
        <v>2.7982889155524524</v>
      </c>
      <c r="AD16" s="47">
        <f t="shared" si="25"/>
        <v>0.56825626950168751</v>
      </c>
      <c r="AE16" s="47">
        <f t="shared" si="25"/>
        <v>1.0954772267598537E-5</v>
      </c>
      <c r="AF16" s="47">
        <f t="shared" si="25"/>
        <v>4.6380610871834035E-3</v>
      </c>
      <c r="AG16" s="47">
        <f t="shared" si="13"/>
        <v>0.57290528536113861</v>
      </c>
      <c r="AH16" s="47">
        <f t="shared" si="26"/>
        <v>1.2516103274860118</v>
      </c>
      <c r="AI16" s="47">
        <f t="shared" si="26"/>
        <v>2.4128385098869497E-5</v>
      </c>
      <c r="AJ16" s="47">
        <f t="shared" si="26"/>
        <v>1.0215540888480262E-2</v>
      </c>
      <c r="AK16" s="344">
        <f t="shared" si="15"/>
        <v>1.2618499967595909</v>
      </c>
      <c r="AL16" s="384"/>
      <c r="AM16" s="364">
        <f>Forecasts!D55</f>
        <v>0.91138385835973779</v>
      </c>
      <c r="AN16" s="343">
        <f t="shared" si="0"/>
        <v>4.6263896794437427</v>
      </c>
      <c r="AO16" s="47">
        <f t="shared" si="16"/>
        <v>8.9186953280634074E-5</v>
      </c>
      <c r="AP16" s="47">
        <f t="shared" si="17"/>
        <v>3.776021330163469E-2</v>
      </c>
      <c r="AQ16" s="47">
        <f t="shared" si="1"/>
        <v>4.6642390796986586</v>
      </c>
      <c r="AR16" s="47">
        <f>AR$8*$AM16*(ShrAirByVis*$H16)*Forecasts!$N107*(1-Forecasts!$B107)+V$8*$AM16*(ShrAirByVis*$H16)*(1-Forecasts!$N107)*(1-Forecasts!$F107-Forecasts!$J107)+V$8*$AM16*(1-ShrAirByVis)*$C16*Forecasts!$O107*(1-Forecasts!$B107)+V$8*$AM16*(1-ShrAirByVis)*$C16*(1-Forecasts!$O107)*(1-Forecasts!$F107-Forecasts!$J107)</f>
        <v>0.63139239794665625</v>
      </c>
      <c r="AS16" s="47">
        <f>AS$8*$AM16*(ShrAirByVis*$H16)*Forecasts!$N107*(1-Forecasts!$B107)+W$8*$AM16*(ShrAirByVis*$H16)*(1-Forecasts!$N107)*(1-Forecasts!$F107-Forecasts!$J107)+W$8*$AM16*(1-ShrAirByVis)*$C16*Forecasts!$O107*(1-Forecasts!$B107)+W$8*$AM16*(1-ShrAirByVis)*$C16*(1-Forecasts!$O107)*(1-Forecasts!$F107-Forecasts!$J107)</f>
        <v>1.2171902541548694E-5</v>
      </c>
      <c r="AT16" s="47">
        <f>AT$8*$AM16*(ShrAirByVis*$H16)*Forecasts!$N107*(1-Forecasts!$B107)+X$8*$AM16*(ShrAirByVis*$H16)*(1-Forecasts!$N107)*(1-Forecasts!$F107-Forecasts!$J107)+X$8*$AM16*(1-ShrAirByVis)*$C16*Forecasts!$O107*(1-Forecasts!$B107)+X$8*$AM16*(1-ShrAirByVis)*$C16*(1-Forecasts!$O107)*(1-Forecasts!$F107-Forecasts!$J107)</f>
        <v>5.1533729917802671E-3</v>
      </c>
      <c r="AU16" s="47">
        <f t="shared" si="18"/>
        <v>0.63655794284097811</v>
      </c>
      <c r="AV16" s="47">
        <f>AV$8*$AM16*(ShrAirByVis*$I16)*Forecasts!$N107*(1-Forecasts!$B107)+Z$8*$AM16*(ShrAirByVis*$H16)*(1-Forecasts!$N107)*(1-Forecasts!$F107-Forecasts!$J107)+Z$8*$AM16*(1-ShrAirByVis)*$C16*Forecasts!$O107*(1-Forecasts!$B107)+Z$8*$AM16*(1-ShrAirByVis)*$D16*(1-Forecasts!$O107)*(1-Forecasts!$F107-Forecasts!$J107)</f>
        <v>2.4100304066414973</v>
      </c>
      <c r="AW16" s="47">
        <f>AW$8*$AM16*(ShrAirByVis*$I16)*Forecasts!$N107*(1-Forecasts!$B107)+AA$8*$AM16*(ShrAirByVis*$H16)*(1-Forecasts!$N107)*(1-Forecasts!$F107-Forecasts!$J107)+AA$8*$AM16*(1-ShrAirByVis)*$C16*Forecasts!$O107*(1-Forecasts!$B107)+AA$8*$AM16*(1-ShrAirByVis)*$D16*(1-Forecasts!$O107)*(1-Forecasts!$F107-Forecasts!$J107)</f>
        <v>4.646026041366377E-5</v>
      </c>
      <c r="AX16" s="47">
        <f>AX$8*$AM16*(ShrAirByVis*$I16)*Forecasts!$N107*(1-Forecasts!$B107)+AB$8*$AM16*(ShrAirByVis*$H16)*(1-Forecasts!$N107)*(1-Forecasts!$F107-Forecasts!$J107)+AB$8*$AM16*(1-ShrAirByVis)*$C16*Forecasts!$O107*(1-Forecasts!$B107)+AB$8*$AM16*(1-ShrAirByVis)*$D16*(1-Forecasts!$O107)*(1-Forecasts!$F107-Forecasts!$J107)</f>
        <v>1.9670470609633162E-2</v>
      </c>
      <c r="AY16" s="47">
        <f t="shared" si="19"/>
        <v>2.4297473375115439</v>
      </c>
      <c r="AZ16" s="47">
        <f>AZ$8*$AM16*(ShrAirByVis*$J16)*Forecasts!$N107*(1-Forecasts!$B107)+AD$8*$AM16*(ShrAirByVis*$H16)*(1-Forecasts!$N107)*(1-Forecasts!$F107-Forecasts!$J107)+AD$8*$AM16*(1-ShrAirByVis)*$C16*Forecasts!$O107*(1-Forecasts!$B107)+AD$8*$AM16*(1-ShrAirByVis)*$E16*(1-Forecasts!$O107)*(1-Forecasts!$F107-Forecasts!$J107)</f>
        <v>0.49154578248903846</v>
      </c>
      <c r="BA16" s="47">
        <f>BA$8*$AM16*(ShrAirByVis*$J16)*Forecasts!$N107*(1-Forecasts!$B107)+AE$8*$AM16*(ShrAirByVis*$H16)*(1-Forecasts!$N107)*(1-Forecasts!$F107-Forecasts!$J107)+AE$8*$AM16*(1-ShrAirByVis)*$C16*Forecasts!$O107*(1-Forecasts!$B107)+AE$8*$AM16*(1-ShrAirByVis)*$E16*(1-Forecasts!$O107)*(1-Forecasts!$F107-Forecasts!$J107)</f>
        <v>9.4759572313877505E-6</v>
      </c>
      <c r="BB16" s="47">
        <f>BB$8*$AM16*(ShrAirByVis*$J16)*Forecasts!$N107*(1-Forecasts!$B107)+AF$8*$AM16*(ShrAirByVis*$H16)*(1-Forecasts!$N107)*(1-Forecasts!$F107-Forecasts!$J107)+AF$8*$AM16*(1-ShrAirByVis)*$C16*Forecasts!$O107*(1-Forecasts!$B107)+AF$8*$AM16*(1-ShrAirByVis)*$E16*(1-Forecasts!$O107)*(1-Forecasts!$F107-Forecasts!$J107)</f>
        <v>4.0119563807553497E-3</v>
      </c>
      <c r="BC16" s="47">
        <f t="shared" si="20"/>
        <v>0.4955672148270252</v>
      </c>
      <c r="BD16" s="47">
        <f>BD$8*$AM16*(ShrAirByVis*$K16)*Forecasts!$N107*(1-Forecasts!$B107)+AH$8*$AM16*(ShrAirByVis*$H16)*(1-Forecasts!$N107)*(1-Forecasts!$F107-Forecasts!$J107)+AH$8*$AM16*(1-ShrAirByVis)*$C16*Forecasts!$O107*(1-Forecasts!$B107)+AH$8*$AM16*(1-ShrAirByVis)*$F16*(1-Forecasts!$O107)*(1-Forecasts!$F107-Forecasts!$J107)</f>
        <v>1.0934210923665508</v>
      </c>
      <c r="BE16" s="47">
        <f>BE$8*$AM16*(ShrAirByVis*$K16)*Forecasts!$N107*(1-Forecasts!$B107)+AI$8*$AM16*(ShrAirByVis*$H16)*(1-Forecasts!$N107)*(1-Forecasts!$F107-Forecasts!$J107)+AI$8*$AM16*(1-ShrAirByVis)*$C16*Forecasts!$O107*(1-Forecasts!$B107)+AI$8*$AM16*(1-ShrAirByVis)*$F16*(1-Forecasts!$O107)*(1-Forecasts!$F107-Forecasts!$J107)</f>
        <v>2.107883309403385E-5</v>
      </c>
      <c r="BF16" s="47">
        <f>BF$8*$AM16*(ShrAirByVis*$K16)*Forecasts!$N107*(1-Forecasts!$B107)+AJ$8*$AM16*(ShrAirByVis*$H16)*(1-Forecasts!$N107)*(1-Forecasts!$F107-Forecasts!$J107)+AJ$8*$AM16*(1-ShrAirByVis)*$C16*Forecasts!$O107*(1-Forecasts!$B107)+AJ$8*$AM16*(1-ShrAirByVis)*$F16*(1-Forecasts!$O107)*(1-Forecasts!$F107-Forecasts!$J107)</f>
        <v>8.9244133194659094E-3</v>
      </c>
      <c r="BG16" s="344">
        <f t="shared" si="21"/>
        <v>1.1023665845191108</v>
      </c>
    </row>
    <row r="17" spans="1:59">
      <c r="A17" s="348">
        <f t="shared" si="3"/>
        <v>2031</v>
      </c>
      <c r="B17" s="355">
        <f>Forecasts!G20</f>
        <v>1.1433177782559028</v>
      </c>
      <c r="C17" s="45">
        <f>Forecasts!H20</f>
        <v>1.181062244732358</v>
      </c>
      <c r="D17" s="45">
        <f>Forecasts!I20</f>
        <v>1.1276082438872006</v>
      </c>
      <c r="E17" s="45">
        <f>Forecasts!J20</f>
        <v>1.1899232014108108</v>
      </c>
      <c r="F17" s="356">
        <f>Forecasts!K20</f>
        <v>1.1906226559859818</v>
      </c>
      <c r="G17" s="350">
        <f>Forecasts!S20</f>
        <v>1.1602513910030441</v>
      </c>
      <c r="H17" s="45">
        <f>Forecasts!T20</f>
        <v>1.1756987546463704</v>
      </c>
      <c r="I17" s="45">
        <f>Forecasts!U20</f>
        <v>1.2857685584912242</v>
      </c>
      <c r="J17" s="45">
        <f>Forecasts!V20</f>
        <v>1.1063826555652321</v>
      </c>
      <c r="K17" s="360">
        <f>Forecasts!W20</f>
        <v>0.97063012477877364</v>
      </c>
      <c r="L17" s="364">
        <f>Forecasts!C56</f>
        <v>0.94420345574130005</v>
      </c>
      <c r="M17" s="361">
        <f t="shared" si="22"/>
        <v>74082.168709185484</v>
      </c>
      <c r="N17" s="46">
        <f t="shared" si="27"/>
        <v>10176.506267485309</v>
      </c>
      <c r="O17" s="46">
        <f t="shared" si="28"/>
        <v>38560.472154043455</v>
      </c>
      <c r="P17" s="46">
        <f t="shared" si="29"/>
        <v>7898.1777407577147</v>
      </c>
      <c r="Q17" s="340">
        <f t="shared" si="30"/>
        <v>17447.012546899005</v>
      </c>
      <c r="R17" s="343">
        <f t="shared" si="4"/>
        <v>5.3509745584942907</v>
      </c>
      <c r="S17" s="47">
        <f t="shared" si="5"/>
        <v>1.0315540864937965E-4</v>
      </c>
      <c r="T17" s="47">
        <f t="shared" si="6"/>
        <v>4.3674215684455488E-2</v>
      </c>
      <c r="U17" s="47">
        <f t="shared" si="7"/>
        <v>5.3947519295873949</v>
      </c>
      <c r="V17" s="47">
        <f t="shared" si="23"/>
        <v>0.73505172810795105</v>
      </c>
      <c r="W17" s="47">
        <f t="shared" si="23"/>
        <v>1.4170233956923287E-5</v>
      </c>
      <c r="X17" s="47">
        <f t="shared" si="23"/>
        <v>5.9994319467763998E-3</v>
      </c>
      <c r="Y17" s="47">
        <f t="shared" ref="Y17:Y31" si="31">SUM(V17:X17)</f>
        <v>0.74106533028868438</v>
      </c>
      <c r="Z17" s="47">
        <f t="shared" si="24"/>
        <v>2.7852330601956359</v>
      </c>
      <c r="AA17" s="47">
        <f t="shared" si="24"/>
        <v>5.3693369566139311E-5</v>
      </c>
      <c r="AB17" s="47">
        <f t="shared" si="24"/>
        <v>2.2732843909594156E-2</v>
      </c>
      <c r="AC17" s="47">
        <f t="shared" ref="AC17:AC31" si="32">SUM(Z17:AB17)</f>
        <v>2.8080195974747961</v>
      </c>
      <c r="AD17" s="47">
        <f t="shared" si="25"/>
        <v>0.5704874585295483</v>
      </c>
      <c r="AE17" s="47">
        <f t="shared" si="25"/>
        <v>1.0997784846602046E-5</v>
      </c>
      <c r="AF17" s="47">
        <f t="shared" si="25"/>
        <v>4.6562718691204805E-3</v>
      </c>
      <c r="AG17" s="47">
        <f t="shared" si="13"/>
        <v>0.57515472818351532</v>
      </c>
      <c r="AH17" s="47">
        <f t="shared" si="26"/>
        <v>1.2602023116611554</v>
      </c>
      <c r="AI17" s="47">
        <f t="shared" si="26"/>
        <v>2.4294020279715009E-5</v>
      </c>
      <c r="AJ17" s="47">
        <f t="shared" si="26"/>
        <v>1.0285667958964455E-2</v>
      </c>
      <c r="AK17" s="344">
        <f t="shared" si="15"/>
        <v>1.2705122736403995</v>
      </c>
      <c r="AL17" s="384"/>
      <c r="AM17" s="364">
        <f>Forecasts!D56</f>
        <v>0.9000433126207168</v>
      </c>
      <c r="AN17" s="343">
        <f t="shared" si="0"/>
        <v>4.4546076197444027</v>
      </c>
      <c r="AO17" s="47">
        <f t="shared" si="16"/>
        <v>8.5875360528097448E-5</v>
      </c>
      <c r="AP17" s="47">
        <f t="shared" si="17"/>
        <v>3.6358142212711386E-2</v>
      </c>
      <c r="AQ17" s="47">
        <f t="shared" si="1"/>
        <v>4.4910516373176428</v>
      </c>
      <c r="AR17" s="47">
        <f>AR$8*$AM17*(ShrAirByVis*$H17)*Forecasts!$N108*(1-Forecasts!$B108)+V$8*$AM17*(ShrAirByVis*$H17)*(1-Forecasts!$N108)*(1-Forecasts!$F108-Forecasts!$J108)+V$8*$AM17*(1-ShrAirByVis)*$C17*Forecasts!$O108*(1-Forecasts!$B108)+V$8*$AM17*(1-ShrAirByVis)*$C17*(1-Forecasts!$O108)*(1-Forecasts!$F108-Forecasts!$J108)</f>
        <v>0.60821912544000856</v>
      </c>
      <c r="AS17" s="47">
        <f>AS$8*$AM17*(ShrAirByVis*$H17)*Forecasts!$N108*(1-Forecasts!$B108)+W$8*$AM17*(ShrAirByVis*$H17)*(1-Forecasts!$N108)*(1-Forecasts!$F108-Forecasts!$J108)+W$8*$AM17*(1-ShrAirByVis)*$C17*Forecasts!$O108*(1-Forecasts!$B108)+W$8*$AM17*(1-ShrAirByVis)*$C17*(1-Forecasts!$O108)*(1-Forecasts!$F108-Forecasts!$J108)</f>
        <v>1.1725171134206827E-5</v>
      </c>
      <c r="AT17" s="47">
        <f>AT$8*$AM17*(ShrAirByVis*$H17)*Forecasts!$N108*(1-Forecasts!$B108)+X$8*$AM17*(ShrAirByVis*$H17)*(1-Forecasts!$N108)*(1-Forecasts!$F108-Forecasts!$J108)+X$8*$AM17*(1-ShrAirByVis)*$C17*Forecasts!$O108*(1-Forecasts!$B108)+X$8*$AM17*(1-ShrAirByVis)*$C17*(1-Forecasts!$O108)*(1-Forecasts!$F108-Forecasts!$J108)</f>
        <v>4.9642346412785993E-3</v>
      </c>
      <c r="AU17" s="47">
        <f t="shared" ref="AU17:AU31" si="33">SUM(AR17:AT17)</f>
        <v>0.61319508525242139</v>
      </c>
      <c r="AV17" s="47">
        <f>AV$8*$AM17*(ShrAirByVis*$I17)*Forecasts!$N108*(1-Forecasts!$B108)+Z$8*$AM17*(ShrAirByVis*$H17)*(1-Forecasts!$N108)*(1-Forecasts!$F108-Forecasts!$J108)+Z$8*$AM17*(1-ShrAirByVis)*$C17*Forecasts!$O108*(1-Forecasts!$B108)+Z$8*$AM17*(1-ShrAirByVis)*$D17*(1-Forecasts!$O108)*(1-Forecasts!$F108-Forecasts!$J108)</f>
        <v>2.3189873673484436</v>
      </c>
      <c r="AW17" s="47">
        <f>AW$8*$AM17*(ShrAirByVis*$I17)*Forecasts!$N108*(1-Forecasts!$B108)+AA$8*$AM17*(ShrAirByVis*$H17)*(1-Forecasts!$N108)*(1-Forecasts!$F108-Forecasts!$J108)+AA$8*$AM17*(1-ShrAirByVis)*$C17*Forecasts!$O108*(1-Forecasts!$B108)+AA$8*$AM17*(1-ShrAirByVis)*$D17*(1-Forecasts!$O108)*(1-Forecasts!$F108-Forecasts!$J108)</f>
        <v>4.4705144252992065E-5</v>
      </c>
      <c r="AX17" s="47">
        <f>AX$8*$AM17*(ShrAirByVis*$I17)*Forecasts!$N108*(1-Forecasts!$B108)+AB$8*$AM17*(ShrAirByVis*$H17)*(1-Forecasts!$N108)*(1-Forecasts!$F108-Forecasts!$J108)+AB$8*$AM17*(1-ShrAirByVis)*$C17*Forecasts!$O108*(1-Forecasts!$B108)+AB$8*$AM17*(1-ShrAirByVis)*$D17*(1-Forecasts!$O108)*(1-Forecasts!$F108-Forecasts!$J108)</f>
        <v>1.8927384786445834E-2</v>
      </c>
      <c r="AY17" s="47">
        <f t="shared" ref="AY17:AY31" si="34">SUM(AV17:AX17)</f>
        <v>2.3379594572791427</v>
      </c>
      <c r="AZ17" s="47">
        <f>AZ$8*$AM17*(ShrAirByVis*$J17)*Forecasts!$N108*(1-Forecasts!$B108)+AD$8*$AM17*(ShrAirByVis*$H17)*(1-Forecasts!$N108)*(1-Forecasts!$F108-Forecasts!$J108)+AD$8*$AM17*(1-ShrAirByVis)*$C17*Forecasts!$O108*(1-Forecasts!$B108)+AD$8*$AM17*(1-ShrAirByVis)*$E17*(1-Forecasts!$O108)*(1-Forecasts!$F108-Forecasts!$J108)</f>
        <v>0.47300944537834838</v>
      </c>
      <c r="BA17" s="47">
        <f>BA$8*$AM17*(ShrAirByVis*$J17)*Forecasts!$N108*(1-Forecasts!$B108)+AE$8*$AM17*(ShrAirByVis*$H17)*(1-Forecasts!$N108)*(1-Forecasts!$F108-Forecasts!$J108)+AE$8*$AM17*(1-ShrAirByVis)*$C17*Forecasts!$O108*(1-Forecasts!$B108)+AE$8*$AM17*(1-ShrAirByVis)*$E17*(1-Forecasts!$O108)*(1-Forecasts!$F108-Forecasts!$J108)</f>
        <v>9.1186160763115138E-6</v>
      </c>
      <c r="BB17" s="47">
        <f>BB$8*$AM17*(ShrAirByVis*$J17)*Forecasts!$N108*(1-Forecasts!$B108)+AF$8*$AM17*(ShrAirByVis*$H17)*(1-Forecasts!$N108)*(1-Forecasts!$F108-Forecasts!$J108)+AF$8*$AM17*(1-ShrAirByVis)*$C17*Forecasts!$O108*(1-Forecasts!$B108)+AF$8*$AM17*(1-ShrAirByVis)*$E17*(1-Forecasts!$O108)*(1-Forecasts!$F108-Forecasts!$J108)</f>
        <v>3.8606643168289877E-3</v>
      </c>
      <c r="BC17" s="47">
        <f t="shared" si="20"/>
        <v>0.47687922831125368</v>
      </c>
      <c r="BD17" s="47">
        <f>BD$8*$AM17*(ShrAirByVis*$K17)*Forecasts!$N108*(1-Forecasts!$B108)+AH$8*$AM17*(ShrAirByVis*$H17)*(1-Forecasts!$N108)*(1-Forecasts!$F108-Forecasts!$J108)+AH$8*$AM17*(1-ShrAirByVis)*$C17*Forecasts!$O108*(1-Forecasts!$B108)+AH$8*$AM17*(1-ShrAirByVis)*$F17*(1-Forecasts!$O108)*(1-Forecasts!$F108-Forecasts!$J108)</f>
        <v>1.0543916815776022</v>
      </c>
      <c r="BE17" s="47">
        <f>BE$8*$AM17*(ShrAirByVis*$K17)*Forecasts!$N108*(1-Forecasts!$B108)+AI$8*$AM17*(ShrAirByVis*$H17)*(1-Forecasts!$N108)*(1-Forecasts!$F108-Forecasts!$J108)+AI$8*$AM17*(1-ShrAirByVis)*$C17*Forecasts!$O108*(1-Forecasts!$B108)+AI$8*$AM17*(1-ShrAirByVis)*$F17*(1-Forecasts!$O108)*(1-Forecasts!$F108-Forecasts!$J108)</f>
        <v>2.0326429064587036E-5</v>
      </c>
      <c r="BF17" s="47">
        <f>BF$8*$AM17*(ShrAirByVis*$K17)*Forecasts!$N108*(1-Forecasts!$B108)+AJ$8*$AM17*(ShrAirByVis*$H17)*(1-Forecasts!$N108)*(1-Forecasts!$F108-Forecasts!$J108)+AJ$8*$AM17*(1-ShrAirByVis)*$C17*Forecasts!$O108*(1-Forecasts!$B108)+AJ$8*$AM17*(1-ShrAirByVis)*$F17*(1-Forecasts!$O108)*(1-Forecasts!$F108-Forecasts!$J108)</f>
        <v>8.605858468157963E-3</v>
      </c>
      <c r="BG17" s="344">
        <f t="shared" si="21"/>
        <v>1.0630178664748247</v>
      </c>
    </row>
    <row r="18" spans="1:59">
      <c r="A18" s="348">
        <f t="shared" si="3"/>
        <v>2032</v>
      </c>
      <c r="B18" s="355">
        <f>Forecasts!G21</f>
        <v>1.1596945714025966</v>
      </c>
      <c r="C18" s="45">
        <f>Forecasts!H21</f>
        <v>1.19719702705072</v>
      </c>
      <c r="D18" s="45">
        <f>Forecasts!I21</f>
        <v>1.143392254270327</v>
      </c>
      <c r="E18" s="45">
        <f>Forecasts!J21</f>
        <v>1.2078814277672221</v>
      </c>
      <c r="F18" s="356">
        <f>Forecasts!K21</f>
        <v>1.2105864506870645</v>
      </c>
      <c r="G18" s="350">
        <f>Forecasts!S21</f>
        <v>1.171632533493816</v>
      </c>
      <c r="H18" s="45">
        <f>Forecasts!T21</f>
        <v>1.1880883025553952</v>
      </c>
      <c r="I18" s="45">
        <f>Forecasts!U21</f>
        <v>1.2971336261453839</v>
      </c>
      <c r="J18" s="45">
        <f>Forecasts!V21</f>
        <v>1.115942557166403</v>
      </c>
      <c r="K18" s="360">
        <f>Forecasts!W21</f>
        <v>0.98229652413584412</v>
      </c>
      <c r="L18" s="364">
        <f>Forecasts!C57</f>
        <v>0.93706427085438126</v>
      </c>
      <c r="M18" s="361">
        <f t="shared" si="22"/>
        <v>74356.079216068523</v>
      </c>
      <c r="N18" s="46">
        <f t="shared" si="27"/>
        <v>10215.995007108255</v>
      </c>
      <c r="O18" s="46">
        <f t="shared" si="28"/>
        <v>38664.134493949357</v>
      </c>
      <c r="P18" s="46">
        <f t="shared" si="29"/>
        <v>7922.9837706735598</v>
      </c>
      <c r="Q18" s="340">
        <f t="shared" si="30"/>
        <v>17552.965944337349</v>
      </c>
      <c r="R18" s="343">
        <f t="shared" si="4"/>
        <v>5.3707591865522115</v>
      </c>
      <c r="S18" s="47">
        <f t="shared" si="5"/>
        <v>1.0353681419896334E-4</v>
      </c>
      <c r="T18" s="47">
        <f t="shared" si="6"/>
        <v>4.3835696196760816E-2</v>
      </c>
      <c r="U18" s="47">
        <f t="shared" si="7"/>
        <v>5.4146984195631713</v>
      </c>
      <c r="V18" s="47">
        <f t="shared" si="23"/>
        <v>0.73790401017192353</v>
      </c>
      <c r="W18" s="47">
        <f t="shared" si="23"/>
        <v>1.4225219888677589E-5</v>
      </c>
      <c r="X18" s="47">
        <f t="shared" si="23"/>
        <v>6.0227120391582803E-3</v>
      </c>
      <c r="Y18" s="47">
        <f t="shared" si="31"/>
        <v>0.7439409474309705</v>
      </c>
      <c r="Z18" s="47">
        <f t="shared" si="24"/>
        <v>2.7927206183108413</v>
      </c>
      <c r="AA18" s="47">
        <f t="shared" si="24"/>
        <v>5.3837713761522169E-5</v>
      </c>
      <c r="AB18" s="47">
        <f t="shared" si="24"/>
        <v>2.2793956745115727E-2</v>
      </c>
      <c r="AC18" s="47">
        <f t="shared" si="32"/>
        <v>2.8155684127697183</v>
      </c>
      <c r="AD18" s="47">
        <f t="shared" si="25"/>
        <v>0.57227920460407256</v>
      </c>
      <c r="AE18" s="47">
        <f t="shared" si="25"/>
        <v>1.1032325900104174E-5</v>
      </c>
      <c r="AF18" s="47">
        <f t="shared" si="25"/>
        <v>4.6708959536970619E-3</v>
      </c>
      <c r="AG18" s="47">
        <f t="shared" si="13"/>
        <v>0.57696113288366968</v>
      </c>
      <c r="AH18" s="47">
        <f t="shared" si="26"/>
        <v>1.2678553534653747</v>
      </c>
      <c r="AI18" s="47">
        <f t="shared" si="26"/>
        <v>2.4441554648659417E-5</v>
      </c>
      <c r="AJ18" s="47">
        <f t="shared" si="26"/>
        <v>1.0348131458789744E-2</v>
      </c>
      <c r="AK18" s="344">
        <f t="shared" si="15"/>
        <v>1.278227926478813</v>
      </c>
      <c r="AL18" s="384"/>
      <c r="AM18" s="364">
        <f>Forecasts!D57</f>
        <v>0.88884387973604284</v>
      </c>
      <c r="AN18" s="343">
        <f t="shared" si="0"/>
        <v>4.2318968643095545</v>
      </c>
      <c r="AO18" s="47">
        <f t="shared" si="16"/>
        <v>8.1581970840601247E-5</v>
      </c>
      <c r="AP18" s="47">
        <f t="shared" si="17"/>
        <v>3.4540395284225402E-2</v>
      </c>
      <c r="AQ18" s="47">
        <f t="shared" si="1"/>
        <v>4.2665188415646202</v>
      </c>
      <c r="AR18" s="47">
        <f>AR$8*$AM18*(ShrAirByVis*$H18)*Forecasts!$N109*(1-Forecasts!$B109)+V$8*$AM18*(ShrAirByVis*$H18)*(1-Forecasts!$N109)*(1-Forecasts!$F109-Forecasts!$J109)+V$8*$AM18*(1-ShrAirByVis)*$C18*Forecasts!$O109*(1-Forecasts!$B109)+V$8*$AM18*(1-ShrAirByVis)*$C18*(1-Forecasts!$O109)*(1-Forecasts!$F109-Forecasts!$J109)</f>
        <v>0.57806693165066947</v>
      </c>
      <c r="AS18" s="47">
        <f>AS$8*$AM18*(ShrAirByVis*$H18)*Forecasts!$N109*(1-Forecasts!$B109)+W$8*$AM18*(ShrAirByVis*$H18)*(1-Forecasts!$N109)*(1-Forecasts!$F109-Forecasts!$J109)+W$8*$AM18*(1-ShrAirByVis)*$C18*Forecasts!$O109*(1-Forecasts!$B109)+W$8*$AM18*(1-ShrAirByVis)*$C18*(1-Forecasts!$O109)*(1-Forecasts!$F109-Forecasts!$J109)</f>
        <v>1.1143900967807496E-5</v>
      </c>
      <c r="AT18" s="47">
        <f>AT$8*$AM18*(ShrAirByVis*$H18)*Forecasts!$N109*(1-Forecasts!$B109)+X$8*$AM18*(ShrAirByVis*$H18)*(1-Forecasts!$N109)*(1-Forecasts!$F109-Forecasts!$J109)+X$8*$AM18*(1-ShrAirByVis)*$C18*Forecasts!$O109*(1-Forecasts!$B109)+X$8*$AM18*(1-ShrAirByVis)*$C18*(1-Forecasts!$O109)*(1-Forecasts!$F109-Forecasts!$J109)</f>
        <v>4.7181349073853324E-3</v>
      </c>
      <c r="AU18" s="47">
        <f t="shared" si="33"/>
        <v>0.58279621045902263</v>
      </c>
      <c r="AV18" s="47">
        <f>AV$8*$AM18*(ShrAirByVis*$I18)*Forecasts!$N109*(1-Forecasts!$B109)+Z$8*$AM18*(ShrAirByVis*$H18)*(1-Forecasts!$N109)*(1-Forecasts!$F109-Forecasts!$J109)+Z$8*$AM18*(1-ShrAirByVis)*$C18*Forecasts!$O109*(1-Forecasts!$B109)+Z$8*$AM18*(1-ShrAirByVis)*$D18*(1-Forecasts!$O109)*(1-Forecasts!$F109-Forecasts!$J109)</f>
        <v>2.2015710053874336</v>
      </c>
      <c r="AW18" s="47">
        <f>AW$8*$AM18*(ShrAirByVis*$I18)*Forecasts!$N109*(1-Forecasts!$B109)+AA$8*$AM18*(ShrAirByVis*$H18)*(1-Forecasts!$N109)*(1-Forecasts!$F109-Forecasts!$J109)+AA$8*$AM18*(1-ShrAirByVis)*$C18*Forecasts!$O109*(1-Forecasts!$B109)+AA$8*$AM18*(1-ShrAirByVis)*$D18*(1-Forecasts!$O109)*(1-Forecasts!$F109-Forecasts!$J109)</f>
        <v>4.2441606523965813E-5</v>
      </c>
      <c r="AX18" s="47">
        <f>AX$8*$AM18*(ShrAirByVis*$I18)*Forecasts!$N109*(1-Forecasts!$B109)+AB$8*$AM18*(ShrAirByVis*$H18)*(1-Forecasts!$N109)*(1-Forecasts!$F109-Forecasts!$J109)+AB$8*$AM18*(1-ShrAirByVis)*$C18*Forecasts!$O109*(1-Forecasts!$B109)+AB$8*$AM18*(1-ShrAirByVis)*$D18*(1-Forecasts!$O109)*(1-Forecasts!$F109-Forecasts!$J109)</f>
        <v>1.7969042065673818E-2</v>
      </c>
      <c r="AY18" s="47">
        <f t="shared" si="34"/>
        <v>2.2195824890596314</v>
      </c>
      <c r="AZ18" s="47">
        <f>AZ$8*$AM18*(ShrAirByVis*$J18)*Forecasts!$N109*(1-Forecasts!$B109)+AD$8*$AM18*(ShrAirByVis*$H18)*(1-Forecasts!$N109)*(1-Forecasts!$F109-Forecasts!$J109)+AD$8*$AM18*(1-ShrAirByVis)*$C18*Forecasts!$O109*(1-Forecasts!$B109)+AD$8*$AM18*(1-ShrAirByVis)*$E18*(1-Forecasts!$O109)*(1-Forecasts!$F109-Forecasts!$J109)</f>
        <v>0.44909116311582881</v>
      </c>
      <c r="BA18" s="47">
        <f>BA$8*$AM18*(ShrAirByVis*$J18)*Forecasts!$N109*(1-Forecasts!$B109)+AE$8*$AM18*(ShrAirByVis*$H18)*(1-Forecasts!$N109)*(1-Forecasts!$F109-Forecasts!$J109)+AE$8*$AM18*(1-ShrAirByVis)*$C18*Forecasts!$O109*(1-Forecasts!$B109)+AE$8*$AM18*(1-ShrAirByVis)*$E18*(1-Forecasts!$O109)*(1-Forecasts!$F109-Forecasts!$J109)</f>
        <v>8.6575224654168861E-6</v>
      </c>
      <c r="BB18" s="47">
        <f>BB$8*$AM18*(ShrAirByVis*$J18)*Forecasts!$N109*(1-Forecasts!$B109)+AF$8*$AM18*(ShrAirByVis*$H18)*(1-Forecasts!$N109)*(1-Forecasts!$F109-Forecasts!$J109)+AF$8*$AM18*(1-ShrAirByVis)*$C18*Forecasts!$O109*(1-Forecasts!$B109)+AF$8*$AM18*(1-ShrAirByVis)*$E18*(1-Forecasts!$O109)*(1-Forecasts!$F109-Forecasts!$J109)</f>
        <v>3.6654452577742744E-3</v>
      </c>
      <c r="BC18" s="47">
        <f t="shared" si="20"/>
        <v>0.45276526589606853</v>
      </c>
      <c r="BD18" s="47">
        <f>BD$8*$AM18*(ShrAirByVis*$K18)*Forecasts!$N109*(1-Forecasts!$B109)+AH$8*$AM18*(ShrAirByVis*$H18)*(1-Forecasts!$N109)*(1-Forecasts!$F109-Forecasts!$J109)+AH$8*$AM18*(1-ShrAirByVis)*$C18*Forecasts!$O109*(1-Forecasts!$B109)+AH$8*$AM18*(1-ShrAirByVis)*$F18*(1-Forecasts!$O109)*(1-Forecasts!$F109-Forecasts!$J109)</f>
        <v>1.0031677641556218</v>
      </c>
      <c r="BE18" s="47">
        <f>BE$8*$AM18*(ShrAirByVis*$K18)*Forecasts!$N109*(1-Forecasts!$B109)+AI$8*$AM18*(ShrAirByVis*$H18)*(1-Forecasts!$N109)*(1-Forecasts!$F109-Forecasts!$J109)+AI$8*$AM18*(1-ShrAirByVis)*$C18*Forecasts!$O109*(1-Forecasts!$B109)+AI$8*$AM18*(1-ShrAirByVis)*$F18*(1-Forecasts!$O109)*(1-Forecasts!$F109-Forecasts!$J109)</f>
        <v>1.9338940883411056E-5</v>
      </c>
      <c r="BF18" s="47">
        <f>BF$8*$AM18*(ShrAirByVis*$K18)*Forecasts!$N109*(1-Forecasts!$B109)+AJ$8*$AM18*(ShrAirByVis*$H18)*(1-Forecasts!$N109)*(1-Forecasts!$F109-Forecasts!$J109)+AJ$8*$AM18*(1-ShrAirByVis)*$C18*Forecasts!$O109*(1-Forecasts!$B109)+AJ$8*$AM18*(1-ShrAirByVis)*$F18*(1-Forecasts!$O109)*(1-Forecasts!$F109-Forecasts!$J109)</f>
        <v>8.187773053391979E-3</v>
      </c>
      <c r="BG18" s="344">
        <f t="shared" si="21"/>
        <v>1.0113748761498971</v>
      </c>
    </row>
    <row r="19" spans="1:59">
      <c r="A19" s="348">
        <f t="shared" si="3"/>
        <v>2033</v>
      </c>
      <c r="B19" s="355">
        <f>Forecasts!G22</f>
        <v>1.1763068937239309</v>
      </c>
      <c r="C19" s="45">
        <f>Forecasts!H22</f>
        <v>1.213552230605661</v>
      </c>
      <c r="D19" s="45">
        <f>Forecasts!I22</f>
        <v>1.1593972057339441</v>
      </c>
      <c r="E19" s="45">
        <f>Forecasts!J22</f>
        <v>1.2261106782481193</v>
      </c>
      <c r="F19" s="356">
        <f>Forecasts!K22</f>
        <v>1.2308849888073681</v>
      </c>
      <c r="G19" s="350">
        <f>Forecasts!S22</f>
        <v>1.1831253159321022</v>
      </c>
      <c r="H19" s="45">
        <f>Forecasts!T22</f>
        <v>1.2006062559214157</v>
      </c>
      <c r="I19" s="45">
        <f>Forecasts!U22</f>
        <v>1.3085968011578744</v>
      </c>
      <c r="J19" s="45">
        <f>Forecasts!V22</f>
        <v>1.125583041604604</v>
      </c>
      <c r="K19" s="360">
        <f>Forecasts!W22</f>
        <v>0.99410136156992412</v>
      </c>
      <c r="L19" s="364">
        <f>Forecasts!C58</f>
        <v>0.92909382202218938</v>
      </c>
      <c r="M19" s="361">
        <f t="shared" si="22"/>
        <v>74560.399905572995</v>
      </c>
      <c r="N19" s="46">
        <f t="shared" si="27"/>
        <v>10245.883289233996</v>
      </c>
      <c r="O19" s="46">
        <f t="shared" si="28"/>
        <v>38731.330248918814</v>
      </c>
      <c r="P19" s="46">
        <f t="shared" si="29"/>
        <v>7940.3644272254123</v>
      </c>
      <c r="Q19" s="340">
        <f t="shared" si="30"/>
        <v>17642.821940194779</v>
      </c>
      <c r="R19" s="343">
        <f t="shared" si="4"/>
        <v>5.3855173237714986</v>
      </c>
      <c r="S19" s="47">
        <f t="shared" si="5"/>
        <v>1.0382131969588119E-4</v>
      </c>
      <c r="T19" s="47">
        <f t="shared" si="6"/>
        <v>4.3956150902902655E-2</v>
      </c>
      <c r="U19" s="47">
        <f t="shared" si="7"/>
        <v>5.4295772959940969</v>
      </c>
      <c r="V19" s="47">
        <f t="shared" si="23"/>
        <v>0.74006284866219185</v>
      </c>
      <c r="W19" s="47">
        <f t="shared" si="23"/>
        <v>1.4266837703196653E-5</v>
      </c>
      <c r="X19" s="47">
        <f t="shared" si="23"/>
        <v>6.0403323019386761E-3</v>
      </c>
      <c r="Y19" s="47">
        <f t="shared" si="31"/>
        <v>0.74611744780183376</v>
      </c>
      <c r="Z19" s="47">
        <f t="shared" si="24"/>
        <v>2.7975741853910909</v>
      </c>
      <c r="AA19" s="47">
        <f t="shared" si="24"/>
        <v>5.3931280211913069E-5</v>
      </c>
      <c r="AB19" s="47">
        <f t="shared" si="24"/>
        <v>2.2833571161739199E-2</v>
      </c>
      <c r="AC19" s="47">
        <f t="shared" si="32"/>
        <v>2.820461687833042</v>
      </c>
      <c r="AD19" s="47">
        <f t="shared" si="25"/>
        <v>0.57353461400473393</v>
      </c>
      <c r="AE19" s="47">
        <f t="shared" si="25"/>
        <v>1.1056527523253719E-5</v>
      </c>
      <c r="AF19" s="47">
        <f t="shared" si="25"/>
        <v>4.6811425023093583E-3</v>
      </c>
      <c r="AG19" s="47">
        <f t="shared" si="13"/>
        <v>0.57822681303456647</v>
      </c>
      <c r="AH19" s="47">
        <f t="shared" si="26"/>
        <v>1.2743456757134819</v>
      </c>
      <c r="AI19" s="47">
        <f t="shared" si="26"/>
        <v>2.456667425751774E-5</v>
      </c>
      <c r="AJ19" s="47">
        <f t="shared" si="26"/>
        <v>1.0401104936915418E-2</v>
      </c>
      <c r="AK19" s="344">
        <f t="shared" si="15"/>
        <v>1.2847713473246549</v>
      </c>
      <c r="AL19" s="384"/>
      <c r="AM19" s="364">
        <f>Forecasts!D58</f>
        <v>0.87778380380806131</v>
      </c>
      <c r="AN19" s="343">
        <f t="shared" si="0"/>
        <v>3.9409387371238429</v>
      </c>
      <c r="AO19" s="47">
        <f t="shared" si="16"/>
        <v>7.5972916979177944E-5</v>
      </c>
      <c r="AP19" s="47">
        <f t="shared" si="17"/>
        <v>3.2165618902289153E-2</v>
      </c>
      <c r="AQ19" s="47">
        <f t="shared" si="1"/>
        <v>3.9731803289431111</v>
      </c>
      <c r="AR19" s="47">
        <f>AR$8*$AM19*(ShrAirByVis*$H19)*Forecasts!$N110*(1-Forecasts!$B110)+V$8*$AM19*(ShrAirByVis*$H19)*(1-Forecasts!$N110)*(1-Forecasts!$F110-Forecasts!$J110)+V$8*$AM19*(1-ShrAirByVis)*$C19*Forecasts!$O110*(1-Forecasts!$B110)+V$8*$AM19*(1-ShrAirByVis)*$C19*(1-Forecasts!$O110)*(1-Forecasts!$F110-Forecasts!$J110)</f>
        <v>0.53856003799060159</v>
      </c>
      <c r="AS19" s="47">
        <f>AS$8*$AM19*(ShrAirByVis*$H19)*Forecasts!$N110*(1-Forecasts!$B110)+W$8*$AM19*(ShrAirByVis*$H19)*(1-Forecasts!$N110)*(1-Forecasts!$F110-Forecasts!$J110)+W$8*$AM19*(1-ShrAirByVis)*$C19*Forecasts!$O110*(1-Forecasts!$B110)+W$8*$AM19*(1-ShrAirByVis)*$C19*(1-Forecasts!$O110)*(1-Forecasts!$F110-Forecasts!$J110)</f>
        <v>1.0382292084150491E-5</v>
      </c>
      <c r="AT19" s="47">
        <f>AT$8*$AM19*(ShrAirByVis*$H19)*Forecasts!$N110*(1-Forecasts!$B110)+X$8*$AM19*(ShrAirByVis*$H19)*(1-Forecasts!$N110)*(1-Forecasts!$F110-Forecasts!$J110)+X$8*$AM19*(1-ShrAirByVis)*$C19*Forecasts!$O110*(1-Forecasts!$B110)+X$8*$AM19*(1-ShrAirByVis)*$C19*(1-Forecasts!$O110)*(1-Forecasts!$F110-Forecasts!$J110)</f>
        <v>4.3956828800263813E-3</v>
      </c>
      <c r="AU19" s="47">
        <f t="shared" si="33"/>
        <v>0.5429661031627121</v>
      </c>
      <c r="AV19" s="47">
        <f>AV$8*$AM19*(ShrAirByVis*$I19)*Forecasts!$N110*(1-Forecasts!$B110)+Z$8*$AM19*(ShrAirByVis*$H19)*(1-Forecasts!$N110)*(1-Forecasts!$F110-Forecasts!$J110)+Z$8*$AM19*(1-ShrAirByVis)*$C19*Forecasts!$O110*(1-Forecasts!$B110)+Z$8*$AM19*(1-ShrAirByVis)*$D19*(1-Forecasts!$O110)*(1-Forecasts!$F110-Forecasts!$J110)</f>
        <v>2.0488307434359965</v>
      </c>
      <c r="AW19" s="47">
        <f>AW$8*$AM19*(ShrAirByVis*$I19)*Forecasts!$N110*(1-Forecasts!$B110)+AA$8*$AM19*(ShrAirByVis*$H19)*(1-Forecasts!$N110)*(1-Forecasts!$F110-Forecasts!$J110)+AA$8*$AM19*(1-ShrAirByVis)*$C19*Forecasts!$O110*(1-Forecasts!$B110)+AA$8*$AM19*(1-ShrAirByVis)*$D19*(1-Forecasts!$O110)*(1-Forecasts!$F110-Forecasts!$J110)</f>
        <v>3.9497099132540757E-5</v>
      </c>
      <c r="AX19" s="47">
        <f>AX$8*$AM19*(ShrAirByVis*$I19)*Forecasts!$N110*(1-Forecasts!$B110)+AB$8*$AM19*(ShrAirByVis*$H19)*(1-Forecasts!$N110)*(1-Forecasts!$F110-Forecasts!$J110)+AB$8*$AM19*(1-ShrAirByVis)*$C19*Forecasts!$O110*(1-Forecasts!$B110)+AB$8*$AM19*(1-ShrAirByVis)*$D19*(1-Forecasts!$O110)*(1-Forecasts!$F110-Forecasts!$J110)</f>
        <v>1.6722388568961171E-2</v>
      </c>
      <c r="AY19" s="47">
        <f t="shared" si="34"/>
        <v>2.0655926291040902</v>
      </c>
      <c r="AZ19" s="47">
        <f>AZ$8*$AM19*(ShrAirByVis*$J19)*Forecasts!$N110*(1-Forecasts!$B110)+AD$8*$AM19*(ShrAirByVis*$H19)*(1-Forecasts!$N110)*(1-Forecasts!$F110-Forecasts!$J110)+AD$8*$AM19*(1-ShrAirByVis)*$C19*Forecasts!$O110*(1-Forecasts!$B110)+AD$8*$AM19*(1-ShrAirByVis)*$E19*(1-Forecasts!$O110)*(1-Forecasts!$F110-Forecasts!$J110)</f>
        <v>0.41796381209701855</v>
      </c>
      <c r="BA19" s="47">
        <f>BA$8*$AM19*(ShrAirByVis*$J19)*Forecasts!$N110*(1-Forecasts!$B110)+AE$8*$AM19*(ShrAirByVis*$H19)*(1-Forecasts!$N110)*(1-Forecasts!$F110-Forecasts!$J110)+AE$8*$AM19*(1-ShrAirByVis)*$C19*Forecasts!$O110*(1-Forecasts!$B110)+AE$8*$AM19*(1-ShrAirByVis)*$E19*(1-Forecasts!$O110)*(1-Forecasts!$F110-Forecasts!$J110)</f>
        <v>8.0574533416680358E-6</v>
      </c>
      <c r="BB19" s="47">
        <f>BB$8*$AM19*(ShrAirByVis*$J19)*Forecasts!$N110*(1-Forecasts!$B110)+AF$8*$AM19*(ShrAirByVis*$H19)*(1-Forecasts!$N110)*(1-Forecasts!$F110-Forecasts!$J110)+AF$8*$AM19*(1-ShrAirByVis)*$C19*Forecasts!$O110*(1-Forecasts!$B110)+AF$8*$AM19*(1-ShrAirByVis)*$E19*(1-Forecasts!$O110)*(1-Forecasts!$F110-Forecasts!$J110)</f>
        <v>3.4113863705154618E-3</v>
      </c>
      <c r="BC19" s="47">
        <f t="shared" si="20"/>
        <v>0.42138325592087567</v>
      </c>
      <c r="BD19" s="47">
        <f>BD$8*$AM19*(ShrAirByVis*$K19)*Forecasts!$N110*(1-Forecasts!$B110)+AH$8*$AM19*(ShrAirByVis*$H19)*(1-Forecasts!$N110)*(1-Forecasts!$F110-Forecasts!$J110)+AH$8*$AM19*(1-ShrAirByVis)*$C19*Forecasts!$O110*(1-Forecasts!$B110)+AH$8*$AM19*(1-ShrAirByVis)*$F19*(1-Forecasts!$O110)*(1-Forecasts!$F110-Forecasts!$J110)</f>
        <v>0.93558414360022635</v>
      </c>
      <c r="BE19" s="47">
        <f>BE$8*$AM19*(ShrAirByVis*$K19)*Forecasts!$N110*(1-Forecasts!$B110)+AI$8*$AM19*(ShrAirByVis*$H19)*(1-Forecasts!$N110)*(1-Forecasts!$F110-Forecasts!$J110)+AI$8*$AM19*(1-ShrAirByVis)*$C19*Forecasts!$O110*(1-Forecasts!$B110)+AI$8*$AM19*(1-ShrAirByVis)*$F19*(1-Forecasts!$O110)*(1-Forecasts!$F110-Forecasts!$J110)</f>
        <v>1.8036072420818672E-5</v>
      </c>
      <c r="BF19" s="47">
        <f>BF$8*$AM19*(ShrAirByVis*$K19)*Forecasts!$N110*(1-Forecasts!$B110)+AJ$8*$AM19*(ShrAirByVis*$H19)*(1-Forecasts!$N110)*(1-Forecasts!$F110-Forecasts!$J110)+AJ$8*$AM19*(1-ShrAirByVis)*$C19*Forecasts!$O110*(1-Forecasts!$B110)+AJ$8*$AM19*(1-ShrAirByVis)*$F19*(1-Forecasts!$O110)*(1-Forecasts!$F110-Forecasts!$J110)</f>
        <v>7.6361610827861415E-3</v>
      </c>
      <c r="BG19" s="344">
        <f t="shared" si="21"/>
        <v>0.94323834075543322</v>
      </c>
    </row>
    <row r="20" spans="1:59">
      <c r="A20" s="348">
        <f t="shared" si="3"/>
        <v>2034</v>
      </c>
      <c r="B20" s="355">
        <f>Forecasts!G23</f>
        <v>1.1931581479571149</v>
      </c>
      <c r="C20" s="45">
        <f>Forecasts!H23</f>
        <v>1.2301308666260022</v>
      </c>
      <c r="D20" s="45">
        <f>Forecasts!I23</f>
        <v>1.1756261909623489</v>
      </c>
      <c r="E20" s="45">
        <f>Forecasts!J23</f>
        <v>1.2446150431280429</v>
      </c>
      <c r="F20" s="356">
        <f>Forecasts!K23</f>
        <v>1.251523883165417</v>
      </c>
      <c r="G20" s="350">
        <f>Forecasts!S23</f>
        <v>1.1947308334169138</v>
      </c>
      <c r="H20" s="45">
        <f>Forecasts!T23</f>
        <v>1.2132539202397683</v>
      </c>
      <c r="I20" s="45">
        <f>Forecasts!U23</f>
        <v>1.3201589067696449</v>
      </c>
      <c r="J20" s="45">
        <f>Forecasts!V23</f>
        <v>1.1353047681765494</v>
      </c>
      <c r="K20" s="360">
        <f>Forecasts!W23</f>
        <v>1.0060462562829828</v>
      </c>
      <c r="L20" s="364">
        <f>Forecasts!C59</f>
        <v>0.92068498921760256</v>
      </c>
      <c r="M20" s="361">
        <f t="shared" si="22"/>
        <v>74724.640353968396</v>
      </c>
      <c r="N20" s="46">
        <f t="shared" si="27"/>
        <v>10270.221289756113</v>
      </c>
      <c r="O20" s="46">
        <f t="shared" si="28"/>
        <v>38777.482333512686</v>
      </c>
      <c r="P20" s="46">
        <f t="shared" si="29"/>
        <v>7953.4731174342505</v>
      </c>
      <c r="Q20" s="340">
        <f t="shared" si="30"/>
        <v>17723.463613265354</v>
      </c>
      <c r="R20" s="343">
        <f t="shared" si="4"/>
        <v>5.3973804546186734</v>
      </c>
      <c r="S20" s="47">
        <f t="shared" si="5"/>
        <v>1.0405001562725292E-4</v>
      </c>
      <c r="T20" s="47">
        <f t="shared" si="6"/>
        <v>4.4052976804362029E-2</v>
      </c>
      <c r="U20" s="47">
        <f t="shared" si="7"/>
        <v>5.4415374814386617</v>
      </c>
      <c r="V20" s="47">
        <f t="shared" si="23"/>
        <v>0.74182078885033209</v>
      </c>
      <c r="W20" s="47">
        <f t="shared" si="23"/>
        <v>1.4300727051110092E-5</v>
      </c>
      <c r="X20" s="47">
        <f t="shared" si="23"/>
        <v>6.0546804656419267E-3</v>
      </c>
      <c r="Y20" s="47">
        <f t="shared" si="31"/>
        <v>0.74788977004302515</v>
      </c>
      <c r="Z20" s="47">
        <f t="shared" si="24"/>
        <v>2.8009077626173831</v>
      </c>
      <c r="AA20" s="47">
        <f t="shared" si="24"/>
        <v>5.3995544490743651E-5</v>
      </c>
      <c r="AB20" s="47">
        <f t="shared" si="24"/>
        <v>2.2860779545780339E-2</v>
      </c>
      <c r="AC20" s="47">
        <f t="shared" si="32"/>
        <v>2.8238225377076542</v>
      </c>
      <c r="AD20" s="47">
        <f t="shared" si="25"/>
        <v>0.57448145815123874</v>
      </c>
      <c r="AE20" s="47">
        <f t="shared" si="25"/>
        <v>1.1074780664581952E-5</v>
      </c>
      <c r="AF20" s="47">
        <f t="shared" si="25"/>
        <v>4.6888705666127796E-3</v>
      </c>
      <c r="AG20" s="47">
        <f t="shared" si="13"/>
        <v>0.5791814034985161</v>
      </c>
      <c r="AH20" s="47">
        <f t="shared" si="26"/>
        <v>1.2801704449997189</v>
      </c>
      <c r="AI20" s="47">
        <f t="shared" si="26"/>
        <v>2.4678963420817224E-5</v>
      </c>
      <c r="AJ20" s="47">
        <f t="shared" si="26"/>
        <v>1.0448646226326987E-2</v>
      </c>
      <c r="AK20" s="344">
        <f t="shared" si="15"/>
        <v>1.2906437701894666</v>
      </c>
      <c r="AL20" s="384"/>
      <c r="AM20" s="364">
        <f>Forecasts!D59</f>
        <v>0.86686135078813076</v>
      </c>
      <c r="AN20" s="343">
        <f t="shared" si="0"/>
        <v>3.5600513568597583</v>
      </c>
      <c r="AO20" s="47">
        <f t="shared" si="16"/>
        <v>6.8630218386421182E-5</v>
      </c>
      <c r="AP20" s="47">
        <f t="shared" si="17"/>
        <v>2.9056847328943883E-2</v>
      </c>
      <c r="AQ20" s="47">
        <f t="shared" si="1"/>
        <v>3.5891768344070885</v>
      </c>
      <c r="AR20" s="47">
        <f>AR$8*$AM20*(ShrAirByVis*$H20)*Forecasts!$N111*(1-Forecasts!$B111)+V$8*$AM20*(ShrAirByVis*$H20)*(1-Forecasts!$N111)*(1-Forecasts!$F111-Forecasts!$J111)+V$8*$AM20*(1-ShrAirByVis)*$C20*Forecasts!$O111*(1-Forecasts!$B111)+V$8*$AM20*(1-ShrAirByVis)*$C20*(1-Forecasts!$O111)*(1-Forecasts!$F111-Forecasts!$J111)</f>
        <v>0.48672208109692522</v>
      </c>
      <c r="AS20" s="47">
        <f>AS$8*$AM20*(ShrAirByVis*$H20)*Forecasts!$N111*(1-Forecasts!$B111)+W$8*$AM20*(ShrAirByVis*$H20)*(1-Forecasts!$N111)*(1-Forecasts!$F111-Forecasts!$J111)+W$8*$AM20*(1-ShrAirByVis)*$C20*Forecasts!$O111*(1-Forecasts!$B111)+W$8*$AM20*(1-ShrAirByVis)*$C20*(1-Forecasts!$O111)*(1-Forecasts!$F111-Forecasts!$J111)</f>
        <v>9.3829665279436201E-6</v>
      </c>
      <c r="AT20" s="47">
        <f>AT$8*$AM20*(ShrAirByVis*$H20)*Forecasts!$N111*(1-Forecasts!$B111)+X$8*$AM20*(ShrAirByVis*$H20)*(1-Forecasts!$N111)*(1-Forecasts!$F111-Forecasts!$J111)+X$8*$AM20*(1-ShrAirByVis)*$C20*Forecasts!$O111*(1-Forecasts!$B111)+X$8*$AM20*(1-ShrAirByVis)*$C20*(1-Forecasts!$O111)*(1-Forecasts!$F111-Forecasts!$J111)</f>
        <v>3.9725857254301186E-3</v>
      </c>
      <c r="AU20" s="47">
        <f t="shared" si="33"/>
        <v>0.49070404978888332</v>
      </c>
      <c r="AV20" s="47">
        <f>AV$8*$AM20*(ShrAirByVis*$I20)*Forecasts!$N111*(1-Forecasts!$B111)+Z$8*$AM20*(ShrAirByVis*$H20)*(1-Forecasts!$N111)*(1-Forecasts!$F111-Forecasts!$J111)+Z$8*$AM20*(1-ShrAirByVis)*$C20*Forecasts!$O111*(1-Forecasts!$B111)+Z$8*$AM20*(1-ShrAirByVis)*$D20*(1-Forecasts!$O111)*(1-Forecasts!$F111-Forecasts!$J111)</f>
        <v>1.8495731948333809</v>
      </c>
      <c r="AW20" s="47">
        <f>AW$8*$AM20*(ShrAirByVis*$I20)*Forecasts!$N111*(1-Forecasts!$B111)+AA$8*$AM20*(ShrAirByVis*$H20)*(1-Forecasts!$N111)*(1-Forecasts!$F111-Forecasts!$J111)+AA$8*$AM20*(1-ShrAirByVis)*$C20*Forecasts!$O111*(1-Forecasts!$B111)+AA$8*$AM20*(1-ShrAirByVis)*$D20*(1-Forecasts!$O111)*(1-Forecasts!$F111-Forecasts!$J111)</f>
        <v>3.5655837390799223E-5</v>
      </c>
      <c r="AX20" s="47">
        <f>AX$8*$AM20*(ShrAirByVis*$I20)*Forecasts!$N111*(1-Forecasts!$B111)+AB$8*$AM20*(ShrAirByVis*$H20)*(1-Forecasts!$N111)*(1-Forecasts!$F111-Forecasts!$J111)+AB$8*$AM20*(1-ShrAirByVis)*$C20*Forecasts!$O111*(1-Forecasts!$B111)+AB$8*$AM20*(1-ShrAirByVis)*$D20*(1-Forecasts!$O111)*(1-Forecasts!$F111-Forecasts!$J111)</f>
        <v>1.5096064791993848E-2</v>
      </c>
      <c r="AY20" s="47">
        <f t="shared" si="34"/>
        <v>1.8647049154627655</v>
      </c>
      <c r="AZ20" s="47">
        <f>AZ$8*$AM20*(ShrAirByVis*$J20)*Forecasts!$N111*(1-Forecasts!$B111)+AD$8*$AM20*(ShrAirByVis*$H20)*(1-Forecasts!$N111)*(1-Forecasts!$F111-Forecasts!$J111)+AD$8*$AM20*(1-ShrAirByVis)*$C20*Forecasts!$O111*(1-Forecasts!$B111)+AD$8*$AM20*(1-ShrAirByVis)*$E20*(1-Forecasts!$O111)*(1-Forecasts!$F111-Forecasts!$J111)</f>
        <v>0.37734214519905518</v>
      </c>
      <c r="BA20" s="47">
        <f>BA$8*$AM20*(ShrAirByVis*$J20)*Forecasts!$N111*(1-Forecasts!$B111)+AE$8*$AM20*(ShrAirByVis*$H20)*(1-Forecasts!$N111)*(1-Forecasts!$F111-Forecasts!$J111)+AE$8*$AM20*(1-ShrAirByVis)*$C20*Forecasts!$O111*(1-Forecasts!$B111)+AE$8*$AM20*(1-ShrAirByVis)*$E20*(1-Forecasts!$O111)*(1-Forecasts!$F111-Forecasts!$J111)</f>
        <v>7.2743540009644802E-6</v>
      </c>
      <c r="BB20" s="47">
        <f>BB$8*$AM20*(ShrAirByVis*$J20)*Forecasts!$N111*(1-Forecasts!$B111)+AF$8*$AM20*(ShrAirByVis*$H20)*(1-Forecasts!$N111)*(1-Forecasts!$F111-Forecasts!$J111)+AF$8*$AM20*(1-ShrAirByVis)*$C20*Forecasts!$O111*(1-Forecasts!$B111)+AF$8*$AM20*(1-ShrAirByVis)*$E20*(1-Forecasts!$O111)*(1-Forecasts!$F111-Forecasts!$J111)</f>
        <v>3.0798356553756435E-3</v>
      </c>
      <c r="BC20" s="47">
        <f t="shared" si="20"/>
        <v>0.38042925520843174</v>
      </c>
      <c r="BD20" s="47">
        <f>BD$8*$AM20*(ShrAirByVis*$K20)*Forecasts!$N111*(1-Forecasts!$B111)+AH$8*$AM20*(ShrAirByVis*$H20)*(1-Forecasts!$N111)*(1-Forecasts!$F111-Forecasts!$J111)+AH$8*$AM20*(1-ShrAirByVis)*$C20*Forecasts!$O111*(1-Forecasts!$B111)+AH$8*$AM20*(1-ShrAirByVis)*$F20*(1-Forecasts!$O111)*(1-Forecasts!$F111-Forecasts!$J111)</f>
        <v>0.84641393573039703</v>
      </c>
      <c r="BE20" s="47">
        <f>BE$8*$AM20*(ShrAirByVis*$K20)*Forecasts!$N111*(1-Forecasts!$B111)+AI$8*$AM20*(ShrAirByVis*$H20)*(1-Forecasts!$N111)*(1-Forecasts!$F111-Forecasts!$J111)+AI$8*$AM20*(1-ShrAirByVis)*$C20*Forecasts!$O111*(1-Forecasts!$B111)+AI$8*$AM20*(1-ShrAirByVis)*$F20*(1-Forecasts!$O111)*(1-Forecasts!$F111-Forecasts!$J111)</f>
        <v>1.6317060466713864E-5</v>
      </c>
      <c r="BF20" s="47">
        <f>BF$8*$AM20*(ShrAirByVis*$K20)*Forecasts!$N111*(1-Forecasts!$B111)+AJ$8*$AM20*(ShrAirByVis*$H20)*(1-Forecasts!$N111)*(1-Forecasts!$F111-Forecasts!$J111)+AJ$8*$AM20*(1-ShrAirByVis)*$C20*Forecasts!$O111*(1-Forecasts!$B111)+AJ$8*$AM20*(1-ShrAirByVis)*$F20*(1-Forecasts!$O111)*(1-Forecasts!$F111-Forecasts!$J111)</f>
        <v>6.908361156144272E-3</v>
      </c>
      <c r="BG20" s="344">
        <f t="shared" si="21"/>
        <v>0.85333861394700794</v>
      </c>
    </row>
    <row r="21" spans="1:59">
      <c r="A21" s="348">
        <f t="shared" si="3"/>
        <v>2035</v>
      </c>
      <c r="B21" s="355">
        <f>Forecasts!G24</f>
        <v>1.2102517862479687</v>
      </c>
      <c r="C21" s="45">
        <f>Forecasts!H24</f>
        <v>1.2469359874777024</v>
      </c>
      <c r="D21" s="45">
        <f>Forecasts!I24</f>
        <v>1.1920823459305465</v>
      </c>
      <c r="E21" s="45">
        <f>Forecasts!J24</f>
        <v>1.2633986744116312</v>
      </c>
      <c r="F21" s="356">
        <f>Forecasts!K24</f>
        <v>1.2725088406928087</v>
      </c>
      <c r="G21" s="350">
        <f>Forecasts!S24</f>
        <v>1.2064501917893105</v>
      </c>
      <c r="H21" s="45">
        <f>Forecasts!T24</f>
        <v>1.2260326139916784</v>
      </c>
      <c r="I21" s="45">
        <f>Forecasts!U24</f>
        <v>1.3318207729019012</v>
      </c>
      <c r="J21" s="45">
        <f>Forecasts!V24</f>
        <v>1.1451084013849377</v>
      </c>
      <c r="K21" s="360">
        <f>Forecasts!W24</f>
        <v>1.0181328461129402</v>
      </c>
      <c r="L21" s="364">
        <f>Forecasts!C60</f>
        <v>0.91203496785819638</v>
      </c>
      <c r="M21" s="361">
        <f t="shared" si="22"/>
        <v>74863.640522700414</v>
      </c>
      <c r="N21" s="46">
        <f t="shared" si="27"/>
        <v>10291.045642296536</v>
      </c>
      <c r="O21" s="46">
        <f t="shared" si="28"/>
        <v>38810.346989544334</v>
      </c>
      <c r="P21" s="46">
        <f t="shared" si="29"/>
        <v>7963.8957190488882</v>
      </c>
      <c r="Q21" s="340">
        <f t="shared" si="30"/>
        <v>17798.352171810664</v>
      </c>
      <c r="R21" s="343">
        <f t="shared" si="4"/>
        <v>5.4074204734176794</v>
      </c>
      <c r="S21" s="47">
        <f t="shared" si="5"/>
        <v>1.042435658358621E-4</v>
      </c>
      <c r="T21" s="47">
        <f t="shared" si="6"/>
        <v>4.413492261473928E-2</v>
      </c>
      <c r="U21" s="47">
        <f t="shared" si="7"/>
        <v>5.4516596395982546</v>
      </c>
      <c r="V21" s="47">
        <f t="shared" si="23"/>
        <v>0.74332493731928895</v>
      </c>
      <c r="W21" s="47">
        <f t="shared" si="23"/>
        <v>1.4329723834460197E-5</v>
      </c>
      <c r="X21" s="47">
        <f t="shared" si="23"/>
        <v>6.0669572021385312E-3</v>
      </c>
      <c r="Y21" s="47">
        <f t="shared" si="31"/>
        <v>0.74940622424526193</v>
      </c>
      <c r="Z21" s="47">
        <f t="shared" si="24"/>
        <v>2.8032815853788269</v>
      </c>
      <c r="AA21" s="47">
        <f t="shared" si="24"/>
        <v>5.4041306744766936E-5</v>
      </c>
      <c r="AB21" s="47">
        <f t="shared" si="24"/>
        <v>2.2880154492558098E-2</v>
      </c>
      <c r="AC21" s="47">
        <f t="shared" si="32"/>
        <v>2.8262157811781297</v>
      </c>
      <c r="AD21" s="47">
        <f t="shared" si="25"/>
        <v>0.57523428541109101</v>
      </c>
      <c r="AE21" s="47">
        <f t="shared" si="25"/>
        <v>1.1089293572984624E-5</v>
      </c>
      <c r="AF21" s="47">
        <f t="shared" si="25"/>
        <v>4.6950150809924509E-3</v>
      </c>
      <c r="AG21" s="47">
        <f t="shared" si="13"/>
        <v>0.57994038978565643</v>
      </c>
      <c r="AH21" s="47">
        <f t="shared" si="26"/>
        <v>1.2855796653084726</v>
      </c>
      <c r="AI21" s="47">
        <f t="shared" si="26"/>
        <v>2.4783241683650343E-5</v>
      </c>
      <c r="AJ21" s="47">
        <f t="shared" si="26"/>
        <v>1.0492795839050193E-2</v>
      </c>
      <c r="AK21" s="344">
        <f t="shared" si="15"/>
        <v>1.2960972443892065</v>
      </c>
      <c r="AL21" s="384"/>
      <c r="AM21" s="364">
        <f>Forecasts!D60</f>
        <v>0.85607480820475113</v>
      </c>
      <c r="AN21" s="343">
        <f t="shared" si="0"/>
        <v>3.0506296560294439</v>
      </c>
      <c r="AO21" s="47">
        <f t="shared" si="16"/>
        <v>5.8809651469205268E-5</v>
      </c>
      <c r="AP21" s="47">
        <f t="shared" si="17"/>
        <v>2.4898989168118345E-2</v>
      </c>
      <c r="AQ21" s="47">
        <f t="shared" si="1"/>
        <v>3.0755874548490318</v>
      </c>
      <c r="AR21" s="47">
        <f>AR$8*$AM21*(ShrAirByVis*$H21)*Forecasts!$N112*(1-Forecasts!$B112)+V$8*$AM21*(ShrAirByVis*$H21)*(1-Forecasts!$N112)*(1-Forecasts!$F112-Forecasts!$J112)+V$8*$AM21*(1-ShrAirByVis)*$C21*Forecasts!$O112*(1-Forecasts!$B112)+V$8*$AM21*(1-ShrAirByVis)*$C21*(1-Forecasts!$O112)*(1-Forecasts!$F112-Forecasts!$J112)</f>
        <v>0.41725973924837795</v>
      </c>
      <c r="AS21" s="47">
        <f>AS$8*$AM21*(ShrAirByVis*$H21)*Forecasts!$N112*(1-Forecasts!$B112)+W$8*$AM21*(ShrAirByVis*$H21)*(1-Forecasts!$N112)*(1-Forecasts!$F112-Forecasts!$J112)+W$8*$AM21*(1-ShrAirByVis)*$C21*Forecasts!$O112*(1-Forecasts!$B112)+W$8*$AM21*(1-ShrAirByVis)*$C21*(1-Forecasts!$O112)*(1-Forecasts!$F112-Forecasts!$J112)</f>
        <v>8.0438803146191308E-6</v>
      </c>
      <c r="AT21" s="47">
        <f>AT$8*$AM21*(ShrAirByVis*$H21)*Forecasts!$N112*(1-Forecasts!$B112)+X$8*$AM21*(ShrAirByVis*$H21)*(1-Forecasts!$N112)*(1-Forecasts!$F112-Forecasts!$J112)+X$8*$AM21*(1-ShrAirByVis)*$C21*Forecasts!$O112*(1-Forecasts!$B112)+X$8*$AM21*(1-ShrAirByVis)*$C21*(1-Forecasts!$O112)*(1-Forecasts!$F112-Forecasts!$J112)</f>
        <v>3.4056397856433132E-3</v>
      </c>
      <c r="AU21" s="47">
        <f t="shared" si="33"/>
        <v>0.42067342291433585</v>
      </c>
      <c r="AV21" s="47">
        <f>AV$8*$AM21*(ShrAirByVis*$I21)*Forecasts!$N112*(1-Forecasts!$B112)+Z$8*$AM21*(ShrAirByVis*$H21)*(1-Forecasts!$N112)*(1-Forecasts!$F112-Forecasts!$J112)+Z$8*$AM21*(1-ShrAirByVis)*$C21*Forecasts!$O112*(1-Forecasts!$B112)+Z$8*$AM21*(1-ShrAirByVis)*$D21*(1-Forecasts!$O112)*(1-Forecasts!$F112-Forecasts!$J112)</f>
        <v>1.5841767255185584</v>
      </c>
      <c r="AW21" s="47">
        <f>AW$8*$AM21*(ShrAirByVis*$I21)*Forecasts!$N112*(1-Forecasts!$B112)+AA$8*$AM21*(ShrAirByVis*$H21)*(1-Forecasts!$N112)*(1-Forecasts!$F112-Forecasts!$J112)+AA$8*$AM21*(1-ShrAirByVis)*$C21*Forecasts!$O112*(1-Forecasts!$B112)+AA$8*$AM21*(1-ShrAirByVis)*$D21*(1-Forecasts!$O112)*(1-Forecasts!$F112-Forecasts!$J112)</f>
        <v>3.053955792675021E-5</v>
      </c>
      <c r="AX21" s="47">
        <f>AX$8*$AM21*(ShrAirByVis*$I21)*Forecasts!$N112*(1-Forecasts!$B112)+AB$8*$AM21*(ShrAirByVis*$H21)*(1-Forecasts!$N112)*(1-Forecasts!$F112-Forecasts!$J112)+AB$8*$AM21*(1-ShrAirByVis)*$C21*Forecasts!$O112*(1-Forecasts!$B112)+AB$8*$AM21*(1-ShrAirByVis)*$D21*(1-Forecasts!$O112)*(1-Forecasts!$F112-Forecasts!$J112)</f>
        <v>1.292992056610724E-2</v>
      </c>
      <c r="AY21" s="47">
        <f t="shared" si="34"/>
        <v>1.5971371856425924</v>
      </c>
      <c r="AZ21" s="47">
        <f>AZ$8*$AM21*(ShrAirByVis*$J21)*Forecasts!$N112*(1-Forecasts!$B112)+AD$8*$AM21*(ShrAirByVis*$H21)*(1-Forecasts!$N112)*(1-Forecasts!$F112-Forecasts!$J112)+AD$8*$AM21*(1-ShrAirByVis)*$C21*Forecasts!$O112*(1-Forecasts!$B112)+AD$8*$AM21*(1-ShrAirByVis)*$E21*(1-Forecasts!$O112)*(1-Forecasts!$F112-Forecasts!$J112)</f>
        <v>0.32310748083330504</v>
      </c>
      <c r="BA21" s="47">
        <f>BA$8*$AM21*(ShrAirByVis*$J21)*Forecasts!$N112*(1-Forecasts!$B112)+AE$8*$AM21*(ShrAirByVis*$H21)*(1-Forecasts!$N112)*(1-Forecasts!$F112-Forecasts!$J112)+AE$8*$AM21*(1-ShrAirByVis)*$C21*Forecasts!$O112*(1-Forecasts!$B112)+AE$8*$AM21*(1-ShrAirByVis)*$E21*(1-Forecasts!$O112)*(1-Forecasts!$F112-Forecasts!$J112)</f>
        <v>6.2288250221862353E-6</v>
      </c>
      <c r="BB21" s="47">
        <f>BB$8*$AM21*(ShrAirByVis*$J21)*Forecasts!$N112*(1-Forecasts!$B112)+AF$8*$AM21*(ShrAirByVis*$H21)*(1-Forecasts!$N112)*(1-Forecasts!$F112-Forecasts!$J112)+AF$8*$AM21*(1-ShrAirByVis)*$C21*Forecasts!$O112*(1-Forecasts!$B112)+AF$8*$AM21*(1-ShrAirByVis)*$E21*(1-Forecasts!$O112)*(1-Forecasts!$F112-Forecasts!$J112)</f>
        <v>2.6371767708695017E-3</v>
      </c>
      <c r="BC21" s="47">
        <f t="shared" si="20"/>
        <v>0.3257508864291967</v>
      </c>
      <c r="BD21" s="47">
        <f>BD$8*$AM21*(ShrAirByVis*$K21)*Forecasts!$N112*(1-Forecasts!$B112)+AH$8*$AM21*(ShrAirByVis*$H21)*(1-Forecasts!$N112)*(1-Forecasts!$F112-Forecasts!$J112)+AH$8*$AM21*(1-ShrAirByVis)*$C21*Forecasts!$O112*(1-Forecasts!$B112)+AH$8*$AM21*(1-ShrAirByVis)*$F21*(1-Forecasts!$O112)*(1-Forecasts!$F112-Forecasts!$J112)</f>
        <v>0.72608571042920267</v>
      </c>
      <c r="BE21" s="47">
        <f>BE$8*$AM21*(ShrAirByVis*$K21)*Forecasts!$N112*(1-Forecasts!$B112)+AI$8*$AM21*(ShrAirByVis*$H21)*(1-Forecasts!$N112)*(1-Forecasts!$F112-Forecasts!$J112)+AI$8*$AM21*(1-ShrAirByVis)*$C21*Forecasts!$O112*(1-Forecasts!$B112)+AI$8*$AM21*(1-ShrAirByVis)*$F21*(1-Forecasts!$O112)*(1-Forecasts!$F112-Forecasts!$J112)</f>
        <v>1.3997388205649691E-5</v>
      </c>
      <c r="BF21" s="47">
        <f>BF$8*$AM21*(ShrAirByVis*$K21)*Forecasts!$N112*(1-Forecasts!$B112)+AJ$8*$AM21*(ShrAirByVis*$H21)*(1-Forecasts!$N112)*(1-Forecasts!$F112-Forecasts!$J112)+AJ$8*$AM21*(1-ShrAirByVis)*$C21*Forecasts!$O112*(1-Forecasts!$B112)+AJ$8*$AM21*(1-ShrAirByVis)*$F21*(1-Forecasts!$O112)*(1-Forecasts!$F112-Forecasts!$J112)</f>
        <v>5.9262520454982882E-3</v>
      </c>
      <c r="BG21" s="344">
        <f t="shared" si="21"/>
        <v>0.73202595986290653</v>
      </c>
    </row>
    <row r="22" spans="1:59">
      <c r="A22" s="348">
        <f t="shared" si="3"/>
        <v>2036</v>
      </c>
      <c r="B22" s="355">
        <f>Forecasts!G25</f>
        <v>1.2275913108723551</v>
      </c>
      <c r="C22" s="45">
        <f>Forecasts!H25</f>
        <v>1.263970687225846</v>
      </c>
      <c r="D22" s="45">
        <f>Forecasts!I25</f>
        <v>1.2087688505102272</v>
      </c>
      <c r="E22" s="45">
        <f>Forecasts!J25</f>
        <v>1.2824657867652469</v>
      </c>
      <c r="F22" s="356">
        <f>Forecasts!K25</f>
        <v>1.293845664012256</v>
      </c>
      <c r="G22" s="350">
        <f>Forecasts!S25</f>
        <v>1.2184785199970123</v>
      </c>
      <c r="H22" s="45">
        <f>Forecasts!T25</f>
        <v>1.2367098889728152</v>
      </c>
      <c r="I22" s="45">
        <f>Forecasts!U25</f>
        <v>1.3458284497050224</v>
      </c>
      <c r="J22" s="45">
        <f>Forecasts!V25</f>
        <v>1.1552486998552376</v>
      </c>
      <c r="K22" s="360">
        <f>Forecasts!W25</f>
        <v>1.0285371107740764</v>
      </c>
      <c r="L22" s="364">
        <f>Forecasts!C61</f>
        <v>0.90343883317542406</v>
      </c>
      <c r="M22" s="361">
        <f t="shared" si="22"/>
        <v>75015.400793216191</v>
      </c>
      <c r="N22" s="46">
        <f t="shared" si="27"/>
        <v>10298.976006406416</v>
      </c>
      <c r="O22" s="46">
        <f t="shared" si="28"/>
        <v>38888.061764597063</v>
      </c>
      <c r="P22" s="46">
        <f t="shared" si="29"/>
        <v>7975.3125661324775</v>
      </c>
      <c r="Q22" s="340">
        <f t="shared" si="30"/>
        <v>17853.050456080244</v>
      </c>
      <c r="R22" s="343">
        <f t="shared" si="4"/>
        <v>5.4183821577294324</v>
      </c>
      <c r="S22" s="47">
        <f t="shared" si="5"/>
        <v>1.0445488379529239E-4</v>
      </c>
      <c r="T22" s="47">
        <f t="shared" si="6"/>
        <v>4.4224390983475297E-2</v>
      </c>
      <c r="U22" s="47">
        <f t="shared" si="7"/>
        <v>5.4627110035967039</v>
      </c>
      <c r="V22" s="47">
        <f t="shared" si="23"/>
        <v>0.7438977496077378</v>
      </c>
      <c r="W22" s="47">
        <f t="shared" si="23"/>
        <v>1.4340766437083026E-5</v>
      </c>
      <c r="X22" s="47">
        <f t="shared" si="23"/>
        <v>6.0716324490788683E-3</v>
      </c>
      <c r="Y22" s="47">
        <f t="shared" si="31"/>
        <v>0.74998372282325376</v>
      </c>
      <c r="Z22" s="47">
        <f t="shared" si="24"/>
        <v>2.8088949440503139</v>
      </c>
      <c r="AA22" s="47">
        <f t="shared" si="24"/>
        <v>5.4149520361057364E-5</v>
      </c>
      <c r="AB22" s="47">
        <f t="shared" si="24"/>
        <v>2.2925970265863085E-2</v>
      </c>
      <c r="AC22" s="47">
        <f t="shared" si="32"/>
        <v>2.831875063836538</v>
      </c>
      <c r="AD22" s="47">
        <f t="shared" si="25"/>
        <v>0.57605892728304153</v>
      </c>
      <c r="AE22" s="47">
        <f t="shared" si="25"/>
        <v>1.1105190914368058E-5</v>
      </c>
      <c r="AF22" s="47">
        <f t="shared" si="25"/>
        <v>4.7017457403488528E-3</v>
      </c>
      <c r="AG22" s="47">
        <f t="shared" si="13"/>
        <v>0.58077177821430481</v>
      </c>
      <c r="AH22" s="47">
        <f t="shared" si="26"/>
        <v>1.2895305367883396</v>
      </c>
      <c r="AI22" s="47">
        <f t="shared" si="26"/>
        <v>2.4859406082783939E-5</v>
      </c>
      <c r="AJ22" s="47">
        <f t="shared" si="26"/>
        <v>1.0525042528184486E-2</v>
      </c>
      <c r="AK22" s="344">
        <f t="shared" si="15"/>
        <v>1.3000804387226068</v>
      </c>
      <c r="AL22" s="384"/>
      <c r="AM22" s="364">
        <f>Forecasts!D61</f>
        <v>0.8454224848950731</v>
      </c>
      <c r="AN22" s="343">
        <f t="shared" si="0"/>
        <v>2.9267665651549479</v>
      </c>
      <c r="AO22" s="47">
        <f t="shared" si="16"/>
        <v>5.6421834518094718E-5</v>
      </c>
      <c r="AP22" s="47">
        <f t="shared" si="17"/>
        <v>2.3888028774444139E-2</v>
      </c>
      <c r="AQ22" s="47">
        <f t="shared" si="1"/>
        <v>2.9507110157639103</v>
      </c>
      <c r="AR22" s="47">
        <f>AR$8*$AM22*(ShrAirByVis*$H22)*Forecasts!$N113*(1-Forecasts!$B113)+V$8*$AM22*(ShrAirByVis*$H22)*(1-Forecasts!$N113)*(1-Forecasts!$F113-Forecasts!$J113)+V$8*$AM22*(1-ShrAirByVis)*$C22*Forecasts!$O113*(1-Forecasts!$B113)+V$8*$AM22*(1-ShrAirByVis)*$C22*(1-Forecasts!$O113)*(1-Forecasts!$F113-Forecasts!$J113)</f>
        <v>0.39998267363053625</v>
      </c>
      <c r="AS22" s="47">
        <f>AS$8*$AM22*(ShrAirByVis*$H22)*Forecasts!$N113*(1-Forecasts!$B113)+W$8*$AM22*(ShrAirByVis*$H22)*(1-Forecasts!$N113)*(1-Forecasts!$F113-Forecasts!$J113)+W$8*$AM22*(1-ShrAirByVis)*$C22*Forecasts!$O113*(1-Forecasts!$B113)+W$8*$AM22*(1-ShrAirByVis)*$C22*(1-Forecasts!$O113)*(1-Forecasts!$F113-Forecasts!$J113)</f>
        <v>7.7108152356156331E-6</v>
      </c>
      <c r="AT22" s="47">
        <f>AT$8*$AM22*(ShrAirByVis*$H22)*Forecasts!$N113*(1-Forecasts!$B113)+X$8*$AM22*(ShrAirByVis*$H22)*(1-Forecasts!$N113)*(1-Forecasts!$F113-Forecasts!$J113)+X$8*$AM22*(1-ShrAirByVis)*$C22*Forecasts!$O113*(1-Forecasts!$B113)+X$8*$AM22*(1-ShrAirByVis)*$C22*(1-Forecasts!$O113)*(1-Forecasts!$F113-Forecasts!$J113)</f>
        <v>3.2646257924090721E-3</v>
      </c>
      <c r="AU22" s="47">
        <f t="shared" si="33"/>
        <v>0.40325501023818089</v>
      </c>
      <c r="AV22" s="47">
        <f>AV$8*$AM22*(ShrAirByVis*$I22)*Forecasts!$N113*(1-Forecasts!$B113)+Z$8*$AM22*(ShrAirByVis*$H22)*(1-Forecasts!$N113)*(1-Forecasts!$F113-Forecasts!$J113)+Z$8*$AM22*(1-ShrAirByVis)*$C22*Forecasts!$O113*(1-Forecasts!$B113)+Z$8*$AM22*(1-ShrAirByVis)*$D22*(1-Forecasts!$O113)*(1-Forecasts!$F113-Forecasts!$J113)</f>
        <v>1.5202219393843097</v>
      </c>
      <c r="AW22" s="47">
        <f>AW$8*$AM22*(ShrAirByVis*$I22)*Forecasts!$N113*(1-Forecasts!$B113)+AA$8*$AM22*(ShrAirByVis*$H22)*(1-Forecasts!$N113)*(1-Forecasts!$F113-Forecasts!$J113)+AA$8*$AM22*(1-ShrAirByVis)*$C22*Forecasts!$O113*(1-Forecasts!$B113)+AA$8*$AM22*(1-ShrAirByVis)*$D22*(1-Forecasts!$O113)*(1-Forecasts!$F113-Forecasts!$J113)</f>
        <v>2.9306645673730922E-5</v>
      </c>
      <c r="AX22" s="47">
        <f>AX$8*$AM22*(ShrAirByVis*$I22)*Forecasts!$N113*(1-Forecasts!$B113)+AB$8*$AM22*(ShrAirByVis*$H22)*(1-Forecasts!$N113)*(1-Forecasts!$F113-Forecasts!$J113)+AB$8*$AM22*(1-ShrAirByVis)*$C22*Forecasts!$O113*(1-Forecasts!$B113)+AB$8*$AM22*(1-ShrAirByVis)*$D22*(1-Forecasts!$O113)*(1-Forecasts!$F113-Forecasts!$J113)</f>
        <v>1.2407926844562368E-2</v>
      </c>
      <c r="AY22" s="47">
        <f t="shared" si="34"/>
        <v>1.5326591728745458</v>
      </c>
      <c r="AZ22" s="47">
        <f>AZ$8*$AM22*(ShrAirByVis*$J22)*Forecasts!$N113*(1-Forecasts!$B113)+AD$8*$AM22*(ShrAirByVis*$H22)*(1-Forecasts!$N113)*(1-Forecasts!$F113-Forecasts!$J113)+AD$8*$AM22*(1-ShrAirByVis)*$C22*Forecasts!$O113*(1-Forecasts!$B113)+AD$8*$AM22*(1-ShrAirByVis)*$E22*(1-Forecasts!$O113)*(1-Forecasts!$F113-Forecasts!$J113)</f>
        <v>0.30978438998687302</v>
      </c>
      <c r="BA22" s="47">
        <f>BA$8*$AM22*(ShrAirByVis*$J22)*Forecasts!$N113*(1-Forecasts!$B113)+AE$8*$AM22*(ShrAirByVis*$H22)*(1-Forecasts!$N113)*(1-Forecasts!$F113-Forecasts!$J113)+AE$8*$AM22*(1-ShrAirByVis)*$C22*Forecasts!$O113*(1-Forecasts!$B113)+AE$8*$AM22*(1-ShrAirByVis)*$E22*(1-Forecasts!$O113)*(1-Forecasts!$F113-Forecasts!$J113)</f>
        <v>5.9719841671769685E-6</v>
      </c>
      <c r="BB22" s="47">
        <f>BB$8*$AM22*(ShrAirByVis*$J22)*Forecasts!$N113*(1-Forecasts!$B113)+AF$8*$AM22*(ShrAirByVis*$H22)*(1-Forecasts!$N113)*(1-Forecasts!$F113-Forecasts!$J113)+AF$8*$AM22*(1-ShrAirByVis)*$C22*Forecasts!$O113*(1-Forecasts!$B113)+AF$8*$AM22*(1-ShrAirByVis)*$E22*(1-Forecasts!$O113)*(1-Forecasts!$F113-Forecasts!$J113)</f>
        <v>2.5284347955807241E-3</v>
      </c>
      <c r="BC22" s="47">
        <f t="shared" si="20"/>
        <v>0.31231879676662094</v>
      </c>
      <c r="BD22" s="47">
        <f>BD$8*$AM22*(ShrAirByVis*$K22)*Forecasts!$N113*(1-Forecasts!$B113)+AH$8*$AM22*(ShrAirByVis*$H22)*(1-Forecasts!$N113)*(1-Forecasts!$F113-Forecasts!$J113)+AH$8*$AM22*(1-ShrAirByVis)*$C22*Forecasts!$O113*(1-Forecasts!$B113)+AH$8*$AM22*(1-ShrAirByVis)*$F22*(1-Forecasts!$O113)*(1-Forecasts!$F113-Forecasts!$J113)</f>
        <v>0.69677756215322872</v>
      </c>
      <c r="BE22" s="47">
        <f>BE$8*$AM22*(ShrAirByVis*$K22)*Forecasts!$N113*(1-Forecasts!$B113)+AI$8*$AM22*(ShrAirByVis*$H22)*(1-Forecasts!$N113)*(1-Forecasts!$F113-Forecasts!$J113)+AI$8*$AM22*(1-ShrAirByVis)*$C22*Forecasts!$O113*(1-Forecasts!$B113)+AI$8*$AM22*(1-ShrAirByVis)*$F22*(1-Forecasts!$O113)*(1-Forecasts!$F113-Forecasts!$J113)</f>
        <v>1.3432389441571201E-5</v>
      </c>
      <c r="BF22" s="47">
        <f>BF$8*$AM22*(ShrAirByVis*$K22)*Forecasts!$N113*(1-Forecasts!$B113)+AJ$8*$AM22*(ShrAirByVis*$H22)*(1-Forecasts!$N113)*(1-Forecasts!$F113-Forecasts!$J113)+AJ$8*$AM22*(1-ShrAirByVis)*$C22*Forecasts!$O113*(1-Forecasts!$B113)+AJ$8*$AM22*(1-ShrAirByVis)*$F22*(1-Forecasts!$O113)*(1-Forecasts!$F113-Forecasts!$J113)</f>
        <v>5.687041341891976E-3</v>
      </c>
      <c r="BG22" s="344">
        <f t="shared" si="21"/>
        <v>0.70247803588456237</v>
      </c>
    </row>
    <row r="23" spans="1:59">
      <c r="A23" s="348">
        <f t="shared" si="3"/>
        <v>2037</v>
      </c>
      <c r="B23" s="355">
        <f>Forecasts!G26</f>
        <v>1.2451802749682024</v>
      </c>
      <c r="C23" s="45">
        <f>Forecasts!H26</f>
        <v>1.2812381022043011</v>
      </c>
      <c r="D23" s="45">
        <f>Forecasts!I26</f>
        <v>1.2256889290842197</v>
      </c>
      <c r="E23" s="45">
        <f>Forecasts!J26</f>
        <v>1.3018206584626617</v>
      </c>
      <c r="F23" s="356">
        <f>Forecasts!K26</f>
        <v>1.315540253042091</v>
      </c>
      <c r="G23" s="350">
        <f>Forecasts!S26</f>
        <v>1.230626770834307</v>
      </c>
      <c r="H23" s="45">
        <f>Forecasts!T26</f>
        <v>1.2474794681006833</v>
      </c>
      <c r="I23" s="45">
        <f>Forecasts!U26</f>
        <v>1.3599827112561509</v>
      </c>
      <c r="J23" s="45">
        <f>Forecasts!V26</f>
        <v>1.1654781566021917</v>
      </c>
      <c r="K23" s="360">
        <f>Forecasts!W26</f>
        <v>1.0390471281060796</v>
      </c>
      <c r="L23" s="364">
        <f>Forecasts!C62</f>
        <v>0.89485861350501328</v>
      </c>
      <c r="M23" s="361">
        <f t="shared" si="22"/>
        <v>75162.402092974109</v>
      </c>
      <c r="N23" s="46">
        <f t="shared" si="27"/>
        <v>10306.212711093387</v>
      </c>
      <c r="O23" s="46">
        <f t="shared" si="28"/>
        <v>38963.17783750024</v>
      </c>
      <c r="P23" s="46">
        <f t="shared" si="29"/>
        <v>7986.2298529333539</v>
      </c>
      <c r="Q23" s="340">
        <f t="shared" si="30"/>
        <v>17906.781691447126</v>
      </c>
      <c r="R23" s="343">
        <f t="shared" si="4"/>
        <v>5.4290001003298727</v>
      </c>
      <c r="S23" s="47">
        <f t="shared" si="5"/>
        <v>1.0465957514562317E-4</v>
      </c>
      <c r="T23" s="47">
        <f t="shared" si="6"/>
        <v>4.4311053760542798E-2</v>
      </c>
      <c r="U23" s="47">
        <f t="shared" si="7"/>
        <v>5.47341581366556</v>
      </c>
      <c r="V23" s="47">
        <f t="shared" si="23"/>
        <v>0.74442045869336582</v>
      </c>
      <c r="W23" s="47">
        <f t="shared" si="23"/>
        <v>1.4350843156518574E-5</v>
      </c>
      <c r="X23" s="47">
        <f t="shared" si="23"/>
        <v>6.075898757785139E-3</v>
      </c>
      <c r="Y23" s="47">
        <f t="shared" si="31"/>
        <v>0.75051070829430744</v>
      </c>
      <c r="Z23" s="47">
        <f t="shared" si="24"/>
        <v>2.8143205977810624</v>
      </c>
      <c r="AA23" s="47">
        <f t="shared" si="24"/>
        <v>5.4254115425314759E-5</v>
      </c>
      <c r="AB23" s="47">
        <f t="shared" si="24"/>
        <v>2.2970254006829428E-2</v>
      </c>
      <c r="AC23" s="47">
        <f t="shared" si="32"/>
        <v>2.8373451059033168</v>
      </c>
      <c r="AD23" s="47">
        <f t="shared" si="25"/>
        <v>0.57684748578419187</v>
      </c>
      <c r="AE23" s="47">
        <f t="shared" si="25"/>
        <v>1.1120392645107177E-5</v>
      </c>
      <c r="AF23" s="47">
        <f t="shared" si="25"/>
        <v>4.7081818901908261E-3</v>
      </c>
      <c r="AG23" s="47">
        <f t="shared" si="13"/>
        <v>0.58156678806702777</v>
      </c>
      <c r="AH23" s="47">
        <f t="shared" si="26"/>
        <v>1.2934115580712517</v>
      </c>
      <c r="AI23" s="47">
        <f t="shared" si="26"/>
        <v>2.4934223918682674E-5</v>
      </c>
      <c r="AJ23" s="47">
        <f t="shared" si="26"/>
        <v>1.0556719105737408E-2</v>
      </c>
      <c r="AK23" s="344">
        <f t="shared" si="15"/>
        <v>1.3039932114009078</v>
      </c>
      <c r="AL23" s="384"/>
      <c r="AM23" s="364">
        <f>Forecasts!D62</f>
        <v>0.83490271073975253</v>
      </c>
      <c r="AN23" s="343">
        <f t="shared" si="0"/>
        <v>2.8019482280925381</v>
      </c>
      <c r="AO23" s="47">
        <f t="shared" si="16"/>
        <v>5.4015602452167665E-5</v>
      </c>
      <c r="AP23" s="47">
        <f t="shared" si="17"/>
        <v>2.2869271739693317E-2</v>
      </c>
      <c r="AQ23" s="47">
        <f t="shared" si="1"/>
        <v>2.8248715154346833</v>
      </c>
      <c r="AR23" s="47">
        <f>AR$8*$AM23*(ShrAirByVis*$H23)*Forecasts!$N114*(1-Forecasts!$B114)+V$8*$AM23*(ShrAirByVis*$H23)*(1-Forecasts!$N114)*(1-Forecasts!$F114-Forecasts!$J114)+V$8*$AM23*(1-ShrAirByVis)*$C23*Forecasts!$O114*(1-Forecasts!$B114)+V$8*$AM23*(1-ShrAirByVis)*$C23*(1-Forecasts!$O114)*(1-Forecasts!$F114-Forecasts!$J114)</f>
        <v>0.38260447064610009</v>
      </c>
      <c r="AS23" s="47">
        <f>AS$8*$AM23*(ShrAirByVis*$H23)*Forecasts!$N114*(1-Forecasts!$B114)+W$8*$AM23*(ShrAirByVis*$H23)*(1-Forecasts!$N114)*(1-Forecasts!$F114-Forecasts!$J114)+W$8*$AM23*(1-ShrAirByVis)*$C23*Forecasts!$O114*(1-Forecasts!$B114)+W$8*$AM23*(1-ShrAirByVis)*$C23*(1-Forecasts!$O114)*(1-Forecasts!$F114-Forecasts!$J114)</f>
        <v>7.3758004432904355E-6</v>
      </c>
      <c r="AT23" s="47">
        <f>AT$8*$AM23*(ShrAirByVis*$H23)*Forecasts!$N114*(1-Forecasts!$B114)+X$8*$AM23*(ShrAirByVis*$H23)*(1-Forecasts!$N114)*(1-Forecasts!$F114-Forecasts!$J114)+X$8*$AM23*(1-ShrAirByVis)*$C23*Forecasts!$O114*(1-Forecasts!$B114)+X$8*$AM23*(1-ShrAirByVis)*$C23*(1-Forecasts!$O114)*(1-Forecasts!$F114-Forecasts!$J114)</f>
        <v>3.1227863242797231E-3</v>
      </c>
      <c r="AU23" s="47">
        <f t="shared" si="33"/>
        <v>0.38573463277082309</v>
      </c>
      <c r="AV23" s="47">
        <f>AV$8*$AM23*(ShrAirByVis*$I23)*Forecasts!$N114*(1-Forecasts!$B114)+Z$8*$AM23*(ShrAirByVis*$H23)*(1-Forecasts!$N114)*(1-Forecasts!$F114-Forecasts!$J114)+Z$8*$AM23*(1-ShrAirByVis)*$C23*Forecasts!$O114*(1-Forecasts!$B114)+Z$8*$AM23*(1-ShrAirByVis)*$D23*(1-Forecasts!$O114)*(1-Forecasts!$F114-Forecasts!$J114)</f>
        <v>1.4557851404428546</v>
      </c>
      <c r="AW23" s="47">
        <f>AW$8*$AM23*(ShrAirByVis*$I23)*Forecasts!$N114*(1-Forecasts!$B114)+AA$8*$AM23*(ShrAirByVis*$H23)*(1-Forecasts!$N114)*(1-Forecasts!$F114-Forecasts!$J114)+AA$8*$AM23*(1-ShrAirByVis)*$C23*Forecasts!$O114*(1-Forecasts!$B114)+AA$8*$AM23*(1-ShrAirByVis)*$D23*(1-Forecasts!$O114)*(1-Forecasts!$F114-Forecasts!$J114)</f>
        <v>2.806444123896828E-5</v>
      </c>
      <c r="AX23" s="47">
        <f>AX$8*$AM23*(ShrAirByVis*$I23)*Forecasts!$N114*(1-Forecasts!$B114)+AB$8*$AM23*(ShrAirByVis*$H23)*(1-Forecasts!$N114)*(1-Forecasts!$F114-Forecasts!$J114)+AB$8*$AM23*(1-ShrAirByVis)*$C23*Forecasts!$O114*(1-Forecasts!$B114)+AB$8*$AM23*(1-ShrAirByVis)*$D23*(1-Forecasts!$O114)*(1-Forecasts!$F114-Forecasts!$J114)</f>
        <v>1.1881998973999495E-2</v>
      </c>
      <c r="AY23" s="47">
        <f t="shared" si="34"/>
        <v>1.467695203858093</v>
      </c>
      <c r="AZ23" s="47">
        <f>AZ$8*$AM23*(ShrAirByVis*$J23)*Forecasts!$N114*(1-Forecasts!$B114)+AD$8*$AM23*(ShrAirByVis*$H23)*(1-Forecasts!$N114)*(1-Forecasts!$F114-Forecasts!$J114)+AD$8*$AM23*(1-ShrAirByVis)*$C23*Forecasts!$O114*(1-Forecasts!$B114)+AD$8*$AM23*(1-ShrAirByVis)*$E23*(1-Forecasts!$O114)*(1-Forecasts!$F114-Forecasts!$J114)</f>
        <v>0.29637133664885756</v>
      </c>
      <c r="BA23" s="47">
        <f>BA$8*$AM23*(ShrAirByVis*$J23)*Forecasts!$N114*(1-Forecasts!$B114)+AE$8*$AM23*(ShrAirByVis*$H23)*(1-Forecasts!$N114)*(1-Forecasts!$F114-Forecasts!$J114)+AE$8*$AM23*(1-ShrAirByVis)*$C23*Forecasts!$O114*(1-Forecasts!$B114)+AE$8*$AM23*(1-ShrAirByVis)*$E23*(1-Forecasts!$O114)*(1-Forecasts!$F114-Forecasts!$J114)</f>
        <v>5.7134090266686865E-6</v>
      </c>
      <c r="BB23" s="47">
        <f>BB$8*$AM23*(ShrAirByVis*$J23)*Forecasts!$N114*(1-Forecasts!$B114)+AF$8*$AM23*(ShrAirByVis*$H23)*(1-Forecasts!$N114)*(1-Forecasts!$F114-Forecasts!$J114)+AF$8*$AM23*(1-ShrAirByVis)*$C23*Forecasts!$O114*(1-Forecasts!$B114)+AF$8*$AM23*(1-ShrAirByVis)*$E23*(1-Forecasts!$O114)*(1-Forecasts!$F114-Forecasts!$J114)</f>
        <v>2.4189585538105835E-3</v>
      </c>
      <c r="BC23" s="47">
        <f t="shared" si="20"/>
        <v>0.29879600861169481</v>
      </c>
      <c r="BD23" s="47">
        <f>BD$8*$AM23*(ShrAirByVis*$K23)*Forecasts!$N114*(1-Forecasts!$B114)+AH$8*$AM23*(ShrAirByVis*$H23)*(1-Forecasts!$N114)*(1-Forecasts!$F114-Forecasts!$J114)+AH$8*$AM23*(1-ShrAirByVis)*$C23*Forecasts!$O114*(1-Forecasts!$B114)+AH$8*$AM23*(1-ShrAirByVis)*$F23*(1-Forecasts!$O114)*(1-Forecasts!$F114-Forecasts!$J114)</f>
        <v>0.66718728035472563</v>
      </c>
      <c r="BE23" s="47">
        <f>BE$8*$AM23*(ShrAirByVis*$K23)*Forecasts!$N114*(1-Forecasts!$B114)+AI$8*$AM23*(ShrAirByVis*$H23)*(1-Forecasts!$N114)*(1-Forecasts!$F114-Forecasts!$J114)+AI$8*$AM23*(1-ShrAirByVis)*$C23*Forecasts!$O114*(1-Forecasts!$B114)+AI$8*$AM23*(1-ShrAirByVis)*$F23*(1-Forecasts!$O114)*(1-Forecasts!$F114-Forecasts!$J114)</f>
        <v>1.2861951743240262E-5</v>
      </c>
      <c r="BF23" s="47">
        <f>BF$8*$AM23*(ShrAirByVis*$K23)*Forecasts!$N114*(1-Forecasts!$B114)+AJ$8*$AM23*(ShrAirByVis*$H23)*(1-Forecasts!$N114)*(1-Forecasts!$F114-Forecasts!$J114)+AJ$8*$AM23*(1-ShrAirByVis)*$C23*Forecasts!$O114*(1-Forecasts!$B114)+AJ$8*$AM23*(1-ShrAirByVis)*$F23*(1-Forecasts!$O114)*(1-Forecasts!$F114-Forecasts!$J114)</f>
        <v>5.4455278876035136E-3</v>
      </c>
      <c r="BG23" s="344">
        <f t="shared" si="21"/>
        <v>0.6726456701940724</v>
      </c>
    </row>
    <row r="24" spans="1:59">
      <c r="A24" s="348">
        <f t="shared" si="3"/>
        <v>2038</v>
      </c>
      <c r="B24" s="355">
        <f>Forecasts!G27</f>
        <v>1.2630222832782885</v>
      </c>
      <c r="C24" s="45">
        <f>Forecasts!H27</f>
        <v>1.2987414115931657</v>
      </c>
      <c r="D24" s="45">
        <f>Forecasts!I27</f>
        <v>1.2428458511695497</v>
      </c>
      <c r="E24" s="45">
        <f>Forecasts!J27</f>
        <v>1.3214676323450152</v>
      </c>
      <c r="F24" s="356">
        <f>Forecasts!K27</f>
        <v>1.3375986066276724</v>
      </c>
      <c r="G24" s="350">
        <f>Forecasts!S27</f>
        <v>1.2428961399317795</v>
      </c>
      <c r="H24" s="45">
        <f>Forecasts!T27</f>
        <v>1.2583421438338391</v>
      </c>
      <c r="I24" s="45">
        <f>Forecasts!U27</f>
        <v>1.3742850841706471</v>
      </c>
      <c r="J24" s="45">
        <f>Forecasts!V27</f>
        <v>1.17579755031337</v>
      </c>
      <c r="K24" s="360">
        <f>Forecasts!W27</f>
        <v>1.049663967581238</v>
      </c>
      <c r="L24" s="364">
        <f>Forecasts!C63</f>
        <v>0.88627004477134941</v>
      </c>
      <c r="M24" s="361">
        <f t="shared" si="22"/>
        <v>75302.461943594899</v>
      </c>
      <c r="N24" s="46">
        <f t="shared" si="27"/>
        <v>10312.459370591308</v>
      </c>
      <c r="O24" s="46">
        <f t="shared" si="28"/>
        <v>39034.563006190168</v>
      </c>
      <c r="P24" s="46">
        <f t="shared" si="29"/>
        <v>7996.4168683032549</v>
      </c>
      <c r="Q24" s="340">
        <f t="shared" si="30"/>
        <v>17959.022698510165</v>
      </c>
      <c r="R24" s="343">
        <f t="shared" si="4"/>
        <v>5.4391166602308161</v>
      </c>
      <c r="S24" s="47">
        <f t="shared" si="5"/>
        <v>1.0485460090388458E-4</v>
      </c>
      <c r="T24" s="47">
        <f t="shared" si="6"/>
        <v>4.4393624293119376E-2</v>
      </c>
      <c r="U24" s="47">
        <f t="shared" si="7"/>
        <v>5.48361513912484</v>
      </c>
      <c r="V24" s="47">
        <f t="shared" si="23"/>
        <v>0.74487165655421916</v>
      </c>
      <c r="W24" s="47">
        <f t="shared" si="23"/>
        <v>1.4359541291635696E-5</v>
      </c>
      <c r="X24" s="47">
        <f t="shared" si="23"/>
        <v>6.0795813977371459E-3</v>
      </c>
      <c r="Y24" s="47">
        <f t="shared" si="31"/>
        <v>0.75096559749324787</v>
      </c>
      <c r="Z24" s="47">
        <f t="shared" si="24"/>
        <v>2.8194767673177976</v>
      </c>
      <c r="AA24" s="47">
        <f t="shared" si="24"/>
        <v>5.4353515407469985E-5</v>
      </c>
      <c r="AB24" s="47">
        <f t="shared" si="24"/>
        <v>2.301233823989601E-2</v>
      </c>
      <c r="AC24" s="47">
        <f t="shared" si="32"/>
        <v>2.8425434590731014</v>
      </c>
      <c r="AD24" s="47">
        <f t="shared" si="25"/>
        <v>0.57758329658753527</v>
      </c>
      <c r="AE24" s="47">
        <f t="shared" si="25"/>
        <v>1.1134577512420183E-5</v>
      </c>
      <c r="AF24" s="47">
        <f t="shared" si="25"/>
        <v>4.7141875176474465E-3</v>
      </c>
      <c r="AG24" s="47">
        <f t="shared" si="13"/>
        <v>0.58230861868269512</v>
      </c>
      <c r="AH24" s="47">
        <f t="shared" si="26"/>
        <v>1.297184939771264</v>
      </c>
      <c r="AI24" s="47">
        <f t="shared" si="26"/>
        <v>2.500696669235872E-5</v>
      </c>
      <c r="AJ24" s="47">
        <f t="shared" si="26"/>
        <v>1.0587517137838775E-2</v>
      </c>
      <c r="AK24" s="344">
        <f t="shared" si="15"/>
        <v>1.307797463875795</v>
      </c>
      <c r="AL24" s="384"/>
      <c r="AM24" s="364">
        <f>Forecasts!D63</f>
        <v>0.82451383640109865</v>
      </c>
      <c r="AN24" s="343">
        <f t="shared" si="0"/>
        <v>2.6724843330217753</v>
      </c>
      <c r="AO24" s="47">
        <f t="shared" si="16"/>
        <v>5.1519813908347165E-5</v>
      </c>
      <c r="AP24" s="47">
        <f t="shared" si="17"/>
        <v>2.1812598041311675E-2</v>
      </c>
      <c r="AQ24" s="47">
        <f t="shared" si="1"/>
        <v>2.6943484508769955</v>
      </c>
      <c r="AR24" s="47">
        <f>AR$8*$AM24*(ShrAirByVis*$H24)*Forecasts!$N115*(1-Forecasts!$B115)+V$8*$AM24*(ShrAirByVis*$H24)*(1-Forecasts!$N115)*(1-Forecasts!$F115-Forecasts!$J115)+V$8*$AM24*(1-ShrAirByVis)*$C24*Forecasts!$O115*(1-Forecasts!$B115)+V$8*$AM24*(1-ShrAirByVis)*$C24*(1-Forecasts!$O115)*(1-Forecasts!$F115-Forecasts!$J115)</f>
        <v>0.36462182950195654</v>
      </c>
      <c r="AS24" s="47">
        <f>AS$8*$AM24*(ShrAirByVis*$H24)*Forecasts!$N115*(1-Forecasts!$B115)+W$8*$AM24*(ShrAirByVis*$H24)*(1-Forecasts!$N115)*(1-Forecasts!$F115-Forecasts!$J115)+W$8*$AM24*(1-ShrAirByVis)*$C24*Forecasts!$O115*(1-Forecasts!$B115)+W$8*$AM24*(1-ShrAirByVis)*$C24*(1-Forecasts!$O115)*(1-Forecasts!$F115-Forecasts!$J115)</f>
        <v>7.029133368808726E-6</v>
      </c>
      <c r="AT24" s="47">
        <f>AT$8*$AM24*(ShrAirByVis*$H24)*Forecasts!$N115*(1-Forecasts!$B115)+X$8*$AM24*(ShrAirByVis*$H24)*(1-Forecasts!$N115)*(1-Forecasts!$F115-Forecasts!$J115)+X$8*$AM24*(1-ShrAirByVis)*$C24*Forecasts!$O115*(1-Forecasts!$B115)+X$8*$AM24*(1-ShrAirByVis)*$C24*(1-Forecasts!$O115)*(1-Forecasts!$F115-Forecasts!$J115)</f>
        <v>2.9760134814414475E-3</v>
      </c>
      <c r="AU24" s="47">
        <f t="shared" si="33"/>
        <v>0.36760487211676679</v>
      </c>
      <c r="AV24" s="47">
        <f>AV$8*$AM24*(ShrAirByVis*$I24)*Forecasts!$N115*(1-Forecasts!$B115)+Z$8*$AM24*(ShrAirByVis*$H24)*(1-Forecasts!$N115)*(1-Forecasts!$F115-Forecasts!$J115)+Z$8*$AM24*(1-ShrAirByVis)*$C24*Forecasts!$O115*(1-Forecasts!$B115)+Z$8*$AM24*(1-ShrAirByVis)*$D24*(1-Forecasts!$O115)*(1-Forecasts!$F115-Forecasts!$J115)</f>
        <v>1.3890732178981382</v>
      </c>
      <c r="AW24" s="47">
        <f>AW$8*$AM24*(ShrAirByVis*$I24)*Forecasts!$N115*(1-Forecasts!$B115)+AA$8*$AM24*(ShrAirByVis*$H24)*(1-Forecasts!$N115)*(1-Forecasts!$F115-Forecasts!$J115)+AA$8*$AM24*(1-ShrAirByVis)*$C24*Forecasts!$O115*(1-Forecasts!$B115)+AA$8*$AM24*(1-ShrAirByVis)*$D24*(1-Forecasts!$O115)*(1-Forecasts!$F115-Forecasts!$J115)</f>
        <v>2.6778377260031618E-5</v>
      </c>
      <c r="AX24" s="47">
        <f>AX$8*$AM24*(ShrAirByVis*$I24)*Forecasts!$N115*(1-Forecasts!$B115)+AB$8*$AM24*(ShrAirByVis*$H24)*(1-Forecasts!$N115)*(1-Forecasts!$F115-Forecasts!$J115)+AB$8*$AM24*(1-ShrAirByVis)*$C24*Forecasts!$O115*(1-Forecasts!$B115)+AB$8*$AM24*(1-ShrAirByVis)*$D24*(1-Forecasts!$O115)*(1-Forecasts!$F115-Forecasts!$J115)</f>
        <v>1.1337501731096796E-2</v>
      </c>
      <c r="AY24" s="47">
        <f t="shared" si="34"/>
        <v>1.4004374980064951</v>
      </c>
      <c r="AZ24" s="47">
        <f>AZ$8*$AM24*(ShrAirByVis*$J24)*Forecasts!$N115*(1-Forecasts!$B115)+AD$8*$AM24*(ShrAirByVis*$H24)*(1-Forecasts!$N115)*(1-Forecasts!$F115-Forecasts!$J115)+AD$8*$AM24*(1-ShrAirByVis)*$C24*Forecasts!$O115*(1-Forecasts!$B115)+AD$8*$AM24*(1-ShrAirByVis)*$E24*(1-Forecasts!$O115)*(1-Forecasts!$F115-Forecasts!$J115)</f>
        <v>0.28246009686542684</v>
      </c>
      <c r="BA24" s="47">
        <f>BA$8*$AM24*(ShrAirByVis*$J24)*Forecasts!$N115*(1-Forecasts!$B115)+AE$8*$AM24*(ShrAirByVis*$H24)*(1-Forecasts!$N115)*(1-Forecasts!$F115-Forecasts!$J115)+AE$8*$AM24*(1-ShrAirByVis)*$C24*Forecasts!$O115*(1-Forecasts!$B115)+AE$8*$AM24*(1-ShrAirByVis)*$E24*(1-Forecasts!$O115)*(1-Forecasts!$F115-Forecasts!$J115)</f>
        <v>5.4452299110716376E-6</v>
      </c>
      <c r="BB24" s="47">
        <f>BB$8*$AM24*(ShrAirByVis*$J24)*Forecasts!$N115*(1-Forecasts!$B115)+AF$8*$AM24*(ShrAirByVis*$H24)*(1-Forecasts!$N115)*(1-Forecasts!$F115-Forecasts!$J115)+AF$8*$AM24*(1-ShrAirByVis)*$C24*Forecasts!$O115*(1-Forecasts!$B115)+AF$8*$AM24*(1-ShrAirByVis)*$E24*(1-Forecasts!$O115)*(1-Forecasts!$F115-Forecasts!$J115)</f>
        <v>2.305416155113271E-3</v>
      </c>
      <c r="BC24" s="47">
        <f t="shared" si="20"/>
        <v>0.28477095825045118</v>
      </c>
      <c r="BD24" s="47">
        <f>BD$8*$AM24*(ShrAirByVis*$K24)*Forecasts!$N115*(1-Forecasts!$B115)+AH$8*$AM24*(ShrAirByVis*$H24)*(1-Forecasts!$N115)*(1-Forecasts!$F115-Forecasts!$J115)+AH$8*$AM24*(1-ShrAirByVis)*$C24*Forecasts!$O115*(1-Forecasts!$B115)+AH$8*$AM24*(1-ShrAirByVis)*$F24*(1-Forecasts!$O115)*(1-Forecasts!$F115-Forecasts!$J115)</f>
        <v>0.63632918875625366</v>
      </c>
      <c r="BE24" s="47">
        <f>BE$8*$AM24*(ShrAirByVis*$K24)*Forecasts!$N115*(1-Forecasts!$B115)+AI$8*$AM24*(ShrAirByVis*$H24)*(1-Forecasts!$N115)*(1-Forecasts!$F115-Forecasts!$J115)+AI$8*$AM24*(1-ShrAirByVis)*$C24*Forecasts!$O115*(1-Forecasts!$B115)+AI$8*$AM24*(1-ShrAirByVis)*$F24*(1-Forecasts!$O115)*(1-Forecasts!$F115-Forecasts!$J115)</f>
        <v>1.2267073368435188E-5</v>
      </c>
      <c r="BF24" s="47">
        <f>BF$8*$AM24*(ShrAirByVis*$K24)*Forecasts!$N115*(1-Forecasts!$B115)+AJ$8*$AM24*(ShrAirByVis*$H24)*(1-Forecasts!$N115)*(1-Forecasts!$F115-Forecasts!$J115)+AJ$8*$AM24*(1-ShrAirByVis)*$C24*Forecasts!$O115*(1-Forecasts!$B115)+AJ$8*$AM24*(1-ShrAirByVis)*$F24*(1-Forecasts!$O115)*(1-Forecasts!$F115-Forecasts!$J115)</f>
        <v>5.1936666736601619E-3</v>
      </c>
      <c r="BG24" s="344">
        <f t="shared" si="21"/>
        <v>0.64153512250328226</v>
      </c>
    </row>
    <row r="25" spans="1:59">
      <c r="A25" s="348">
        <f t="shared" si="3"/>
        <v>2039</v>
      </c>
      <c r="B25" s="355">
        <f>Forecasts!G28</f>
        <v>1.2811209929039351</v>
      </c>
      <c r="C25" s="45">
        <f>Forecasts!H28</f>
        <v>1.3164838380041011</v>
      </c>
      <c r="D25" s="45">
        <f>Forecasts!I28</f>
        <v>1.2602429320492174</v>
      </c>
      <c r="E25" s="45">
        <f>Forecasts!J28</f>
        <v>1.3414111167952603</v>
      </c>
      <c r="F25" s="356">
        <f>Forecasts!K28</f>
        <v>1.3600268242001452</v>
      </c>
      <c r="G25" s="350">
        <f>Forecasts!S28</f>
        <v>1.255287834840471</v>
      </c>
      <c r="H25" s="45">
        <f>Forecasts!T28</f>
        <v>1.2692987153910784</v>
      </c>
      <c r="I25" s="45">
        <f>Forecasts!U28</f>
        <v>1.3887371108917763</v>
      </c>
      <c r="J25" s="45">
        <f>Forecasts!V28</f>
        <v>1.1862076664352985</v>
      </c>
      <c r="K25" s="360">
        <f>Forecasts!W28</f>
        <v>1.0603887094363118</v>
      </c>
      <c r="L25" s="364">
        <f>Forecasts!C64</f>
        <v>0.87807112455748282</v>
      </c>
      <c r="M25" s="361">
        <f t="shared" si="22"/>
        <v>75469.593321139808</v>
      </c>
      <c r="N25" s="46">
        <f t="shared" si="27"/>
        <v>10322.371737493044</v>
      </c>
      <c r="O25" s="46">
        <f t="shared" si="28"/>
        <v>39119.847274539577</v>
      </c>
      <c r="P25" s="46">
        <f t="shared" si="29"/>
        <v>8009.4848063762138</v>
      </c>
      <c r="Q25" s="340">
        <f t="shared" si="30"/>
        <v>18017.889502730974</v>
      </c>
      <c r="R25" s="343">
        <f t="shared" si="4"/>
        <v>5.4511886036519064</v>
      </c>
      <c r="S25" s="47">
        <f t="shared" si="5"/>
        <v>1.0508732229756381E-4</v>
      </c>
      <c r="T25" s="47">
        <f t="shared" si="6"/>
        <v>4.4492154505689031E-2</v>
      </c>
      <c r="U25" s="47">
        <f t="shared" si="7"/>
        <v>5.4957858454798929</v>
      </c>
      <c r="V25" s="47">
        <f t="shared" si="23"/>
        <v>0.74558762942636692</v>
      </c>
      <c r="W25" s="47">
        <f t="shared" si="23"/>
        <v>1.4373343725827994E-5</v>
      </c>
      <c r="X25" s="47">
        <f t="shared" si="23"/>
        <v>6.0854251096256204E-3</v>
      </c>
      <c r="Y25" s="47">
        <f t="shared" si="31"/>
        <v>0.75168742787971832</v>
      </c>
      <c r="Z25" s="47">
        <f t="shared" si="24"/>
        <v>2.8256368724838459</v>
      </c>
      <c r="AA25" s="47">
        <f t="shared" si="24"/>
        <v>5.4472269133315714E-5</v>
      </c>
      <c r="AB25" s="47">
        <f t="shared" si="24"/>
        <v>2.3062616513268443E-2</v>
      </c>
      <c r="AC25" s="47">
        <f t="shared" si="32"/>
        <v>2.8487539612662474</v>
      </c>
      <c r="AD25" s="47">
        <f t="shared" si="25"/>
        <v>0.57852719719653178</v>
      </c>
      <c r="AE25" s="47">
        <f t="shared" si="25"/>
        <v>1.1152773908605782E-5</v>
      </c>
      <c r="AF25" s="47">
        <f t="shared" si="25"/>
        <v>4.7218915570390292E-3</v>
      </c>
      <c r="AG25" s="47">
        <f t="shared" si="13"/>
        <v>0.58326024152747946</v>
      </c>
      <c r="AH25" s="47">
        <f t="shared" si="26"/>
        <v>1.3014369045451619</v>
      </c>
      <c r="AI25" s="47">
        <f t="shared" si="26"/>
        <v>2.5088935529814313E-5</v>
      </c>
      <c r="AJ25" s="47">
        <f t="shared" si="26"/>
        <v>1.0622221325755936E-2</v>
      </c>
      <c r="AK25" s="344">
        <f t="shared" si="15"/>
        <v>1.3120842148064475</v>
      </c>
      <c r="AL25" s="384"/>
      <c r="AM25" s="364">
        <f>Forecasts!D64</f>
        <v>0.81425423306448619</v>
      </c>
      <c r="AN25" s="343">
        <f t="shared" si="0"/>
        <v>2.5432513341692884</v>
      </c>
      <c r="AO25" s="47">
        <f t="shared" si="16"/>
        <v>4.9028476552528334E-5</v>
      </c>
      <c r="AP25" s="47">
        <f t="shared" si="17"/>
        <v>2.075780889893521E-2</v>
      </c>
      <c r="AQ25" s="47">
        <f t="shared" si="1"/>
        <v>2.5640581715447763</v>
      </c>
      <c r="AR25" s="47">
        <f>AR$8*$AM25*(ShrAirByVis*$H25)*Forecasts!$N116*(1-Forecasts!$B116)+V$8*$AM25*(ShrAirByVis*$H25)*(1-Forecasts!$N116)*(1-Forecasts!$F116-Forecasts!$J116)+V$8*$AM25*(1-ShrAirByVis)*$C25*Forecasts!$O116*(1-Forecasts!$B116)+V$8*$AM25*(1-ShrAirByVis)*$C25*(1-Forecasts!$O116)*(1-Forecasts!$F116-Forecasts!$J116)</f>
        <v>0.34669996096320033</v>
      </c>
      <c r="AS25" s="47">
        <f>AS$8*$AM25*(ShrAirByVis*$H25)*Forecasts!$N116*(1-Forecasts!$B116)+W$8*$AM25*(ShrAirByVis*$H25)*(1-Forecasts!$N116)*(1-Forecasts!$F116-Forecasts!$J116)+W$8*$AM25*(1-ShrAirByVis)*$C25*Forecasts!$O116*(1-Forecasts!$B116)+W$8*$AM25*(1-ShrAirByVis)*$C25*(1-Forecasts!$O116)*(1-Forecasts!$F116-Forecasts!$J116)</f>
        <v>6.6836378609033271E-6</v>
      </c>
      <c r="AT25" s="47">
        <f>AT$8*$AM25*(ShrAirByVis*$H25)*Forecasts!$N116*(1-Forecasts!$B116)+X$8*$AM25*(ShrAirByVis*$H25)*(1-Forecasts!$N116)*(1-Forecasts!$F116-Forecasts!$J116)+X$8*$AM25*(1-ShrAirByVis)*$C25*Forecasts!$O116*(1-Forecasts!$B116)+X$8*$AM25*(1-ShrAirByVis)*$C25*(1-Forecasts!$O116)*(1-Forecasts!$F116-Forecasts!$J116)</f>
        <v>2.8297366596263304E-3</v>
      </c>
      <c r="AU25" s="47">
        <f t="shared" si="33"/>
        <v>0.34953638126068753</v>
      </c>
      <c r="AV25" s="47">
        <f>AV$8*$AM25*(ShrAirByVis*$I25)*Forecasts!$N116*(1-Forecasts!$B116)+Z$8*$AM25*(ShrAirByVis*$H25)*(1-Forecasts!$N116)*(1-Forecasts!$F116-Forecasts!$J116)+Z$8*$AM25*(1-ShrAirByVis)*$C25*Forecasts!$O116*(1-Forecasts!$B116)+Z$8*$AM25*(1-ShrAirByVis)*$D25*(1-Forecasts!$O116)*(1-Forecasts!$F116-Forecasts!$J116)</f>
        <v>1.322458315693922</v>
      </c>
      <c r="AW25" s="47">
        <f>AW$8*$AM25*(ShrAirByVis*$I25)*Forecasts!$N116*(1-Forecasts!$B116)+AA$8*$AM25*(ShrAirByVis*$H25)*(1-Forecasts!$N116)*(1-Forecasts!$F116-Forecasts!$J116)+AA$8*$AM25*(1-ShrAirByVis)*$C25*Forecasts!$O116*(1-Forecasts!$B116)+AA$8*$AM25*(1-ShrAirByVis)*$D25*(1-Forecasts!$O116)*(1-Forecasts!$F116-Forecasts!$J116)</f>
        <v>2.5494183626909953E-5</v>
      </c>
      <c r="AX25" s="47">
        <f>AX$8*$AM25*(ShrAirByVis*$I25)*Forecasts!$N116*(1-Forecasts!$B116)+AB$8*$AM25*(ShrAirByVis*$H25)*(1-Forecasts!$N116)*(1-Forecasts!$F116-Forecasts!$J116)+AB$8*$AM25*(1-ShrAirByVis)*$C25*Forecasts!$O116*(1-Forecasts!$B116)+AB$8*$AM25*(1-ShrAirByVis)*$D25*(1-Forecasts!$O116)*(1-Forecasts!$F116-Forecasts!$J116)</f>
        <v>1.0793796360259728E-2</v>
      </c>
      <c r="AY25" s="47">
        <f t="shared" si="34"/>
        <v>1.3332776062378087</v>
      </c>
      <c r="AZ25" s="47">
        <f>AZ$8*$AM25*(ShrAirByVis*$J25)*Forecasts!$N116*(1-Forecasts!$B116)+AD$8*$AM25*(ShrAirByVis*$H25)*(1-Forecasts!$N116)*(1-Forecasts!$F116-Forecasts!$J116)+AD$8*$AM25*(1-ShrAirByVis)*$C25*Forecasts!$O116*(1-Forecasts!$B116)+AD$8*$AM25*(1-ShrAirByVis)*$E25*(1-Forecasts!$O116)*(1-Forecasts!$F116-Forecasts!$J116)</f>
        <v>0.26858958090518864</v>
      </c>
      <c r="BA25" s="47">
        <f>BA$8*$AM25*(ShrAirByVis*$J25)*Forecasts!$N116*(1-Forecasts!$B116)+AE$8*$AM25*(ShrAirByVis*$H25)*(1-Forecasts!$N116)*(1-Forecasts!$F116-Forecasts!$J116)+AE$8*$AM25*(1-ShrAirByVis)*$C25*Forecasts!$O116*(1-Forecasts!$B116)+AE$8*$AM25*(1-ShrAirByVis)*$E25*(1-Forecasts!$O116)*(1-Forecasts!$F116-Forecasts!$J116)</f>
        <v>5.1778358641713788E-6</v>
      </c>
      <c r="BB25" s="47">
        <f>BB$8*$AM25*(ShrAirByVis*$J25)*Forecasts!$N116*(1-Forecasts!$B116)+AF$8*$AM25*(ShrAirByVis*$H25)*(1-Forecasts!$N116)*(1-Forecasts!$F116-Forecasts!$J116)+AF$8*$AM25*(1-ShrAirByVis)*$C25*Forecasts!$O116*(1-Forecasts!$B116)+AF$8*$AM25*(1-ShrAirByVis)*$E25*(1-Forecasts!$O116)*(1-Forecasts!$F116-Forecasts!$J116)</f>
        <v>2.1922061409224013E-3</v>
      </c>
      <c r="BC25" s="47">
        <f t="shared" si="20"/>
        <v>0.27078696488197523</v>
      </c>
      <c r="BD25" s="47">
        <f>BD$8*$AM25*(ShrAirByVis*$K25)*Forecasts!$N116*(1-Forecasts!$B116)+AH$8*$AM25*(ShrAirByVis*$H25)*(1-Forecasts!$N116)*(1-Forecasts!$F116-Forecasts!$J116)+AH$8*$AM25*(1-ShrAirByVis)*$C25*Forecasts!$O116*(1-Forecasts!$B116)+AH$8*$AM25*(1-ShrAirByVis)*$F25*(1-Forecasts!$O116)*(1-Forecasts!$F116-Forecasts!$J116)</f>
        <v>0.60550347660697756</v>
      </c>
      <c r="BE25" s="47">
        <f>BE$8*$AM25*(ShrAirByVis*$K25)*Forecasts!$N116*(1-Forecasts!$B116)+AI$8*$AM25*(ShrAirByVis*$H25)*(1-Forecasts!$N116)*(1-Forecasts!$F116-Forecasts!$J116)+AI$8*$AM25*(1-ShrAirByVis)*$C25*Forecasts!$O116*(1-Forecasts!$B116)+AI$8*$AM25*(1-ShrAirByVis)*$F25*(1-Forecasts!$O116)*(1-Forecasts!$F116-Forecasts!$J116)</f>
        <v>1.1672819200543675E-5</v>
      </c>
      <c r="BF25" s="47">
        <f>BF$8*$AM25*(ShrAirByVis*$K25)*Forecasts!$N116*(1-Forecasts!$B116)+AJ$8*$AM25*(ShrAirByVis*$H25)*(1-Forecasts!$N116)*(1-Forecasts!$F116-Forecasts!$J116)+AJ$8*$AM25*(1-ShrAirByVis)*$C25*Forecasts!$O116*(1-Forecasts!$B116)+AJ$8*$AM25*(1-ShrAirByVis)*$F25*(1-Forecasts!$O116)*(1-Forecasts!$F116-Forecasts!$J116)</f>
        <v>4.9420697381267519E-3</v>
      </c>
      <c r="BG25" s="344">
        <f t="shared" si="21"/>
        <v>0.61045721916430484</v>
      </c>
    </row>
    <row r="26" spans="1:59">
      <c r="A26" s="348">
        <f t="shared" si="3"/>
        <v>2040</v>
      </c>
      <c r="B26" s="355">
        <f>Forecasts!G29</f>
        <v>1.2994801140697796</v>
      </c>
      <c r="C26" s="45">
        <f>Forecasts!H29</f>
        <v>1.3344686480736589</v>
      </c>
      <c r="D26" s="45">
        <f>Forecasts!I29</f>
        <v>1.2778835334128213</v>
      </c>
      <c r="E26" s="45">
        <f>Forecasts!J29</f>
        <v>1.3616555867273148</v>
      </c>
      <c r="F26" s="356">
        <f>Forecasts!K29</f>
        <v>1.3828311074630162</v>
      </c>
      <c r="G26" s="350">
        <f>Forecasts!S29</f>
        <v>1.2678030751507254</v>
      </c>
      <c r="H26" s="45">
        <f>Forecasts!T29</f>
        <v>1.2803499888087735</v>
      </c>
      <c r="I26" s="45">
        <f>Forecasts!U29</f>
        <v>1.4033403498541346</v>
      </c>
      <c r="J26" s="45">
        <f>Forecasts!V29</f>
        <v>1.1967092972317999</v>
      </c>
      <c r="K26" s="360">
        <f>Forecasts!W29</f>
        <v>1.0712224447804073</v>
      </c>
      <c r="L26" s="364">
        <f>Forecasts!C65</f>
        <v>0.86987601329901354</v>
      </c>
      <c r="M26" s="361">
        <f t="shared" si="22"/>
        <v>75631.239589647361</v>
      </c>
      <c r="N26" s="46">
        <f t="shared" si="27"/>
        <v>10331.48854713706</v>
      </c>
      <c r="O26" s="46">
        <f t="shared" si="28"/>
        <v>39202.152833000779</v>
      </c>
      <c r="P26" s="46">
        <f t="shared" si="29"/>
        <v>8021.9756194965794</v>
      </c>
      <c r="Q26" s="340">
        <f t="shared" si="30"/>
        <v>18075.622590012943</v>
      </c>
      <c r="R26" s="343">
        <f t="shared" si="4"/>
        <v>5.4628643562024948</v>
      </c>
      <c r="S26" s="47">
        <f t="shared" si="5"/>
        <v>1.0531240597390704E-4</v>
      </c>
      <c r="T26" s="47">
        <f t="shared" si="6"/>
        <v>4.4587451040852565E-2</v>
      </c>
      <c r="U26" s="47">
        <f t="shared" si="7"/>
        <v>5.5075571196493218</v>
      </c>
      <c r="V26" s="47">
        <f t="shared" si="23"/>
        <v>0.74624613898824621</v>
      </c>
      <c r="W26" s="47">
        <f t="shared" si="23"/>
        <v>1.4386038389615425E-5</v>
      </c>
      <c r="X26" s="47">
        <f t="shared" si="23"/>
        <v>6.0907998106864087E-3</v>
      </c>
      <c r="Y26" s="47">
        <f t="shared" si="31"/>
        <v>0.75235132483732226</v>
      </c>
      <c r="Z26" s="47">
        <f t="shared" si="24"/>
        <v>2.831581824650101</v>
      </c>
      <c r="AA26" s="47">
        <f t="shared" si="24"/>
        <v>5.4586875166928329E-5</v>
      </c>
      <c r="AB26" s="47">
        <f t="shared" si="24"/>
        <v>2.3111138725494369E-2</v>
      </c>
      <c r="AC26" s="47">
        <f t="shared" si="32"/>
        <v>2.8547475502507624</v>
      </c>
      <c r="AD26" s="47">
        <f t="shared" si="25"/>
        <v>0.57942941191819253</v>
      </c>
      <c r="AE26" s="47">
        <f t="shared" si="25"/>
        <v>1.1170166689544102E-5</v>
      </c>
      <c r="AF26" s="47">
        <f t="shared" si="25"/>
        <v>4.7292553596355036E-3</v>
      </c>
      <c r="AG26" s="47">
        <f t="shared" si="13"/>
        <v>0.58416983744451756</v>
      </c>
      <c r="AH26" s="47">
        <f t="shared" si="26"/>
        <v>1.3056069806459554</v>
      </c>
      <c r="AI26" s="47">
        <f t="shared" si="26"/>
        <v>2.5169325727819177E-5</v>
      </c>
      <c r="AJ26" s="47">
        <f t="shared" si="26"/>
        <v>1.0656257145036282E-2</v>
      </c>
      <c r="AK26" s="344">
        <f t="shared" si="15"/>
        <v>1.3162884071167196</v>
      </c>
      <c r="AL26" s="384"/>
      <c r="AM26" s="364">
        <f>Forecasts!D65</f>
        <v>0.80412229218298059</v>
      </c>
      <c r="AN26" s="343">
        <f t="shared" si="0"/>
        <v>2.4141504824021576</v>
      </c>
      <c r="AO26" s="47">
        <f t="shared" si="16"/>
        <v>4.65396867114552E-5</v>
      </c>
      <c r="AP26" s="47">
        <f t="shared" si="17"/>
        <v>1.9704098330236269E-2</v>
      </c>
      <c r="AQ26" s="47">
        <f t="shared" si="1"/>
        <v>2.4339011204191054</v>
      </c>
      <c r="AR26" s="47">
        <f>AR$8*$AM26*(ShrAirByVis*$H26)*Forecasts!$N117*(1-Forecasts!$B117)+V$8*$AM26*(ShrAirByVis*$H26)*(1-Forecasts!$N117)*(1-Forecasts!$F117-Forecasts!$J117)+V$8*$AM26*(1-ShrAirByVis)*$C26*Forecasts!$O117*(1-Forecasts!$B117)+V$8*$AM26*(1-ShrAirByVis)*$C26*(1-Forecasts!$O117)*(1-Forecasts!$F117-Forecasts!$J117)</f>
        <v>0.32882520016091366</v>
      </c>
      <c r="AS26" s="47">
        <f>AS$8*$AM26*(ShrAirByVis*$H26)*Forecasts!$N117*(1-Forecasts!$B117)+W$8*$AM26*(ShrAirByVis*$H26)*(1-Forecasts!$N117)*(1-Forecasts!$F117-Forecasts!$J117)+W$8*$AM26*(1-ShrAirByVis)*$C26*Forecasts!$O117*(1-Forecasts!$B117)+W$8*$AM26*(1-ShrAirByVis)*$C26*(1-Forecasts!$O117)*(1-Forecasts!$F117-Forecasts!$J117)</f>
        <v>6.3390504899649292E-6</v>
      </c>
      <c r="AT26" s="47">
        <f>AT$8*$AM26*(ShrAirByVis*$H26)*Forecasts!$N117*(1-Forecasts!$B117)+X$8*$AM26*(ShrAirByVis*$H26)*(1-Forecasts!$N117)*(1-Forecasts!$F117-Forecasts!$J117)+X$8*$AM26*(1-ShrAirByVis)*$C26*Forecasts!$O117*(1-Forecasts!$B117)+X$8*$AM26*(1-ShrAirByVis)*$C26*(1-Forecasts!$O117)*(1-Forecasts!$F117-Forecasts!$J117)</f>
        <v>2.6838443272944805E-3</v>
      </c>
      <c r="AU26" s="47">
        <f t="shared" si="33"/>
        <v>0.33151538353869808</v>
      </c>
      <c r="AV26" s="47">
        <f>AV$8*$AM26*(ShrAirByVis*$I26)*Forecasts!$N117*(1-Forecasts!$B117)+Z$8*$AM26*(ShrAirByVis*$H26)*(1-Forecasts!$N117)*(1-Forecasts!$F117-Forecasts!$J117)+Z$8*$AM26*(1-ShrAirByVis)*$C26*Forecasts!$O117*(1-Forecasts!$B117)+Z$8*$AM26*(1-ShrAirByVis)*$D26*(1-Forecasts!$O117)*(1-Forecasts!$F117-Forecasts!$J117)</f>
        <v>1.2558928003675718</v>
      </c>
      <c r="AW26" s="47">
        <f>AW$8*$AM26*(ShrAirByVis*$I26)*Forecasts!$N117*(1-Forecasts!$B117)+AA$8*$AM26*(ShrAirByVis*$H26)*(1-Forecasts!$N117)*(1-Forecasts!$F117-Forecasts!$J117)+AA$8*$AM26*(1-ShrAirByVis)*$C26*Forecasts!$O117*(1-Forecasts!$B117)+AA$8*$AM26*(1-ShrAirByVis)*$D26*(1-Forecasts!$O117)*(1-Forecasts!$F117-Forecasts!$J117)</f>
        <v>2.4210942067753976E-5</v>
      </c>
      <c r="AX26" s="47">
        <f>AX$8*$AM26*(ShrAirByVis*$I26)*Forecasts!$N117*(1-Forecasts!$B117)+AB$8*$AM26*(ShrAirByVis*$H26)*(1-Forecasts!$N117)*(1-Forecasts!$F117-Forecasts!$J117)+AB$8*$AM26*(1-ShrAirByVis)*$C26*Forecasts!$O117*(1-Forecasts!$B117)+AB$8*$AM26*(1-ShrAirByVis)*$D26*(1-Forecasts!$O117)*(1-Forecasts!$F117-Forecasts!$J117)</f>
        <v>1.0250494081071169E-2</v>
      </c>
      <c r="AY26" s="47">
        <f t="shared" si="34"/>
        <v>1.2661675053907109</v>
      </c>
      <c r="AZ26" s="47">
        <f>AZ$8*$AM26*(ShrAirByVis*$J26)*Forecasts!$N117*(1-Forecasts!$B117)+AD$8*$AM26*(ShrAirByVis*$H26)*(1-Forecasts!$N117)*(1-Forecasts!$F117-Forecasts!$J117)+AD$8*$AM26*(1-ShrAirByVis)*$C26*Forecasts!$O117*(1-Forecasts!$B117)+AD$8*$AM26*(1-ShrAirByVis)*$E26*(1-Forecasts!$O117)*(1-Forecasts!$F117-Forecasts!$J117)</f>
        <v>0.25474871886524308</v>
      </c>
      <c r="BA26" s="47">
        <f>BA$8*$AM26*(ShrAirByVis*$J26)*Forecasts!$N117*(1-Forecasts!$B117)+AE$8*$AM26*(ShrAirByVis*$H26)*(1-Forecasts!$N117)*(1-Forecasts!$F117-Forecasts!$J117)+AE$8*$AM26*(1-ShrAirByVis)*$C26*Forecasts!$O117*(1-Forecasts!$B117)+AE$8*$AM26*(1-ShrAirByVis)*$E26*(1-Forecasts!$O117)*(1-Forecasts!$F117-Forecasts!$J117)</f>
        <v>4.9110134817842671E-6</v>
      </c>
      <c r="BB26" s="47">
        <f>BB$8*$AM26*(ShrAirByVis*$J26)*Forecasts!$N117*(1-Forecasts!$B117)+AF$8*$AM26*(ShrAirByVis*$H26)*(1-Forecasts!$N117)*(1-Forecasts!$F117-Forecasts!$J117)+AF$8*$AM26*(1-ShrAirByVis)*$C26*Forecasts!$O117*(1-Forecasts!$B117)+AF$8*$AM26*(1-ShrAirByVis)*$E26*(1-Forecasts!$O117)*(1-Forecasts!$F117-Forecasts!$J117)</f>
        <v>2.0792381595979908E-3</v>
      </c>
      <c r="BC26" s="47">
        <f t="shared" si="20"/>
        <v>0.25683286803832284</v>
      </c>
      <c r="BD26" s="47">
        <f>BD$8*$AM26*(ShrAirByVis*$K26)*Forecasts!$N117*(1-Forecasts!$B117)+AH$8*$AM26*(ShrAirByVis*$H26)*(1-Forecasts!$N117)*(1-Forecasts!$F117-Forecasts!$J117)+AH$8*$AM26*(1-ShrAirByVis)*$C26*Forecasts!$O117*(1-Forecasts!$B117)+AH$8*$AM26*(1-ShrAirByVis)*$F26*(1-Forecasts!$O117)*(1-Forecasts!$F117-Forecasts!$J117)</f>
        <v>0.57468376300842905</v>
      </c>
      <c r="BE26" s="47">
        <f>BE$8*$AM26*(ShrAirByVis*$K26)*Forecasts!$N117*(1-Forecasts!$B117)+AI$8*$AM26*(ShrAirByVis*$H26)*(1-Forecasts!$N117)*(1-Forecasts!$F117-Forecasts!$J117)+AI$8*$AM26*(1-ShrAirByVis)*$C26*Forecasts!$O117*(1-Forecasts!$B117)+AI$8*$AM26*(1-ShrAirByVis)*$F26*(1-Forecasts!$O117)*(1-Forecasts!$F117-Forecasts!$J117)</f>
        <v>1.1078680671952028E-5</v>
      </c>
      <c r="BF26" s="47">
        <f>BF$8*$AM26*(ShrAirByVis*$K26)*Forecasts!$N117*(1-Forecasts!$B117)+AJ$8*$AM26*(ShrAirByVis*$H26)*(1-Forecasts!$N117)*(1-Forecasts!$F117-Forecasts!$J117)+AJ$8*$AM26*(1-ShrAirByVis)*$C26*Forecasts!$O117*(1-Forecasts!$B117)+AJ$8*$AM26*(1-ShrAirByVis)*$F26*(1-Forecasts!$O117)*(1-Forecasts!$F117-Forecasts!$J117)</f>
        <v>4.6905217622726265E-3</v>
      </c>
      <c r="BG26" s="344">
        <f t="shared" si="21"/>
        <v>0.57938536345137359</v>
      </c>
    </row>
    <row r="27" spans="1:59">
      <c r="A27" s="348">
        <f t="shared" si="3"/>
        <v>2041</v>
      </c>
      <c r="B27" s="355">
        <f>Forecasts!G30</f>
        <v>1.3165312290755611</v>
      </c>
      <c r="C27" s="45">
        <f>Forecasts!H30</f>
        <v>1.3517932972634659</v>
      </c>
      <c r="D27" s="45">
        <f>Forecasts!I30</f>
        <v>1.2942987786225344</v>
      </c>
      <c r="E27" s="45">
        <f>Forecasts!J30</f>
        <v>1.3807762823890586</v>
      </c>
      <c r="F27" s="356">
        <f>Forecasts!K30</f>
        <v>1.4030187607917715</v>
      </c>
      <c r="G27" s="350">
        <f>Forecasts!S30</f>
        <v>1.2785878420519361</v>
      </c>
      <c r="H27" s="45">
        <f>Forecasts!T30</f>
        <v>1.2897836559502978</v>
      </c>
      <c r="I27" s="45">
        <f>Forecasts!U30</f>
        <v>1.4158881541817494</v>
      </c>
      <c r="J27" s="45">
        <f>Forecasts!V30</f>
        <v>1.2057619595718696</v>
      </c>
      <c r="K27" s="360">
        <f>Forecasts!W30</f>
        <v>1.0806664202252501</v>
      </c>
      <c r="L27" s="364">
        <f>Forecasts!C66</f>
        <v>0.86175749231986531</v>
      </c>
      <c r="M27" s="361">
        <f t="shared" si="22"/>
        <v>75686.089413352442</v>
      </c>
      <c r="N27" s="46">
        <f t="shared" si="27"/>
        <v>10329.164842289045</v>
      </c>
      <c r="O27" s="46">
        <f t="shared" si="28"/>
        <v>39228.456735587191</v>
      </c>
      <c r="P27" s="46">
        <f t="shared" si="29"/>
        <v>8024.9704006468573</v>
      </c>
      <c r="Q27" s="340">
        <f t="shared" si="30"/>
        <v>18103.497434829344</v>
      </c>
      <c r="R27" s="343">
        <f t="shared" si="4"/>
        <v>5.4668261734157015</v>
      </c>
      <c r="S27" s="47">
        <f t="shared" si="5"/>
        <v>1.0538878138349926E-4</v>
      </c>
      <c r="T27" s="47">
        <f t="shared" si="6"/>
        <v>4.4619787068165072E-2</v>
      </c>
      <c r="U27" s="47">
        <f t="shared" si="7"/>
        <v>5.5115513492652504</v>
      </c>
      <c r="V27" s="47">
        <f t="shared" si="23"/>
        <v>0.74607829717502949</v>
      </c>
      <c r="W27" s="47">
        <f t="shared" si="23"/>
        <v>1.4382802756434672E-5</v>
      </c>
      <c r="X27" s="47">
        <f t="shared" si="23"/>
        <v>6.089429899566263E-3</v>
      </c>
      <c r="Y27" s="47">
        <f t="shared" si="31"/>
        <v>0.75218210987735223</v>
      </c>
      <c r="Z27" s="47">
        <f t="shared" si="24"/>
        <v>2.8334817624621476</v>
      </c>
      <c r="AA27" s="47">
        <f t="shared" si="24"/>
        <v>5.4623501927019907E-5</v>
      </c>
      <c r="AB27" s="47">
        <f t="shared" si="24"/>
        <v>2.3126645862163269E-2</v>
      </c>
      <c r="AC27" s="47">
        <f t="shared" si="32"/>
        <v>2.8566630318262378</v>
      </c>
      <c r="AD27" s="47">
        <f t="shared" si="25"/>
        <v>0.5796457257494777</v>
      </c>
      <c r="AE27" s="47">
        <f t="shared" si="25"/>
        <v>1.1174336760139431E-5</v>
      </c>
      <c r="AF27" s="47">
        <f t="shared" si="25"/>
        <v>4.7310208953934866E-3</v>
      </c>
      <c r="AG27" s="47">
        <f t="shared" si="13"/>
        <v>0.58438792098163128</v>
      </c>
      <c r="AH27" s="47">
        <f t="shared" si="26"/>
        <v>1.3076203880290473</v>
      </c>
      <c r="AI27" s="47">
        <f t="shared" si="26"/>
        <v>2.5208139939905245E-5</v>
      </c>
      <c r="AJ27" s="47">
        <f t="shared" si="26"/>
        <v>1.0672690411042051E-2</v>
      </c>
      <c r="AK27" s="344">
        <f t="shared" si="15"/>
        <v>1.3183182865800294</v>
      </c>
      <c r="AL27" s="384"/>
      <c r="AM27" s="364">
        <f>Forecasts!D66</f>
        <v>0.79411642522514392</v>
      </c>
      <c r="AN27" s="343">
        <f t="shared" si="0"/>
        <v>2.2823024326564667</v>
      </c>
      <c r="AO27" s="47">
        <f t="shared" si="16"/>
        <v>4.3997936736294095E-5</v>
      </c>
      <c r="AP27" s="47">
        <f t="shared" si="17"/>
        <v>1.8627965356846E-2</v>
      </c>
      <c r="AQ27" s="47">
        <f t="shared" si="1"/>
        <v>2.3009743959500488</v>
      </c>
      <c r="AR27" s="47">
        <f>AR$8*$AM27*(ShrAirByVis*$H27)*Forecasts!$N118*(1-Forecasts!$B118)+V$8*$AM27*(ShrAirByVis*$H27)*(1-Forecasts!$N118)*(1-Forecasts!$F118-Forecasts!$J118)+V$8*$AM27*(1-ShrAirByVis)*$C27*Forecasts!$O118*(1-Forecasts!$B118)+V$8*$AM27*(1-ShrAirByVis)*$C27*(1-Forecasts!$O118)*(1-Forecasts!$F118-Forecasts!$J118)</f>
        <v>0.31063577729797687</v>
      </c>
      <c r="AS27" s="47">
        <f>AS$8*$AM27*(ShrAirByVis*$H27)*Forecasts!$N118*(1-Forecasts!$B118)+W$8*$AM27*(ShrAirByVis*$H27)*(1-Forecasts!$N118)*(1-Forecasts!$F118-Forecasts!$J118)+W$8*$AM27*(1-ShrAirByVis)*$C27*Forecasts!$O118*(1-Forecasts!$B118)+W$8*$AM27*(1-ShrAirByVis)*$C27*(1-Forecasts!$O118)*(1-Forecasts!$F118-Forecasts!$J118)</f>
        <v>5.9883971037431523E-6</v>
      </c>
      <c r="AT27" s="47">
        <f>AT$8*$AM27*(ShrAirByVis*$H27)*Forecasts!$N118*(1-Forecasts!$B118)+X$8*$AM27*(ShrAirByVis*$H27)*(1-Forecasts!$N118)*(1-Forecasts!$F118-Forecasts!$J118)+X$8*$AM27*(1-ShrAirByVis)*$C27*Forecasts!$O118*(1-Forecasts!$B118)+X$8*$AM27*(1-ShrAirByVis)*$C27*(1-Forecasts!$O118)*(1-Forecasts!$F118-Forecasts!$J118)</f>
        <v>2.5353837490189597E-3</v>
      </c>
      <c r="AU27" s="47">
        <f t="shared" si="33"/>
        <v>0.31317714944409958</v>
      </c>
      <c r="AV27" s="47">
        <f>AV$8*$AM27*(ShrAirByVis*$I27)*Forecasts!$N118*(1-Forecasts!$B118)+Z$8*$AM27*(ShrAirByVis*$H27)*(1-Forecasts!$N118)*(1-Forecasts!$F118-Forecasts!$J118)+Z$8*$AM27*(1-ShrAirByVis)*$C27*Forecasts!$O118*(1-Forecasts!$B118)+Z$8*$AM27*(1-ShrAirByVis)*$D27*(1-Forecasts!$O118)*(1-Forecasts!$F118-Forecasts!$J118)</f>
        <v>1.1877960672203132</v>
      </c>
      <c r="AW27" s="47">
        <f>AW$8*$AM27*(ShrAirByVis*$I27)*Forecasts!$N118*(1-Forecasts!$B118)+AA$8*$AM27*(ShrAirByVis*$H27)*(1-Forecasts!$N118)*(1-Forecasts!$F118-Forecasts!$J118)+AA$8*$AM27*(1-ShrAirByVis)*$C27*Forecasts!$O118*(1-Forecasts!$B118)+AA$8*$AM27*(1-ShrAirByVis)*$D27*(1-Forecasts!$O118)*(1-Forecasts!$F118-Forecasts!$J118)</f>
        <v>2.2898181885715301E-5</v>
      </c>
      <c r="AX27" s="47">
        <f>AX$8*$AM27*(ShrAirByVis*$I27)*Forecasts!$N118*(1-Forecasts!$B118)+AB$8*$AM27*(ShrAirByVis*$H27)*(1-Forecasts!$N118)*(1-Forecasts!$F118-Forecasts!$J118)+AB$8*$AM27*(1-ShrAirByVis)*$C27*Forecasts!$O118*(1-Forecasts!$B118)+AB$8*$AM27*(1-ShrAirByVis)*$D27*(1-Forecasts!$O118)*(1-Forecasts!$F118-Forecasts!$J118)</f>
        <v>9.6946941275544637E-3</v>
      </c>
      <c r="AY27" s="47">
        <f t="shared" si="34"/>
        <v>1.1975136595297533</v>
      </c>
      <c r="AZ27" s="47">
        <f>AZ$8*$AM27*(ShrAirByVis*$J27)*Forecasts!$N118*(1-Forecasts!$B118)+AD$8*$AM27*(ShrAirByVis*$H27)*(1-Forecasts!$N118)*(1-Forecasts!$F118-Forecasts!$J118)+AD$8*$AM27*(1-ShrAirByVis)*$C27*Forecasts!$O118*(1-Forecasts!$B118)+AD$8*$AM27*(1-ShrAirByVis)*$E27*(1-Forecasts!$O118)*(1-Forecasts!$F118-Forecasts!$J118)</f>
        <v>0.24066380683160768</v>
      </c>
      <c r="BA27" s="47">
        <f>BA$8*$AM27*(ShrAirByVis*$J27)*Forecasts!$N118*(1-Forecasts!$B118)+AE$8*$AM27*(ShrAirByVis*$H27)*(1-Forecasts!$N118)*(1-Forecasts!$F118-Forecasts!$J118)+AE$8*$AM27*(1-ShrAirByVis)*$C27*Forecasts!$O118*(1-Forecasts!$B118)+AE$8*$AM27*(1-ShrAirByVis)*$E27*(1-Forecasts!$O118)*(1-Forecasts!$F118-Forecasts!$J118)</f>
        <v>4.6394863345819328E-6</v>
      </c>
      <c r="BB27" s="47">
        <f>BB$8*$AM27*(ShrAirByVis*$J27)*Forecasts!$N118*(1-Forecasts!$B118)+AF$8*$AM27*(ShrAirByVis*$H27)*(1-Forecasts!$N118)*(1-Forecasts!$F118-Forecasts!$J118)+AF$8*$AM27*(1-ShrAirByVis)*$C27*Forecasts!$O118*(1-Forecasts!$B118)+AF$8*$AM27*(1-ShrAirByVis)*$E27*(1-Forecasts!$O118)*(1-Forecasts!$F118-Forecasts!$J118)</f>
        <v>1.9642782622318047E-3</v>
      </c>
      <c r="BC27" s="47">
        <f t="shared" si="20"/>
        <v>0.24263272458017407</v>
      </c>
      <c r="BD27" s="47">
        <f>BD$8*$AM27*(ShrAirByVis*$K27)*Forecasts!$N118*(1-Forecasts!$B118)+AH$8*$AM27*(ShrAirByVis*$H27)*(1-Forecasts!$N118)*(1-Forecasts!$F118-Forecasts!$J118)+AH$8*$AM27*(1-ShrAirByVis)*$C27*Forecasts!$O118*(1-Forecasts!$B118)+AH$8*$AM27*(1-ShrAirByVis)*$F27*(1-Forecasts!$O118)*(1-Forecasts!$F118-Forecasts!$J118)</f>
        <v>0.54320678130656885</v>
      </c>
      <c r="BE27" s="47">
        <f>BE$8*$AM27*(ShrAirByVis*$K27)*Forecasts!$N118*(1-Forecasts!$B118)+AI$8*$AM27*(ShrAirByVis*$H27)*(1-Forecasts!$N118)*(1-Forecasts!$F118-Forecasts!$J118)+AI$8*$AM27*(1-ShrAirByVis)*$C27*Forecasts!$O118*(1-Forecasts!$B118)+AI$8*$AM27*(1-ShrAirByVis)*$F27*(1-Forecasts!$O118)*(1-Forecasts!$F118-Forecasts!$J118)</f>
        <v>1.0471871412253713E-5</v>
      </c>
      <c r="BF27" s="47">
        <f>BF$8*$AM27*(ShrAirByVis*$K27)*Forecasts!$N118*(1-Forecasts!$B118)+AJ$8*$AM27*(ShrAirByVis*$H27)*(1-Forecasts!$N118)*(1-Forecasts!$F118-Forecasts!$J118)+AJ$8*$AM27*(1-ShrAirByVis)*$C27*Forecasts!$O118*(1-Forecasts!$B118)+AJ$8*$AM27*(1-ShrAirByVis)*$F27*(1-Forecasts!$O118)*(1-Forecasts!$F118-Forecasts!$J118)</f>
        <v>4.433609218040771E-3</v>
      </c>
      <c r="BG27" s="344">
        <f t="shared" si="21"/>
        <v>0.5476508623960219</v>
      </c>
    </row>
    <row r="28" spans="1:59">
      <c r="A28" s="348">
        <f t="shared" si="3"/>
        <v>2042</v>
      </c>
      <c r="B28" s="355">
        <f>Forecasts!G31</f>
        <v>1.3338065346896915</v>
      </c>
      <c r="C28" s="45">
        <f>Forecasts!H31</f>
        <v>1.3693428625425215</v>
      </c>
      <c r="D28" s="45">
        <f>Forecasts!I31</f>
        <v>1.3109248883345668</v>
      </c>
      <c r="E28" s="45">
        <f>Forecasts!J31</f>
        <v>1.4001654754639168</v>
      </c>
      <c r="F28" s="356">
        <f>Forecasts!K31</f>
        <v>1.4235011293209028</v>
      </c>
      <c r="G28" s="350">
        <f>Forecasts!S31</f>
        <v>1.2894643512744843</v>
      </c>
      <c r="H28" s="45">
        <f>Forecasts!T31</f>
        <v>1.2992862925378208</v>
      </c>
      <c r="I28" s="45">
        <f>Forecasts!U31</f>
        <v>1.4285475615297478</v>
      </c>
      <c r="J28" s="45">
        <f>Forecasts!V31</f>
        <v>1.2148825987377825</v>
      </c>
      <c r="K28" s="360">
        <f>Forecasts!W31</f>
        <v>1.0901932028855634</v>
      </c>
      <c r="L28" s="364">
        <f>Forecasts!C67</f>
        <v>0.85377549670426178</v>
      </c>
      <c r="M28" s="361">
        <f t="shared" si="22"/>
        <v>75746.776479165565</v>
      </c>
      <c r="N28" s="46">
        <f t="shared" si="27"/>
        <v>10327.643847150855</v>
      </c>
      <c r="O28" s="46">
        <f t="shared" si="28"/>
        <v>39257.682767812352</v>
      </c>
      <c r="P28" s="46">
        <f t="shared" si="29"/>
        <v>8028.6100773122216</v>
      </c>
      <c r="Q28" s="340">
        <f t="shared" si="30"/>
        <v>18132.839786890137</v>
      </c>
      <c r="R28" s="343">
        <f t="shared" si="4"/>
        <v>5.4712096161638559</v>
      </c>
      <c r="S28" s="47">
        <f t="shared" si="5"/>
        <v>1.0547328483666166E-4</v>
      </c>
      <c r="T28" s="47">
        <f t="shared" si="6"/>
        <v>4.4655564368529806E-2</v>
      </c>
      <c r="U28" s="47">
        <f t="shared" si="7"/>
        <v>5.515970653817222</v>
      </c>
      <c r="V28" s="47">
        <f t="shared" si="23"/>
        <v>0.74596843529558066</v>
      </c>
      <c r="W28" s="47">
        <f t="shared" si="23"/>
        <v>1.4380684853061061E-5</v>
      </c>
      <c r="X28" s="47">
        <f t="shared" si="23"/>
        <v>6.0885332159124547E-3</v>
      </c>
      <c r="Y28" s="47">
        <f t="shared" si="31"/>
        <v>0.75207134919634611</v>
      </c>
      <c r="Z28" s="47">
        <f t="shared" si="24"/>
        <v>2.8355927664676659</v>
      </c>
      <c r="AA28" s="47">
        <f t="shared" si="24"/>
        <v>5.4664197594410815E-5</v>
      </c>
      <c r="AB28" s="47">
        <f t="shared" si="24"/>
        <v>2.3143875703800509E-2</v>
      </c>
      <c r="AC28" s="47">
        <f t="shared" si="32"/>
        <v>2.8587913063690609</v>
      </c>
      <c r="AD28" s="47">
        <f t="shared" si="25"/>
        <v>0.57990862055367765</v>
      </c>
      <c r="AE28" s="47">
        <f t="shared" si="25"/>
        <v>1.1179404812820788E-5</v>
      </c>
      <c r="AF28" s="47">
        <f t="shared" si="25"/>
        <v>4.7331666212337871E-3</v>
      </c>
      <c r="AG28" s="47">
        <f t="shared" si="13"/>
        <v>0.58465296657972421</v>
      </c>
      <c r="AH28" s="47">
        <f t="shared" si="26"/>
        <v>1.3097397938469313</v>
      </c>
      <c r="AI28" s="47">
        <f t="shared" si="26"/>
        <v>2.5248997576368987E-5</v>
      </c>
      <c r="AJ28" s="47">
        <f t="shared" si="26"/>
        <v>1.0689988827583057E-2</v>
      </c>
      <c r="AK28" s="344">
        <f t="shared" si="15"/>
        <v>1.3204550316720907</v>
      </c>
      <c r="AL28" s="384"/>
      <c r="AM28" s="364">
        <f>Forecasts!D67</f>
        <v>0.7842350634259766</v>
      </c>
      <c r="AN28" s="343">
        <f t="shared" si="0"/>
        <v>2.1507093574889433</v>
      </c>
      <c r="AO28" s="47">
        <f t="shared" si="16"/>
        <v>4.1461102128701785E-5</v>
      </c>
      <c r="AP28" s="47">
        <f t="shared" si="17"/>
        <v>1.7553913465060446E-2</v>
      </c>
      <c r="AQ28" s="47">
        <f t="shared" si="1"/>
        <v>2.1683047320561322</v>
      </c>
      <c r="AR28" s="47">
        <f>AR$8*$AM28*(ShrAirByVis*$H28)*Forecasts!$N119*(1-Forecasts!$B119)+V$8*$AM28*(ShrAirByVis*$H28)*(1-Forecasts!$N119)*(1-Forecasts!$F119-Forecasts!$J119)+V$8*$AM28*(1-ShrAirByVis)*$C28*Forecasts!$O119*(1-Forecasts!$B119)+V$8*$AM28*(1-ShrAirByVis)*$C28*(1-Forecasts!$O119)*(1-Forecasts!$F119-Forecasts!$J119)</f>
        <v>0.29250666058073915</v>
      </c>
      <c r="AS28" s="47">
        <f>AS$8*$AM28*(ShrAirByVis*$H28)*Forecasts!$N119*(1-Forecasts!$B119)+W$8*$AM28*(ShrAirByVis*$H28)*(1-Forecasts!$N119)*(1-Forecasts!$F119-Forecasts!$J119)+W$8*$AM28*(1-ShrAirByVis)*$C28*Forecasts!$O119*(1-Forecasts!$B119)+W$8*$AM28*(1-ShrAirByVis)*$C28*(1-Forecasts!$O119)*(1-Forecasts!$F119-Forecasts!$J119)</f>
        <v>5.6389062917469911E-6</v>
      </c>
      <c r="AT28" s="47">
        <f>AT$8*$AM28*(ShrAirByVis*$H28)*Forecasts!$N119*(1-Forecasts!$B119)+X$8*$AM28*(ShrAirByVis*$H28)*(1-Forecasts!$N119)*(1-Forecasts!$F119-Forecasts!$J119)+X$8*$AM28*(1-ShrAirByVis)*$C28*Forecasts!$O119*(1-Forecasts!$B119)+X$8*$AM28*(1-ShrAirByVis)*$C28*(1-Forecasts!$O119)*(1-Forecasts!$F119-Forecasts!$J119)</f>
        <v>2.3874153845608584E-3</v>
      </c>
      <c r="AU28" s="47">
        <f t="shared" si="33"/>
        <v>0.29489971487159172</v>
      </c>
      <c r="AV28" s="47">
        <f>AV$8*$AM28*(ShrAirByVis*$I28)*Forecasts!$N119*(1-Forecasts!$B119)+Z$8*$AM28*(ShrAirByVis*$H28)*(1-Forecasts!$N119)*(1-Forecasts!$F119-Forecasts!$J119)+Z$8*$AM28*(1-ShrAirByVis)*$C28*Forecasts!$O119*(1-Forecasts!$B119)+Z$8*$AM28*(1-ShrAirByVis)*$D28*(1-Forecasts!$O119)*(1-Forecasts!$F119-Forecasts!$J119)</f>
        <v>1.1198275035139409</v>
      </c>
      <c r="AW28" s="47">
        <f>AW$8*$AM28*(ShrAirByVis*$I28)*Forecasts!$N119*(1-Forecasts!$B119)+AA$8*$AM28*(ShrAirByVis*$H28)*(1-Forecasts!$N119)*(1-Forecasts!$F119-Forecasts!$J119)+AA$8*$AM28*(1-ShrAirByVis)*$C28*Forecasts!$O119*(1-Forecasts!$B119)+AA$8*$AM28*(1-ShrAirByVis)*$D28*(1-Forecasts!$O119)*(1-Forecasts!$F119-Forecasts!$J119)</f>
        <v>2.1587892537896935E-5</v>
      </c>
      <c r="AX28" s="47">
        <f>AX$8*$AM28*(ShrAirByVis*$I28)*Forecasts!$N119*(1-Forecasts!$B119)+AB$8*$AM28*(ShrAirByVis*$H28)*(1-Forecasts!$N119)*(1-Forecasts!$F119-Forecasts!$J119)+AB$8*$AM28*(1-ShrAirByVis)*$C28*Forecasts!$O119*(1-Forecasts!$B119)+AB$8*$AM28*(1-ShrAirByVis)*$D28*(1-Forecasts!$O119)*(1-Forecasts!$F119-Forecasts!$J119)</f>
        <v>9.1399402825072095E-3</v>
      </c>
      <c r="AY28" s="47">
        <f t="shared" si="34"/>
        <v>1.1289890316889859</v>
      </c>
      <c r="AZ28" s="47">
        <f>AZ$8*$AM28*(ShrAirByVis*$J28)*Forecasts!$N119*(1-Forecasts!$B119)+AD$8*$AM28*(ShrAirByVis*$H28)*(1-Forecasts!$N119)*(1-Forecasts!$F119-Forecasts!$J119)+AD$8*$AM28*(1-ShrAirByVis)*$C28*Forecasts!$O119*(1-Forecasts!$B119)+AD$8*$AM28*(1-ShrAirByVis)*$E28*(1-Forecasts!$O119)*(1-Forecasts!$F119-Forecasts!$J119)</f>
        <v>0.22661719724794682</v>
      </c>
      <c r="BA28" s="47">
        <f>BA$8*$AM28*(ShrAirByVis*$J28)*Forecasts!$N119*(1-Forecasts!$B119)+AE$8*$AM28*(ShrAirByVis*$H28)*(1-Forecasts!$N119)*(1-Forecasts!$F119-Forecasts!$J119)+AE$8*$AM28*(1-ShrAirByVis)*$C28*Forecasts!$O119*(1-Forecasts!$B119)+AE$8*$AM28*(1-ShrAirByVis)*$E28*(1-Forecasts!$O119)*(1-Forecasts!$F119-Forecasts!$J119)</f>
        <v>4.3686975771506967E-6</v>
      </c>
      <c r="BB28" s="47">
        <f>BB$8*$AM28*(ShrAirByVis*$J28)*Forecasts!$N119*(1-Forecasts!$B119)+AF$8*$AM28*(ShrAirByVis*$H28)*(1-Forecasts!$N119)*(1-Forecasts!$F119-Forecasts!$J119)+AF$8*$AM28*(1-ShrAirByVis)*$C28*Forecasts!$O119*(1-Forecasts!$B119)+AF$8*$AM28*(1-ShrAirByVis)*$E28*(1-Forecasts!$O119)*(1-Forecasts!$F119-Forecasts!$J119)</f>
        <v>1.8496309863223548E-3</v>
      </c>
      <c r="BC28" s="47">
        <f t="shared" si="20"/>
        <v>0.22847119693184631</v>
      </c>
      <c r="BD28" s="47">
        <f>BD$8*$AM28*(ShrAirByVis*$K28)*Forecasts!$N119*(1-Forecasts!$B119)+AH$8*$AM28*(ShrAirByVis*$H28)*(1-Forecasts!$N119)*(1-Forecasts!$F119-Forecasts!$J119)+AH$8*$AM28*(1-ShrAirByVis)*$C28*Forecasts!$O119*(1-Forecasts!$B119)+AH$8*$AM28*(1-ShrAirByVis)*$F28*(1-Forecasts!$O119)*(1-Forecasts!$F119-Forecasts!$J119)</f>
        <v>0.51175799614631634</v>
      </c>
      <c r="BE28" s="47">
        <f>BE$8*$AM28*(ShrAirByVis*$K28)*Forecasts!$N119*(1-Forecasts!$B119)+AI$8*$AM28*(ShrAirByVis*$H28)*(1-Forecasts!$N119)*(1-Forecasts!$F119-Forecasts!$J119)+AI$8*$AM28*(1-ShrAirByVis)*$C28*Forecasts!$O119*(1-Forecasts!$B119)+AI$8*$AM28*(1-ShrAirByVis)*$F28*(1-Forecasts!$O119)*(1-Forecasts!$F119-Forecasts!$J119)</f>
        <v>9.8656057219071612E-6</v>
      </c>
      <c r="BF28" s="47">
        <f>BF$8*$AM28*(ShrAirByVis*$K28)*Forecasts!$N119*(1-Forecasts!$B119)+AJ$8*$AM28*(ShrAirByVis*$H28)*(1-Forecasts!$N119)*(1-Forecasts!$F119-Forecasts!$J119)+AJ$8*$AM28*(1-ShrAirByVis)*$C28*Forecasts!$O119*(1-Forecasts!$B119)+AJ$8*$AM28*(1-ShrAirByVis)*$F28*(1-Forecasts!$O119)*(1-Forecasts!$F119-Forecasts!$J119)</f>
        <v>4.1769268116700221E-3</v>
      </c>
      <c r="BG28" s="344">
        <f t="shared" si="21"/>
        <v>0.51594478856370829</v>
      </c>
    </row>
    <row r="29" spans="1:59">
      <c r="A29" s="348">
        <f t="shared" si="3"/>
        <v>2043</v>
      </c>
      <c r="B29" s="355">
        <f>Forecasts!G32</f>
        <v>1.3513089850686739</v>
      </c>
      <c r="C29" s="45">
        <f>Forecasts!H32</f>
        <v>1.3871202638687801</v>
      </c>
      <c r="D29" s="45">
        <f>Forecasts!I32</f>
        <v>1.3277645712406112</v>
      </c>
      <c r="E29" s="45">
        <f>Forecasts!J32</f>
        <v>1.4198269362572236</v>
      </c>
      <c r="F29" s="356">
        <f>Forecasts!K32</f>
        <v>1.444282515534107</v>
      </c>
      <c r="G29" s="350">
        <f>Forecasts!S32</f>
        <v>1.3004333832389026</v>
      </c>
      <c r="H29" s="45">
        <f>Forecasts!T32</f>
        <v>1.3088583991685092</v>
      </c>
      <c r="I29" s="45">
        <f>Forecasts!U32</f>
        <v>1.4413195595965613</v>
      </c>
      <c r="J29" s="45">
        <f>Forecasts!V32</f>
        <v>1.2240717216708352</v>
      </c>
      <c r="K29" s="360">
        <f>Forecasts!W32</f>
        <v>1.099803515134778</v>
      </c>
      <c r="L29" s="364">
        <f>Forecasts!C68</f>
        <v>0.8458030147757889</v>
      </c>
      <c r="M29" s="361">
        <f t="shared" si="22"/>
        <v>75802.14729027031</v>
      </c>
      <c r="N29" s="46">
        <f t="shared" si="27"/>
        <v>10325.40406770291</v>
      </c>
      <c r="O29" s="46">
        <f t="shared" si="28"/>
        <v>39284.049761196133</v>
      </c>
      <c r="P29" s="46">
        <f t="shared" si="29"/>
        <v>8031.7123371086918</v>
      </c>
      <c r="Q29" s="340">
        <f t="shared" si="30"/>
        <v>18160.981124262573</v>
      </c>
      <c r="R29" s="343">
        <f t="shared" si="4"/>
        <v>5.4752090644341642</v>
      </c>
      <c r="S29" s="47">
        <f t="shared" si="5"/>
        <v>1.0555038569299834E-4</v>
      </c>
      <c r="T29" s="47">
        <f t="shared" si="6"/>
        <v>4.468820753744545E-2</v>
      </c>
      <c r="U29" s="47">
        <f t="shared" si="7"/>
        <v>5.5200028223573021</v>
      </c>
      <c r="V29" s="47">
        <f t="shared" si="23"/>
        <v>0.74580665543611613</v>
      </c>
      <c r="W29" s="47">
        <f t="shared" si="23"/>
        <v>1.4377566081455652E-5</v>
      </c>
      <c r="X29" s="47">
        <f t="shared" si="23"/>
        <v>6.0872127819618874E-3</v>
      </c>
      <c r="Y29" s="47">
        <f t="shared" si="31"/>
        <v>0.75190824578415949</v>
      </c>
      <c r="Z29" s="47">
        <f t="shared" si="24"/>
        <v>2.8374972613446241</v>
      </c>
      <c r="AA29" s="47">
        <f t="shared" si="24"/>
        <v>5.4700912205021583E-5</v>
      </c>
      <c r="AB29" s="47">
        <f t="shared" si="24"/>
        <v>2.3159420034859636E-2</v>
      </c>
      <c r="AC29" s="47">
        <f t="shared" si="32"/>
        <v>2.8607113822916888</v>
      </c>
      <c r="AD29" s="47">
        <f t="shared" si="25"/>
        <v>0.58013269759588626</v>
      </c>
      <c r="AE29" s="47">
        <f t="shared" si="25"/>
        <v>1.1183724541611364E-5</v>
      </c>
      <c r="AF29" s="47">
        <f t="shared" si="25"/>
        <v>4.7349955196829153E-3</v>
      </c>
      <c r="AG29" s="47">
        <f t="shared" si="13"/>
        <v>0.58487887684011075</v>
      </c>
      <c r="AH29" s="47">
        <f t="shared" si="26"/>
        <v>1.3117724500575374</v>
      </c>
      <c r="AI29" s="47">
        <f t="shared" si="26"/>
        <v>2.5288182864909727E-5</v>
      </c>
      <c r="AJ29" s="47">
        <f t="shared" si="26"/>
        <v>1.0706579200941013E-2</v>
      </c>
      <c r="AK29" s="344">
        <f t="shared" si="15"/>
        <v>1.3225043174413433</v>
      </c>
      <c r="AL29" s="384"/>
      <c r="AM29" s="364">
        <f>Forecasts!D68</f>
        <v>0.77447665754096062</v>
      </c>
      <c r="AN29" s="343">
        <f t="shared" si="0"/>
        <v>2.0120824549494767</v>
      </c>
      <c r="AO29" s="47">
        <f t="shared" si="16"/>
        <v>3.8788670289429438E-5</v>
      </c>
      <c r="AP29" s="47">
        <f t="shared" si="17"/>
        <v>1.6422452050883902E-2</v>
      </c>
      <c r="AQ29" s="47">
        <f t="shared" si="1"/>
        <v>2.02854369567065</v>
      </c>
      <c r="AR29" s="47">
        <f>AR$8*$AM29*(ShrAirByVis*$H29)*Forecasts!$N120*(1-Forecasts!$B120)+V$8*$AM29*(ShrAirByVis*$H29)*(1-Forecasts!$N120)*(1-Forecasts!$F120-Forecasts!$J120)+V$8*$AM29*(1-ShrAirByVis)*$C29*Forecasts!$O120*(1-Forecasts!$B120)+V$8*$AM29*(1-ShrAirByVis)*$C29*(1-Forecasts!$O120)*(1-Forecasts!$F120-Forecasts!$J120)</f>
        <v>0.27344466047703547</v>
      </c>
      <c r="AS29" s="47">
        <f>AS$8*$AM29*(ShrAirByVis*$H29)*Forecasts!$N120*(1-Forecasts!$B120)+W$8*$AM29*(ShrAirByVis*$H29)*(1-Forecasts!$N120)*(1-Forecasts!$F120-Forecasts!$J120)+W$8*$AM29*(1-ShrAirByVis)*$C29*Forecasts!$O120*(1-Forecasts!$B120)+W$8*$AM29*(1-ShrAirByVis)*$C29*(1-Forecasts!$O120)*(1-Forecasts!$F120-Forecasts!$J120)</f>
        <v>5.2714314721833977E-6</v>
      </c>
      <c r="AT29" s="47">
        <f>AT$8*$AM29*(ShrAirByVis*$H29)*Forecasts!$N120*(1-Forecasts!$B120)+X$8*$AM29*(ShrAirByVis*$H29)*(1-Forecasts!$N120)*(1-Forecasts!$F120-Forecasts!$J120)+X$8*$AM29*(1-ShrAirByVis)*$C29*Forecasts!$O120*(1-Forecasts!$B120)+X$8*$AM29*(1-ShrAirByVis)*$C29*(1-Forecasts!$O120)*(1-Forecasts!$F120-Forecasts!$J120)</f>
        <v>2.2318329023782988E-3</v>
      </c>
      <c r="AU29" s="47">
        <f t="shared" si="33"/>
        <v>0.27568176481088591</v>
      </c>
      <c r="AV29" s="47">
        <f>AV$8*$AM29*(ShrAirByVis*$I29)*Forecasts!$N120*(1-Forecasts!$B120)+Z$8*$AM29*(ShrAirByVis*$H29)*(1-Forecasts!$N120)*(1-Forecasts!$F120-Forecasts!$J120)+Z$8*$AM29*(1-ShrAirByVis)*$C29*Forecasts!$O120*(1-Forecasts!$B120)+Z$8*$AM29*(1-ShrAirByVis)*$D29*(1-Forecasts!$O120)*(1-Forecasts!$F120-Forecasts!$J120)</f>
        <v>1.0484486344628594</v>
      </c>
      <c r="AW29" s="47">
        <f>AW$8*$AM29*(ShrAirByVis*$I29)*Forecasts!$N120*(1-Forecasts!$B120)+AA$8*$AM29*(ShrAirByVis*$H29)*(1-Forecasts!$N120)*(1-Forecasts!$F120-Forecasts!$J120)+AA$8*$AM29*(1-ShrAirByVis)*$C29*Forecasts!$O120*(1-Forecasts!$B120)+AA$8*$AM29*(1-ShrAirByVis)*$D29*(1-Forecasts!$O120)*(1-Forecasts!$F120-Forecasts!$J120)</f>
        <v>2.0211859756315779E-5</v>
      </c>
      <c r="AX29" s="47">
        <f>AX$8*$AM29*(ShrAirByVis*$I29)*Forecasts!$N120*(1-Forecasts!$B120)+AB$8*$AM29*(ShrAirByVis*$H29)*(1-Forecasts!$N120)*(1-Forecasts!$F120-Forecasts!$J120)+AB$8*$AM29*(1-ShrAirByVis)*$C29*Forecasts!$O120*(1-Forecasts!$B120)+AB$8*$AM29*(1-ShrAirByVis)*$D29*(1-Forecasts!$O120)*(1-Forecasts!$F120-Forecasts!$J120)</f>
        <v>8.5573518048063096E-3</v>
      </c>
      <c r="AY29" s="47">
        <f t="shared" si="34"/>
        <v>1.057026198127422</v>
      </c>
      <c r="AZ29" s="47">
        <f>AZ$8*$AM29*(ShrAirByVis*$J29)*Forecasts!$N120*(1-Forecasts!$B120)+AD$8*$AM29*(ShrAirByVis*$H29)*(1-Forecasts!$N120)*(1-Forecasts!$F120-Forecasts!$J120)+AD$8*$AM29*(1-ShrAirByVis)*$C29*Forecasts!$O120*(1-Forecasts!$B120)+AD$8*$AM29*(1-ShrAirByVis)*$E29*(1-Forecasts!$O120)*(1-Forecasts!$F120-Forecasts!$J120)</f>
        <v>0.21180211398007562</v>
      </c>
      <c r="BA29" s="47">
        <f>BA$8*$AM29*(ShrAirByVis*$J29)*Forecasts!$N120*(1-Forecasts!$B120)+AE$8*$AM29*(ShrAirByVis*$H29)*(1-Forecasts!$N120)*(1-Forecasts!$F120-Forecasts!$J120)+AE$8*$AM29*(1-ShrAirByVis)*$C29*Forecasts!$O120*(1-Forecasts!$B120)+AE$8*$AM29*(1-ShrAirByVis)*$E29*(1-Forecasts!$O120)*(1-Forecasts!$F120-Forecasts!$J120)</f>
        <v>4.083094281533108E-6</v>
      </c>
      <c r="BB29" s="47">
        <f>BB$8*$AM29*(ShrAirByVis*$J29)*Forecasts!$N120*(1-Forecasts!$B120)+AF$8*$AM29*(ShrAirByVis*$H29)*(1-Forecasts!$N120)*(1-Forecasts!$F120-Forecasts!$J120)+AF$8*$AM29*(1-ShrAirByVis)*$C29*Forecasts!$O120*(1-Forecasts!$B120)+AF$8*$AM29*(1-ShrAirByVis)*$E29*(1-Forecasts!$O120)*(1-Forecasts!$F120-Forecasts!$J120)</f>
        <v>1.7287114912002844E-3</v>
      </c>
      <c r="BC29" s="47">
        <f t="shared" si="20"/>
        <v>0.21353490856555746</v>
      </c>
      <c r="BD29" s="47">
        <f>BD$8*$AM29*(ShrAirByVis*$K29)*Forecasts!$N120*(1-Forecasts!$B120)+AH$8*$AM29*(ShrAirByVis*$H29)*(1-Forecasts!$N120)*(1-Forecasts!$F120-Forecasts!$J120)+AH$8*$AM29*(1-ShrAirByVis)*$C29*Forecasts!$O120*(1-Forecasts!$B120)+AH$8*$AM29*(1-ShrAirByVis)*$F29*(1-Forecasts!$O120)*(1-Forecasts!$F120-Forecasts!$J120)</f>
        <v>0.47838704602950627</v>
      </c>
      <c r="BE29" s="47">
        <f>BE$8*$AM29*(ShrAirByVis*$K29)*Forecasts!$N120*(1-Forecasts!$B120)+AI$8*$AM29*(ShrAirByVis*$H29)*(1-Forecasts!$N120)*(1-Forecasts!$F120-Forecasts!$J120)+AI$8*$AM29*(1-ShrAirByVis)*$C29*Forecasts!$O120*(1-Forecasts!$B120)+AI$8*$AM29*(1-ShrAirByVis)*$F29*(1-Forecasts!$O120)*(1-Forecasts!$F120-Forecasts!$J120)</f>
        <v>9.2222847793971557E-6</v>
      </c>
      <c r="BF29" s="47">
        <f>BF$8*$AM29*(ShrAirByVis*$K29)*Forecasts!$N120*(1-Forecasts!$B120)+AJ$8*$AM29*(ShrAirByVis*$H29)*(1-Forecasts!$N120)*(1-Forecasts!$F120-Forecasts!$J120)+AJ$8*$AM29*(1-ShrAirByVis)*$C29*Forecasts!$O120*(1-Forecasts!$B120)+AJ$8*$AM29*(1-ShrAirByVis)*$F29*(1-Forecasts!$O120)*(1-Forecasts!$F120-Forecasts!$J120)</f>
        <v>3.9045558524990107E-3</v>
      </c>
      <c r="BG29" s="344">
        <f t="shared" si="21"/>
        <v>0.48230082416678466</v>
      </c>
    </row>
    <row r="30" spans="1:59">
      <c r="A30" s="348">
        <f t="shared" si="3"/>
        <v>2044</v>
      </c>
      <c r="B30" s="355">
        <f>Forecasts!G33</f>
        <v>1.3690415733876737</v>
      </c>
      <c r="C30" s="45">
        <f>Forecasts!H33</f>
        <v>1.4051284591083522</v>
      </c>
      <c r="D30" s="45">
        <f>Forecasts!I33</f>
        <v>1.3448205708272676</v>
      </c>
      <c r="E30" s="45">
        <f>Forecasts!J33</f>
        <v>1.4397644880178488</v>
      </c>
      <c r="F30" s="356">
        <f>Forecasts!K33</f>
        <v>1.4653672847261143</v>
      </c>
      <c r="G30" s="350">
        <f>Forecasts!S33</f>
        <v>1.311495725004493</v>
      </c>
      <c r="H30" s="45">
        <f>Forecasts!T33</f>
        <v>1.3185004800490929</v>
      </c>
      <c r="I30" s="45">
        <f>Forecasts!U33</f>
        <v>1.4542051447816404</v>
      </c>
      <c r="J30" s="45">
        <f>Forecasts!V33</f>
        <v>1.2333298390691829</v>
      </c>
      <c r="K30" s="360">
        <f>Forecasts!W33</f>
        <v>1.1094980856182286</v>
      </c>
      <c r="L30" s="364">
        <f>Forecasts!C69</f>
        <v>0.8381016913943079</v>
      </c>
      <c r="M30" s="361">
        <f t="shared" si="22"/>
        <v>75875.777034381012</v>
      </c>
      <c r="N30" s="46">
        <f t="shared" si="27"/>
        <v>10325.655867595566</v>
      </c>
      <c r="O30" s="46">
        <f t="shared" si="28"/>
        <v>39319.77477050625</v>
      </c>
      <c r="P30" s="46">
        <f t="shared" si="29"/>
        <v>8036.7749597535467</v>
      </c>
      <c r="Q30" s="340">
        <f t="shared" si="30"/>
        <v>18193.571436525654</v>
      </c>
      <c r="R30" s="343">
        <f t="shared" si="4"/>
        <v>5.4805273602447455</v>
      </c>
      <c r="S30" s="47">
        <f t="shared" si="5"/>
        <v>1.0565291112489146E-4</v>
      </c>
      <c r="T30" s="47">
        <f t="shared" si="6"/>
        <v>4.4731615031868385E-2</v>
      </c>
      <c r="U30" s="47">
        <f t="shared" si="7"/>
        <v>5.5253646281877389</v>
      </c>
      <c r="V30" s="47">
        <f t="shared" si="23"/>
        <v>0.74582484300868457</v>
      </c>
      <c r="W30" s="47">
        <f t="shared" si="23"/>
        <v>1.437791669917213E-5</v>
      </c>
      <c r="X30" s="47">
        <f t="shared" si="23"/>
        <v>6.087361227438211E-3</v>
      </c>
      <c r="Y30" s="47">
        <f t="shared" si="31"/>
        <v>0.75192658215282204</v>
      </c>
      <c r="Z30" s="47">
        <f t="shared" si="24"/>
        <v>2.8400776881767658</v>
      </c>
      <c r="AA30" s="47">
        <f t="shared" si="24"/>
        <v>5.4750657346107494E-5</v>
      </c>
      <c r="AB30" s="47">
        <f t="shared" si="24"/>
        <v>2.3180481267125453E-2</v>
      </c>
      <c r="AC30" s="47">
        <f t="shared" si="32"/>
        <v>2.8633129201012371</v>
      </c>
      <c r="AD30" s="47">
        <f t="shared" si="25"/>
        <v>0.58049837216297706</v>
      </c>
      <c r="AE30" s="47">
        <f t="shared" si="25"/>
        <v>1.1190773969521847E-5</v>
      </c>
      <c r="AF30" s="47">
        <f t="shared" si="25"/>
        <v>4.7379801255222542E-3</v>
      </c>
      <c r="AG30" s="47">
        <f t="shared" si="13"/>
        <v>0.58524754306246884</v>
      </c>
      <c r="AH30" s="47">
        <f t="shared" si="26"/>
        <v>1.314126456896318</v>
      </c>
      <c r="AI30" s="47">
        <f t="shared" si="26"/>
        <v>2.5333563110089997E-5</v>
      </c>
      <c r="AJ30" s="47">
        <f t="shared" si="26"/>
        <v>1.0725792411782465E-2</v>
      </c>
      <c r="AK30" s="344">
        <f t="shared" si="15"/>
        <v>1.3248775828712107</v>
      </c>
      <c r="AL30" s="384"/>
      <c r="AM30" s="364">
        <f>Forecasts!D69</f>
        <v>0.76483967760316085</v>
      </c>
      <c r="AN30" s="343">
        <f t="shared" si="0"/>
        <v>1.8692877576583378</v>
      </c>
      <c r="AO30" s="47">
        <f t="shared" si="16"/>
        <v>3.6035892231711151E-5</v>
      </c>
      <c r="AP30" s="47">
        <f t="shared" si="17"/>
        <v>1.5256973437611518E-2</v>
      </c>
      <c r="AQ30" s="47">
        <f t="shared" si="1"/>
        <v>1.8845807669881811</v>
      </c>
      <c r="AR30" s="47">
        <f>AR$8*$AM30*(ShrAirByVis*$H30)*Forecasts!$N121*(1-Forecasts!$B121)+V$8*$AM30*(ShrAirByVis*$H30)*(1-Forecasts!$N121)*(1-Forecasts!$F121-Forecasts!$J121)+V$8*$AM30*(1-ShrAirByVis)*$C30*Forecasts!$O121*(1-Forecasts!$B121)+V$8*$AM30*(1-ShrAirByVis)*$C30*(1-Forecasts!$O121)*(1-Forecasts!$F121-Forecasts!$J121)</f>
        <v>0.25384027089853922</v>
      </c>
      <c r="AS30" s="47">
        <f>AS$8*$AM30*(ShrAirByVis*$H30)*Forecasts!$N121*(1-Forecasts!$B121)+W$8*$AM30*(ShrAirByVis*$H30)*(1-Forecasts!$N121)*(1-Forecasts!$F121-Forecasts!$J121)+W$8*$AM30*(1-ShrAirByVis)*$C30*Forecasts!$O121*(1-Forecasts!$B121)+W$8*$AM30*(1-ShrAirByVis)*$C30*(1-Forecasts!$O121)*(1-Forecasts!$F121-Forecasts!$J121)</f>
        <v>4.8935005371388333E-6</v>
      </c>
      <c r="AT30" s="47">
        <f>AT$8*$AM30*(ShrAirByVis*$H30)*Forecasts!$N121*(1-Forecasts!$B121)+X$8*$AM30*(ShrAirByVis*$H30)*(1-Forecasts!$N121)*(1-Forecasts!$F121-Forecasts!$J121)+X$8*$AM30*(1-ShrAirByVis)*$C30*Forecasts!$O121*(1-Forecasts!$B121)+X$8*$AM30*(1-ShrAirByVis)*$C30*(1-Forecasts!$O121)*(1-Forecasts!$F121-Forecasts!$J121)</f>
        <v>2.0718234817664644E-3</v>
      </c>
      <c r="AU30" s="47">
        <f t="shared" si="33"/>
        <v>0.25591698788084283</v>
      </c>
      <c r="AV30" s="47">
        <f>AV$8*$AM30*(ShrAirByVis*$I30)*Forecasts!$N121*(1-Forecasts!$B121)+Z$8*$AM30*(ShrAirByVis*$H30)*(1-Forecasts!$N121)*(1-Forecasts!$F121-Forecasts!$J121)+Z$8*$AM30*(1-ShrAirByVis)*$C30*Forecasts!$O121*(1-Forecasts!$B121)+Z$8*$AM30*(1-ShrAirByVis)*$D30*(1-Forecasts!$O121)*(1-Forecasts!$F121-Forecasts!$J121)</f>
        <v>0.97505342595744249</v>
      </c>
      <c r="AW30" s="47">
        <f>AW$8*$AM30*(ShrAirByVis*$I30)*Forecasts!$N121*(1-Forecasts!$B121)+AA$8*$AM30*(ShrAirByVis*$H30)*(1-Forecasts!$N121)*(1-Forecasts!$F121-Forecasts!$J121)+AA$8*$AM30*(1-ShrAirByVis)*$C30*Forecasts!$O121*(1-Forecasts!$B121)+AA$8*$AM30*(1-ShrAirByVis)*$D30*(1-Forecasts!$O121)*(1-Forecasts!$F121-Forecasts!$J121)</f>
        <v>1.8796956238551132E-5</v>
      </c>
      <c r="AX30" s="47">
        <f>AX$8*$AM30*(ShrAirByVis*$I30)*Forecasts!$N121*(1-Forecasts!$B121)+AB$8*$AM30*(ShrAirByVis*$H30)*(1-Forecasts!$N121)*(1-Forecasts!$F121-Forecasts!$J121)+AB$8*$AM30*(1-ShrAirByVis)*$C30*Forecasts!$O121*(1-Forecasts!$B121)+AB$8*$AM30*(1-ShrAirByVis)*$D30*(1-Forecasts!$O121)*(1-Forecasts!$F121-Forecasts!$J121)</f>
        <v>7.9583061297745176E-3</v>
      </c>
      <c r="AY30" s="47">
        <f t="shared" si="34"/>
        <v>0.98303052904345556</v>
      </c>
      <c r="AZ30" s="47">
        <f>AZ$8*$AM30*(ShrAirByVis*$J30)*Forecasts!$N121*(1-Forecasts!$B121)+AD$8*$AM30*(ShrAirByVis*$H30)*(1-Forecasts!$N121)*(1-Forecasts!$F121-Forecasts!$J121)+AD$8*$AM30*(1-ShrAirByVis)*$C30*Forecasts!$O121*(1-Forecasts!$B121)+AD$8*$AM30*(1-ShrAirByVis)*$E30*(1-Forecasts!$O121)*(1-Forecasts!$F121-Forecasts!$J121)</f>
        <v>0.19653508411223639</v>
      </c>
      <c r="BA30" s="47">
        <f>BA$8*$AM30*(ShrAirByVis*$J30)*Forecasts!$N121*(1-Forecasts!$B121)+AE$8*$AM30*(ShrAirByVis*$H30)*(1-Forecasts!$N121)*(1-Forecasts!$F121-Forecasts!$J121)+AE$8*$AM30*(1-ShrAirByVis)*$C30*Forecasts!$O121*(1-Forecasts!$B121)+AE$8*$AM30*(1-ShrAirByVis)*$E30*(1-Forecasts!$O121)*(1-Forecasts!$F121-Forecasts!$J121)</f>
        <v>3.7887784167007411E-6</v>
      </c>
      <c r="BB30" s="47">
        <f>BB$8*$AM30*(ShrAirByVis*$J30)*Forecasts!$N121*(1-Forecasts!$B121)+AF$8*$AM30*(ShrAirByVis*$H30)*(1-Forecasts!$N121)*(1-Forecasts!$F121-Forecasts!$J121)+AF$8*$AM30*(1-ShrAirByVis)*$C30*Forecasts!$O121*(1-Forecasts!$B121)+AF$8*$AM30*(1-ShrAirByVis)*$E30*(1-Forecasts!$O121)*(1-Forecasts!$F121-Forecasts!$J121)</f>
        <v>1.6041032449789342E-3</v>
      </c>
      <c r="BC30" s="47">
        <f t="shared" si="20"/>
        <v>0.198142976135632</v>
      </c>
      <c r="BD30" s="47">
        <f>BD$8*$AM30*(ShrAirByVis*$K30)*Forecasts!$N121*(1-Forecasts!$B121)+AH$8*$AM30*(ShrAirByVis*$H30)*(1-Forecasts!$N121)*(1-Forecasts!$F121-Forecasts!$J121)+AH$8*$AM30*(1-ShrAirByVis)*$C30*Forecasts!$O121*(1-Forecasts!$B121)+AH$8*$AM30*(1-ShrAirByVis)*$F30*(1-Forecasts!$O121)*(1-Forecasts!$F121-Forecasts!$J121)</f>
        <v>0.44385897669011976</v>
      </c>
      <c r="BE30" s="47">
        <f>BE$8*$AM30*(ShrAirByVis*$K30)*Forecasts!$N121*(1-Forecasts!$B121)+AI$8*$AM30*(ShrAirByVis*$H30)*(1-Forecasts!$N121)*(1-Forecasts!$F121-Forecasts!$J121)+AI$8*$AM30*(1-ShrAirByVis)*$C30*Forecasts!$O121*(1-Forecasts!$B121)+AI$8*$AM30*(1-ShrAirByVis)*$F30*(1-Forecasts!$O121)*(1-Forecasts!$F121-Forecasts!$J121)</f>
        <v>8.5566570393204447E-6</v>
      </c>
      <c r="BF30" s="47">
        <f>BF$8*$AM30*(ShrAirByVis*$K30)*Forecasts!$N121*(1-Forecasts!$B121)+AJ$8*$AM30*(ShrAirByVis*$H30)*(1-Forecasts!$N121)*(1-Forecasts!$F121-Forecasts!$J121)+AJ$8*$AM30*(1-ShrAirByVis)*$C30*Forecasts!$O121*(1-Forecasts!$B121)+AJ$8*$AM30*(1-ShrAirByVis)*$F30*(1-Forecasts!$O121)*(1-Forecasts!$F121-Forecasts!$J121)</f>
        <v>3.6227405810916025E-3</v>
      </c>
      <c r="BG30" s="344">
        <f t="shared" si="21"/>
        <v>0.44749027392825064</v>
      </c>
    </row>
    <row r="31" spans="1:59" ht="15.75" thickBot="1">
      <c r="A31" s="348">
        <f t="shared" si="3"/>
        <v>2045</v>
      </c>
      <c r="B31" s="357">
        <f>Forecasts!G34</f>
        <v>1.3870073323571812</v>
      </c>
      <c r="C31" s="358">
        <f>Forecasts!H34</f>
        <v>1.4233704445276469</v>
      </c>
      <c r="D31" s="358">
        <f>Forecasts!I34</f>
        <v>1.3620956658230052</v>
      </c>
      <c r="E31" s="358">
        <f>Forecasts!J34</f>
        <v>1.4599820076816441</v>
      </c>
      <c r="F31" s="359">
        <f>Forecasts!K34</f>
        <v>1.486759865919651</v>
      </c>
      <c r="G31" s="350">
        <f>Forecasts!S34</f>
        <v>1.3226521703258027</v>
      </c>
      <c r="H31" s="45">
        <f>Forecasts!T34</f>
        <v>1.3282130430217443</v>
      </c>
      <c r="I31" s="45">
        <f>Forecasts!U34</f>
        <v>1.4672053222617878</v>
      </c>
      <c r="J31" s="45">
        <f>Forecasts!V34</f>
        <v>1.2426574654155285</v>
      </c>
      <c r="K31" s="360">
        <f>Forecasts!W34</f>
        <v>1.1192776493073777</v>
      </c>
      <c r="L31" s="365">
        <f>Forecasts!C70</f>
        <v>0.83057849951148455</v>
      </c>
      <c r="M31" s="361">
        <f t="shared" si="22"/>
        <v>75959.766950519872</v>
      </c>
      <c r="N31" s="46">
        <f t="shared" si="27"/>
        <v>10327.318348460449</v>
      </c>
      <c r="O31" s="46">
        <f t="shared" si="28"/>
        <v>39360.762602743038</v>
      </c>
      <c r="P31" s="46">
        <f t="shared" si="29"/>
        <v>8042.9597431727534</v>
      </c>
      <c r="Q31" s="340">
        <f t="shared" si="30"/>
        <v>18228.726256143626</v>
      </c>
      <c r="R31" s="345">
        <f t="shared" si="4"/>
        <v>5.4865939740097032</v>
      </c>
      <c r="S31" s="346">
        <f t="shared" si="5"/>
        <v>1.0576986253536842E-4</v>
      </c>
      <c r="T31" s="346">
        <f t="shared" si="6"/>
        <v>4.4781130236089359E-2</v>
      </c>
      <c r="U31" s="346">
        <f t="shared" si="7"/>
        <v>5.5314808741083281</v>
      </c>
      <c r="V31" s="47">
        <f t="shared" si="23"/>
        <v>0.74594492443943883</v>
      </c>
      <c r="W31" s="47">
        <f t="shared" si="23"/>
        <v>1.4380231613759231E-5</v>
      </c>
      <c r="X31" s="47">
        <f t="shared" si="23"/>
        <v>6.0883413222319977E-3</v>
      </c>
      <c r="Y31" s="346">
        <f t="shared" si="31"/>
        <v>0.75204764599328455</v>
      </c>
      <c r="Z31" s="47">
        <f t="shared" si="24"/>
        <v>2.8430382500950846</v>
      </c>
      <c r="AA31" s="47">
        <f t="shared" si="24"/>
        <v>5.4807730683156191E-5</v>
      </c>
      <c r="AB31" s="47">
        <f t="shared" si="24"/>
        <v>2.3204645130801945E-2</v>
      </c>
      <c r="AC31" s="346">
        <f t="shared" si="32"/>
        <v>2.8662977029565697</v>
      </c>
      <c r="AD31" s="47">
        <f t="shared" si="25"/>
        <v>0.58094510069836713</v>
      </c>
      <c r="AE31" s="47">
        <f t="shared" si="25"/>
        <v>1.1199385945549718E-5</v>
      </c>
      <c r="AF31" s="47">
        <f t="shared" si="25"/>
        <v>4.7416262872062159E-3</v>
      </c>
      <c r="AG31" s="346">
        <f t="shared" si="13"/>
        <v>0.58569792637151885</v>
      </c>
      <c r="AH31" s="47">
        <f t="shared" si="26"/>
        <v>1.3166656987768128</v>
      </c>
      <c r="AI31" s="47">
        <f t="shared" si="26"/>
        <v>2.538251429290328E-5</v>
      </c>
      <c r="AJ31" s="47">
        <f t="shared" si="26"/>
        <v>1.0746517495849196E-2</v>
      </c>
      <c r="AK31" s="347">
        <f t="shared" si="15"/>
        <v>1.3274375987869549</v>
      </c>
      <c r="AL31" s="385"/>
      <c r="AM31" s="364">
        <f>Forecasts!D70</f>
        <v>0.75532261268335088</v>
      </c>
      <c r="AN31" s="345">
        <f t="shared" si="0"/>
        <v>1.7206972152085529</v>
      </c>
      <c r="AO31" s="346">
        <f t="shared" si="16"/>
        <v>3.3171382606355416E-5</v>
      </c>
      <c r="AP31" s="346">
        <f t="shared" si="17"/>
        <v>1.4044189611285823E-2</v>
      </c>
      <c r="AQ31" s="346">
        <f t="shared" si="1"/>
        <v>1.7347745762024449</v>
      </c>
      <c r="AR31" s="47">
        <f>AR$8*$AM31*(ShrAirByVis*$H31)*Forecasts!$N122*(1-Forecasts!$B122)+V$8*$AM31*(ShrAirByVis*$H31)*(1-Forecasts!$N122)*(1-Forecasts!$F122-Forecasts!$J122)+V$8*$AM31*(1-ShrAirByVis)*$C31*Forecasts!$O122*(1-Forecasts!$B122)+V$8*$AM31*(1-ShrAirByVis)*$C31*(1-Forecasts!$O122)*(1-Forecasts!$F122-Forecasts!$J122)</f>
        <v>0.23347175139996953</v>
      </c>
      <c r="AS31" s="47">
        <f>AS$8*$AM31*(ShrAirByVis*$H31)*Forecasts!$N122*(1-Forecasts!$B122)+W$8*$AM31*(ShrAirByVis*$H31)*(1-Forecasts!$N122)*(1-Forecasts!$F122-Forecasts!$J122)+W$8*$AM31*(1-ShrAirByVis)*$C31*Forecasts!$O122*(1-Forecasts!$B122)+W$8*$AM31*(1-ShrAirByVis)*$C31*(1-Forecasts!$O122)*(1-Forecasts!$F122-Forecasts!$J122)</f>
        <v>4.5008388024418464E-6</v>
      </c>
      <c r="AT31" s="47">
        <f>AT$8*$AM31*(ShrAirByVis*$H31)*Forecasts!$N122*(1-Forecasts!$B122)+X$8*$AM31*(ShrAirByVis*$H31)*(1-Forecasts!$N122)*(1-Forecasts!$F122-Forecasts!$J122)+X$8*$AM31*(1-ShrAirByVis)*$C31*Forecasts!$O122*(1-Forecasts!$B122)+X$8*$AM31*(1-ShrAirByVis)*$C31*(1-Forecasts!$O122)*(1-Forecasts!$F122-Forecasts!$J122)</f>
        <v>1.9055772953888025E-3</v>
      </c>
      <c r="AU31" s="346">
        <f t="shared" si="33"/>
        <v>0.23538182953416079</v>
      </c>
      <c r="AV31" s="47">
        <f>AV$8*$AM31*(ShrAirByVis*$I31)*Forecasts!$N122*(1-Forecasts!$B122)+Z$8*$AM31*(ShrAirByVis*$H31)*(1-Forecasts!$N122)*(1-Forecasts!$F122-Forecasts!$J122)+Z$8*$AM31*(1-ShrAirByVis)*$C31*Forecasts!$O122*(1-Forecasts!$B122)+Z$8*$AM31*(1-ShrAirByVis)*$D31*(1-Forecasts!$O122)*(1-Forecasts!$F122-Forecasts!$J122)</f>
        <v>0.89885364895954512</v>
      </c>
      <c r="AW31" s="47">
        <f>AW$8*$AM31*(ShrAirByVis*$I31)*Forecasts!$N122*(1-Forecasts!$B122)+AA$8*$AM31*(ShrAirByVis*$H31)*(1-Forecasts!$N122)*(1-Forecasts!$F122-Forecasts!$J122)+AA$8*$AM31*(1-ShrAirByVis)*$C31*Forecasts!$O122*(1-Forecasts!$B122)+AA$8*$AM31*(1-ShrAirByVis)*$D31*(1-Forecasts!$O122)*(1-Forecasts!$F122-Forecasts!$J122)</f>
        <v>1.7327986605209885E-5</v>
      </c>
      <c r="AX31" s="47">
        <f>AX$8*$AM31*(ShrAirByVis*$I31)*Forecasts!$N122*(1-Forecasts!$B122)+AB$8*$AM31*(ShrAirByVis*$H31)*(1-Forecasts!$N122)*(1-Forecasts!$F122-Forecasts!$J122)+AB$8*$AM31*(1-ShrAirByVis)*$C31*Forecasts!$O122*(1-Forecasts!$B122)+AB$8*$AM31*(1-ShrAirByVis)*$D31*(1-Forecasts!$O122)*(1-Forecasts!$F122-Forecasts!$J122)</f>
        <v>7.3363697966198991E-3</v>
      </c>
      <c r="AY31" s="346">
        <f t="shared" si="34"/>
        <v>0.90620734674277026</v>
      </c>
      <c r="AZ31" s="47">
        <f>AZ$8*$AM31*(ShrAirByVis*$J31)*Forecasts!$N122*(1-Forecasts!$B122)+AD$8*$AM31*(ShrAirByVis*$H31)*(1-Forecasts!$N122)*(1-Forecasts!$F122-Forecasts!$J122)+AD$8*$AM31*(1-ShrAirByVis)*$C31*Forecasts!$O122*(1-Forecasts!$B122)+AD$8*$AM31*(1-ShrAirByVis)*$E31*(1-Forecasts!$O122)*(1-Forecasts!$F122-Forecasts!$J122)</f>
        <v>0.1806353706386078</v>
      </c>
      <c r="BA31" s="47">
        <f>BA$8*$AM31*(ShrAirByVis*$J31)*Forecasts!$N122*(1-Forecasts!$B122)+AE$8*$AM31*(ShrAirByVis*$H31)*(1-Forecasts!$N122)*(1-Forecasts!$F122-Forecasts!$J122)+AE$8*$AM31*(1-ShrAirByVis)*$C31*Forecasts!$O122*(1-Forecasts!$B122)+AE$8*$AM31*(1-ShrAirByVis)*$E31*(1-Forecasts!$O122)*(1-Forecasts!$F122-Forecasts!$J122)</f>
        <v>3.4822657575858527E-6</v>
      </c>
      <c r="BB31" s="47">
        <f>BB$8*$AM31*(ShrAirByVis*$J31)*Forecasts!$N122*(1-Forecasts!$B122)+AF$8*$AM31*(ShrAirByVis*$H31)*(1-Forecasts!$N122)*(1-Forecasts!$F122-Forecasts!$J122)+AF$8*$AM31*(1-ShrAirByVis)*$C31*Forecasts!$O122*(1-Forecasts!$B122)+AF$8*$AM31*(1-ShrAirByVis)*$E31*(1-Forecasts!$O122)*(1-Forecasts!$F122-Forecasts!$J122)</f>
        <v>1.4743310870332432E-3</v>
      </c>
      <c r="BC31" s="346">
        <f t="shared" si="20"/>
        <v>0.18211318399139861</v>
      </c>
      <c r="BD31" s="47">
        <f>BD$8*$AM31*(ShrAirByVis*$K31)*Forecasts!$N122*(1-Forecasts!$B122)+AH$8*$AM31*(ShrAirByVis*$H31)*(1-Forecasts!$N122)*(1-Forecasts!$F122-Forecasts!$J122)+AH$8*$AM31*(1-ShrAirByVis)*$C31*Forecasts!$O122*(1-Forecasts!$B122)+AH$8*$AM31*(1-ShrAirByVis)*$F31*(1-Forecasts!$O122)*(1-Forecasts!$F122-Forecasts!$J122)</f>
        <v>0.40773644421043032</v>
      </c>
      <c r="BE31" s="47">
        <f>BE$8*$AM31*(ShrAirByVis*$K31)*Forecasts!$N122*(1-Forecasts!$B122)+AI$8*$AM31*(ShrAirByVis*$H31)*(1-Forecasts!$N122)*(1-Forecasts!$F122-Forecasts!$J122)+AI$8*$AM31*(1-ShrAirByVis)*$C31*Forecasts!$O122*(1-Forecasts!$B122)+AI$8*$AM31*(1-ShrAirByVis)*$F31*(1-Forecasts!$O122)*(1-Forecasts!$F122-Forecasts!$J122)</f>
        <v>7.8602914411178288E-6</v>
      </c>
      <c r="BF31" s="47">
        <f>BF$8*$AM31*(ShrAirByVis*$K31)*Forecasts!$N122*(1-Forecasts!$B122)+AJ$8*$AM31*(ShrAirByVis*$H31)*(1-Forecasts!$N122)*(1-Forecasts!$F122-Forecasts!$J122)+AJ$8*$AM31*(1-ShrAirByVis)*$C31*Forecasts!$O122*(1-Forecasts!$B122)+AJ$8*$AM31*(1-ShrAirByVis)*$F31*(1-Forecasts!$O122)*(1-Forecasts!$F122-Forecasts!$J122)</f>
        <v>3.3279114322438781E-3</v>
      </c>
      <c r="BG31" s="347">
        <f t="shared" si="21"/>
        <v>0.4110722159341153</v>
      </c>
    </row>
    <row r="32" spans="1:59">
      <c r="B32" s="242"/>
      <c r="C32" s="242"/>
      <c r="D32" s="242"/>
      <c r="E32" s="242"/>
      <c r="F32" s="352"/>
      <c r="G32" s="49"/>
      <c r="H32" s="49"/>
      <c r="I32" s="49"/>
      <c r="J32" s="49"/>
      <c r="K32" s="49"/>
      <c r="L32" s="242"/>
      <c r="R32" s="242"/>
      <c r="S32" s="242"/>
      <c r="T32" s="242"/>
      <c r="U32" s="242"/>
      <c r="V32" s="242"/>
      <c r="W32" s="242"/>
      <c r="X32" s="242"/>
      <c r="Y32" s="242"/>
      <c r="Z32" s="242"/>
      <c r="AA32" s="242"/>
      <c r="AB32" s="242"/>
      <c r="AC32" s="242"/>
      <c r="AD32" s="242"/>
      <c r="AE32" s="242"/>
      <c r="AF32" s="242"/>
      <c r="AG32" s="242"/>
      <c r="AH32" s="242"/>
      <c r="AI32" s="242"/>
      <c r="AJ32" s="242"/>
      <c r="AK32" s="242"/>
      <c r="AL32" s="242"/>
    </row>
    <row r="33" spans="1:22">
      <c r="A33" s="55" t="s">
        <v>63</v>
      </c>
      <c r="F33" s="50">
        <f>ShrVisitorComputations!B124</f>
        <v>0.68381569140006859</v>
      </c>
      <c r="G33" s="49"/>
      <c r="H33" s="49"/>
      <c r="I33" s="49"/>
      <c r="J33" s="49"/>
      <c r="K33" s="49"/>
    </row>
    <row r="34" spans="1:22">
      <c r="A34" s="55" t="s">
        <v>64</v>
      </c>
      <c r="F34" s="49"/>
      <c r="G34" s="49"/>
      <c r="H34" s="49"/>
      <c r="I34" s="49"/>
      <c r="J34" s="49"/>
      <c r="K34" s="49"/>
    </row>
    <row r="35" spans="1:22">
      <c r="F35" s="49"/>
      <c r="G35" s="49"/>
      <c r="H35" s="49"/>
      <c r="I35" s="49"/>
      <c r="J35" s="49"/>
      <c r="K35" s="49"/>
      <c r="U35" s="315">
        <f>V35-V7</f>
        <v>0</v>
      </c>
      <c r="V35" s="316">
        <f>V$5*$L7*(ShrAirByVis*$H7)*Forecasts!N98*(1-Forecasts!C98)+V$5*$L7*(ShrAirByVis*$H7)*(1-Forecasts!N98)*(1-Forecasts!G98-Forecasts!K98)+V$5*$L7*(1-ShrAirByVis)*$C7*Forecasts!O98*(1-Forecasts!C98)+V$5*$L7*(1-ShrAirByVis)*$C7*(1-Forecasts!O98)*(1-Forecasts!G98-Forecasts!K98)</f>
        <v>0.50616524826805398</v>
      </c>
    </row>
    <row r="36" spans="1:22">
      <c r="F36" s="49"/>
      <c r="G36" s="49"/>
      <c r="H36" s="49"/>
      <c r="I36" s="49"/>
      <c r="J36" s="49"/>
      <c r="K36" s="49"/>
      <c r="U36" s="315">
        <f>V36-V8</f>
        <v>0</v>
      </c>
      <c r="V36" s="316">
        <f>V$5*$L8*(ShrAirByVis*$H8)*Forecasts!N99*(1-Forecasts!C99)+V$5*$L8*(ShrAirByVis*$H8)*(1-Forecasts!N99)*(1-Forecasts!G99-Forecasts!K99)+V$5*$L8*(1-ShrAirByVis)*$C8*Forecasts!O99*(1-Forecasts!C99)+V$5*$L8*(1-ShrAirByVis)*$C8*(1-Forecasts!O99)*(1-Forecasts!G99-Forecasts!K99)</f>
        <v>0.66119608816253339</v>
      </c>
    </row>
    <row r="37" spans="1:22">
      <c r="F37" s="49"/>
      <c r="G37" s="49"/>
      <c r="H37" s="49"/>
      <c r="I37" s="49"/>
      <c r="J37" s="49"/>
      <c r="K37" s="49"/>
      <c r="U37" s="315">
        <f>V37-V9</f>
        <v>0</v>
      </c>
      <c r="V37" s="316">
        <f>V$5*$L9*(ShrAirByVis*$H9)*Forecasts!N100*(1-Forecasts!C100)+V$5*$L9*(ShrAirByVis*$H9)*(1-Forecasts!N100)*(1-Forecasts!G100-Forecasts!K100)+V$5*$L9*(1-ShrAirByVis)*$C9*Forecasts!O100*(1-Forecasts!C100)+V$5*$L9*(1-ShrAirByVis)*$C9*(1-Forecasts!O100)*(1-Forecasts!G100-Forecasts!K100)</f>
        <v>0.68886711392636324</v>
      </c>
    </row>
    <row r="38" spans="1:22">
      <c r="U38" s="315">
        <f>V38-V10</f>
        <v>0</v>
      </c>
      <c r="V38" s="316">
        <f>V$5*$L10*(ShrAirByVis*$H10)*Forecasts!N101*(1-Forecasts!C101)+V$5*$L10*(ShrAirByVis*$H10)*(1-Forecasts!N101)*(1-Forecasts!G101-Forecasts!K101)+V$5*$L10*(1-ShrAirByVis)*$C10*Forecasts!O101*(1-Forecasts!C101)+V$5*$L10*(1-ShrAirByVis)*$C10*(1-Forecasts!O101)*(1-Forecasts!G101-Forecasts!K101)</f>
        <v>0.68857827842498553</v>
      </c>
    </row>
  </sheetData>
  <mergeCells count="21">
    <mergeCell ref="A2:A4"/>
    <mergeCell ref="B2:F2"/>
    <mergeCell ref="G2:K2"/>
    <mergeCell ref="Z3:AC3"/>
    <mergeCell ref="M4:Q4"/>
    <mergeCell ref="M2:Q2"/>
    <mergeCell ref="R2:AK2"/>
    <mergeCell ref="AD3:AG3"/>
    <mergeCell ref="AH3:AK3"/>
    <mergeCell ref="V3:Y3"/>
    <mergeCell ref="R3:U3"/>
    <mergeCell ref="R1:AK1"/>
    <mergeCell ref="B4:F4"/>
    <mergeCell ref="G4:K4"/>
    <mergeCell ref="AN2:BG2"/>
    <mergeCell ref="AN3:AQ3"/>
    <mergeCell ref="AR3:AU3"/>
    <mergeCell ref="AV3:AY3"/>
    <mergeCell ref="AZ3:BC3"/>
    <mergeCell ref="BD3:BG3"/>
    <mergeCell ref="AM1:BG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0A18A-10B1-46C0-B73F-E882A958D29A}">
  <sheetPr codeName="Sheet5">
    <tabColor rgb="FF00B0F0"/>
  </sheetPr>
  <dimension ref="A1:L39"/>
  <sheetViews>
    <sheetView topLeftCell="A19" workbookViewId="0">
      <selection activeCell="E38" sqref="E38"/>
    </sheetView>
  </sheetViews>
  <sheetFormatPr defaultColWidth="8.5703125" defaultRowHeight="15"/>
  <cols>
    <col min="2" max="2" width="9.140625" bestFit="1" customWidth="1"/>
    <col min="3" max="3" width="10.140625" bestFit="1" customWidth="1"/>
    <col min="4" max="4" width="9.140625" bestFit="1" customWidth="1"/>
    <col min="5" max="6" width="10.140625" bestFit="1" customWidth="1"/>
  </cols>
  <sheetData>
    <row r="1" spans="1:12" s="37" customFormat="1">
      <c r="A1" s="27" t="s">
        <v>65</v>
      </c>
    </row>
    <row r="2" spans="1:12">
      <c r="B2" t="s">
        <v>329</v>
      </c>
    </row>
    <row r="3" spans="1:12">
      <c r="A3" s="2"/>
      <c r="B3" s="38" t="s">
        <v>41</v>
      </c>
      <c r="C3" s="38" t="s">
        <v>56</v>
      </c>
      <c r="D3" s="38" t="s">
        <v>43</v>
      </c>
      <c r="E3" s="38" t="s">
        <v>44</v>
      </c>
      <c r="F3" s="38" t="s">
        <v>40</v>
      </c>
      <c r="G3" s="38" t="s">
        <v>100</v>
      </c>
      <c r="J3" s="314"/>
      <c r="K3" s="314"/>
      <c r="L3" s="314"/>
    </row>
    <row r="4" spans="1:12">
      <c r="A4" s="7" t="s">
        <v>66</v>
      </c>
      <c r="B4" s="39">
        <f>$F$4*B18</f>
        <v>0.66660546288491029</v>
      </c>
      <c r="C4" s="39">
        <f>$F$4*C18</f>
        <v>2.4065791633663776</v>
      </c>
      <c r="D4" s="39">
        <f>$F$4*D18</f>
        <v>0.53773347149631701</v>
      </c>
      <c r="E4" s="39">
        <f>$F$4*E18</f>
        <v>1.29360388165827</v>
      </c>
      <c r="F4" s="39">
        <f>SUM(F5:F7)</f>
        <v>4.9045219794058745</v>
      </c>
      <c r="G4" s="2"/>
    </row>
    <row r="5" spans="1:12">
      <c r="A5" s="2" t="s">
        <v>59</v>
      </c>
      <c r="B5" s="39">
        <f t="shared" ref="B5:E7" si="0">B$4*$C12</f>
        <v>0.66119608816253339</v>
      </c>
      <c r="C5" s="39">
        <f t="shared" si="0"/>
        <v>2.3870502377596567</v>
      </c>
      <c r="D5" s="39">
        <f t="shared" si="0"/>
        <v>0.5333698681206418</v>
      </c>
      <c r="E5" s="39">
        <f t="shared" si="0"/>
        <v>1.2831065357350504</v>
      </c>
      <c r="F5" s="39">
        <v>4.8647227297778821</v>
      </c>
      <c r="G5" s="312">
        <f>SUM(B5:E5)-F5</f>
        <v>0</v>
      </c>
      <c r="J5" s="309"/>
    </row>
    <row r="6" spans="1:12">
      <c r="A6" s="2" t="s">
        <v>60</v>
      </c>
      <c r="B6" s="39">
        <f t="shared" si="0"/>
        <v>1.2746454300274199E-5</v>
      </c>
      <c r="C6" s="39">
        <f t="shared" si="0"/>
        <v>4.6017251633501481E-5</v>
      </c>
      <c r="D6" s="39">
        <f t="shared" si="0"/>
        <v>1.0282236647885052E-5</v>
      </c>
      <c r="E6" s="39">
        <f t="shared" si="0"/>
        <v>2.4735565005505004E-5</v>
      </c>
      <c r="F6" s="39">
        <v>9.3781507587165742E-5</v>
      </c>
      <c r="G6" s="312">
        <f>SUM(B6:E6)-F6</f>
        <v>0</v>
      </c>
      <c r="J6" s="309"/>
    </row>
    <row r="7" spans="1:12">
      <c r="A7" s="2" t="s">
        <v>61</v>
      </c>
      <c r="B7" s="39">
        <f t="shared" si="0"/>
        <v>5.3966282680765511E-3</v>
      </c>
      <c r="C7" s="39">
        <f t="shared" si="0"/>
        <v>1.9482908355086929E-2</v>
      </c>
      <c r="D7" s="39">
        <f t="shared" si="0"/>
        <v>4.3533211390273038E-3</v>
      </c>
      <c r="E7" s="39">
        <f t="shared" si="0"/>
        <v>1.0472610358214035E-2</v>
      </c>
      <c r="F7" s="39">
        <v>3.9705468120404819E-2</v>
      </c>
      <c r="G7" s="312">
        <f>SUM(B7:E7)-F7</f>
        <v>0</v>
      </c>
      <c r="J7" s="309"/>
    </row>
    <row r="8" spans="1:12">
      <c r="A8" s="311" t="s">
        <v>331</v>
      </c>
      <c r="B8" s="310"/>
      <c r="C8" s="310"/>
      <c r="D8" s="310"/>
      <c r="E8" s="310"/>
      <c r="F8" s="310"/>
      <c r="J8" s="309"/>
    </row>
    <row r="9" spans="1:12">
      <c r="B9" s="310"/>
      <c r="C9" s="310"/>
      <c r="D9" s="310"/>
      <c r="E9" s="310"/>
      <c r="F9" s="310"/>
      <c r="J9" s="309"/>
    </row>
    <row r="11" spans="1:12">
      <c r="A11" s="2"/>
      <c r="B11" s="7" t="s">
        <v>66</v>
      </c>
      <c r="C11" s="7" t="s">
        <v>67</v>
      </c>
    </row>
    <row r="12" spans="1:12">
      <c r="A12" s="2" t="s">
        <v>59</v>
      </c>
      <c r="B12" s="40">
        <f>F5</f>
        <v>4.8647227297778821</v>
      </c>
      <c r="C12" s="17">
        <f>B12/$B$15</f>
        <v>0.99188519293111344</v>
      </c>
    </row>
    <row r="13" spans="1:12">
      <c r="A13" s="2" t="s">
        <v>60</v>
      </c>
      <c r="B13" s="40">
        <f>F6</f>
        <v>9.3781507587165742E-5</v>
      </c>
      <c r="C13" s="16">
        <f>B13/$B$15</f>
        <v>1.9121436906788267E-5</v>
      </c>
    </row>
    <row r="14" spans="1:12">
      <c r="A14" s="2" t="s">
        <v>61</v>
      </c>
      <c r="B14" s="40">
        <f>F7</f>
        <v>3.9705468120404819E-2</v>
      </c>
      <c r="C14" s="16">
        <f>B14/$B$15</f>
        <v>8.0956856319797082E-3</v>
      </c>
    </row>
    <row r="15" spans="1:12">
      <c r="A15" s="2" t="s">
        <v>68</v>
      </c>
      <c r="B15" s="40">
        <f>SUM(B12:B14)</f>
        <v>4.9045219794058745</v>
      </c>
      <c r="C15" s="18">
        <f>B15/$B$15</f>
        <v>1</v>
      </c>
    </row>
    <row r="17" spans="1:6">
      <c r="A17" s="2"/>
      <c r="B17" s="38" t="s">
        <v>41</v>
      </c>
      <c r="C17" s="38" t="s">
        <v>56</v>
      </c>
      <c r="D17" s="38" t="s">
        <v>43</v>
      </c>
      <c r="E17" s="38" t="s">
        <v>44</v>
      </c>
      <c r="F17" s="38" t="s">
        <v>40</v>
      </c>
    </row>
    <row r="18" spans="1:6">
      <c r="A18" s="2" t="s">
        <v>332</v>
      </c>
      <c r="B18" s="313">
        <v>0.13591650025914692</v>
      </c>
      <c r="C18" s="313">
        <v>0.49068577395954627</v>
      </c>
      <c r="D18" s="313">
        <v>0.10964034288239791</v>
      </c>
      <c r="E18" s="313">
        <v>0.26375738289890893</v>
      </c>
      <c r="F18" s="313">
        <f>SUM(B18:E18)</f>
        <v>1</v>
      </c>
    </row>
    <row r="19" spans="1:6">
      <c r="A19" t="s">
        <v>330</v>
      </c>
    </row>
    <row r="21" spans="1:6">
      <c r="A21" t="s">
        <v>69</v>
      </c>
    </row>
    <row r="22" spans="1:6">
      <c r="A22" s="2"/>
      <c r="B22" s="38" t="s">
        <v>41</v>
      </c>
      <c r="C22" s="38" t="s">
        <v>56</v>
      </c>
      <c r="D22" s="38" t="s">
        <v>43</v>
      </c>
      <c r="E22" s="38" t="s">
        <v>44</v>
      </c>
      <c r="F22" s="38" t="s">
        <v>40</v>
      </c>
    </row>
    <row r="23" spans="1:6">
      <c r="A23" s="2">
        <v>2022</v>
      </c>
      <c r="B23" s="3">
        <f>B4/$F$4*$F$23</f>
        <v>9154.0035590999996</v>
      </c>
      <c r="C23" s="3">
        <f>C4/$F$4*$F$23</f>
        <v>33047.785314227433</v>
      </c>
      <c r="D23" s="3">
        <f>D4/$F$4*$F$23</f>
        <v>7384.299088431474</v>
      </c>
      <c r="E23" s="3">
        <f>E4/$F$4*$F$23</f>
        <v>17764.112651458789</v>
      </c>
      <c r="F23" s="3">
        <v>67350.20061321769</v>
      </c>
    </row>
    <row r="24" spans="1:6">
      <c r="A24" t="s">
        <v>334</v>
      </c>
    </row>
    <row r="26" spans="1:6">
      <c r="F26" s="7" t="s">
        <v>40</v>
      </c>
    </row>
    <row r="27" spans="1:6" ht="30">
      <c r="A27" s="2"/>
      <c r="B27" s="38" t="s">
        <v>41</v>
      </c>
      <c r="C27" s="38" t="s">
        <v>56</v>
      </c>
      <c r="D27" s="38" t="s">
        <v>43</v>
      </c>
      <c r="E27" s="38" t="s">
        <v>44</v>
      </c>
      <c r="F27" s="38" t="s">
        <v>304</v>
      </c>
    </row>
    <row r="28" spans="1:6">
      <c r="A28" s="2">
        <v>2022</v>
      </c>
      <c r="B28" s="17">
        <v>2.3656934781195137E-2</v>
      </c>
      <c r="C28" s="17">
        <v>0.87215354069351592</v>
      </c>
      <c r="D28" s="17">
        <v>1.1972744470336324E-2</v>
      </c>
      <c r="E28" s="17">
        <v>9.221678005495261E-2</v>
      </c>
      <c r="F28" s="40">
        <f>F4</f>
        <v>4.9045219794058745</v>
      </c>
    </row>
    <row r="29" spans="1:6">
      <c r="A29" t="s">
        <v>333</v>
      </c>
    </row>
    <row r="31" spans="1:6" s="37" customFormat="1">
      <c r="A31" s="27" t="s">
        <v>371</v>
      </c>
    </row>
    <row r="32" spans="1:6">
      <c r="A32" s="2"/>
      <c r="B32" s="7" t="s">
        <v>59</v>
      </c>
      <c r="C32" s="7" t="s">
        <v>60</v>
      </c>
      <c r="D32" s="7" t="s">
        <v>61</v>
      </c>
      <c r="E32" s="7" t="s">
        <v>68</v>
      </c>
    </row>
    <row r="33" spans="1:5">
      <c r="A33" s="2">
        <v>2022</v>
      </c>
      <c r="B33" s="40">
        <v>0.76308738434274315</v>
      </c>
      <c r="C33" s="40">
        <v>0</v>
      </c>
      <c r="D33" s="40">
        <v>6.2311956134424437E-3</v>
      </c>
      <c r="E33" s="40">
        <f>SUM(B33:D33)</f>
        <v>0.76931857995618558</v>
      </c>
    </row>
    <row r="34" spans="1:5">
      <c r="A34" t="s">
        <v>372</v>
      </c>
    </row>
    <row r="36" spans="1:5" s="37" customFormat="1">
      <c r="A36" s="27" t="s">
        <v>373</v>
      </c>
    </row>
    <row r="37" spans="1:5">
      <c r="A37" s="2"/>
      <c r="B37" s="7" t="s">
        <v>59</v>
      </c>
      <c r="C37" s="7" t="s">
        <v>60</v>
      </c>
      <c r="D37" s="7" t="s">
        <v>61</v>
      </c>
      <c r="E37" s="7" t="s">
        <v>68</v>
      </c>
    </row>
    <row r="38" spans="1:5">
      <c r="A38" s="2">
        <v>2022</v>
      </c>
      <c r="B38" s="40">
        <v>0.31549628910453165</v>
      </c>
      <c r="C38" s="40">
        <v>3.7021371408000003E-4</v>
      </c>
      <c r="D38" s="40">
        <v>5.0610565277999994E-3</v>
      </c>
      <c r="E38" s="40">
        <f>SUM(B38:D38)</f>
        <v>0.32092755934641165</v>
      </c>
    </row>
    <row r="39" spans="1:5">
      <c r="A39" t="s">
        <v>372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6">
    <tabColor rgb="FF00B0F0"/>
  </sheetPr>
  <dimension ref="A1:AI155"/>
  <sheetViews>
    <sheetView topLeftCell="A94" workbookViewId="0">
      <selection activeCell="P15" sqref="P15"/>
    </sheetView>
  </sheetViews>
  <sheetFormatPr defaultColWidth="8.5703125" defaultRowHeight="15"/>
  <cols>
    <col min="1" max="1" width="11.42578125" style="64" customWidth="1"/>
    <col min="2" max="2" width="17.42578125" style="48" customWidth="1"/>
    <col min="3" max="3" width="14.140625" style="48" customWidth="1"/>
    <col min="4" max="4" width="11.42578125" style="48" customWidth="1"/>
    <col min="5" max="5" width="9.5703125" style="48" customWidth="1"/>
    <col min="6" max="6" width="10" style="48" bestFit="1" customWidth="1"/>
    <col min="7" max="8" width="10.42578125" style="48" bestFit="1" customWidth="1"/>
    <col min="9" max="10" width="10.5703125" style="48" bestFit="1" customWidth="1"/>
    <col min="11" max="11" width="9.42578125" style="48" bestFit="1" customWidth="1"/>
    <col min="12" max="12" width="10.42578125" style="48" bestFit="1" customWidth="1"/>
    <col min="13" max="19" width="8.5703125" style="48"/>
    <col min="20" max="20" width="9" style="48" customWidth="1"/>
    <col min="21" max="16384" width="8.5703125" style="48"/>
  </cols>
  <sheetData>
    <row r="1" spans="1:35" s="41" customFormat="1">
      <c r="A1" s="304" t="s">
        <v>70</v>
      </c>
    </row>
    <row r="2" spans="1:35" s="42" customFormat="1">
      <c r="A2" s="559" t="s">
        <v>51</v>
      </c>
      <c r="B2" s="563" t="s">
        <v>326</v>
      </c>
      <c r="C2" s="563"/>
      <c r="D2" s="563"/>
      <c r="E2" s="563"/>
      <c r="F2" s="563"/>
      <c r="G2" s="56"/>
      <c r="H2" s="56"/>
      <c r="I2" s="56" t="s">
        <v>52</v>
      </c>
      <c r="J2" s="56"/>
      <c r="K2" s="56"/>
      <c r="L2" s="560"/>
      <c r="M2" s="57"/>
      <c r="N2" s="563" t="s">
        <v>71</v>
      </c>
      <c r="O2" s="563"/>
      <c r="P2" s="563"/>
      <c r="Q2" s="563"/>
      <c r="R2" s="563"/>
    </row>
    <row r="3" spans="1:35" s="43" customFormat="1" ht="14.85" customHeight="1">
      <c r="A3" s="559"/>
      <c r="B3" s="562" t="s">
        <v>72</v>
      </c>
      <c r="C3" s="562"/>
      <c r="D3" s="562"/>
      <c r="E3" s="562"/>
      <c r="F3" s="562"/>
      <c r="G3" s="561" t="s">
        <v>327</v>
      </c>
      <c r="H3" s="561"/>
      <c r="I3" s="561"/>
      <c r="J3" s="561"/>
      <c r="K3" s="561"/>
      <c r="L3" s="560"/>
      <c r="N3" s="562" t="s">
        <v>72</v>
      </c>
      <c r="O3" s="562"/>
      <c r="P3" s="562"/>
      <c r="Q3" s="562"/>
      <c r="R3" s="562"/>
      <c r="S3" s="561" t="s">
        <v>328</v>
      </c>
      <c r="T3" s="561"/>
      <c r="U3" s="561"/>
      <c r="V3" s="561"/>
      <c r="W3" s="561"/>
    </row>
    <row r="4" spans="1:35" s="43" customFormat="1">
      <c r="A4" s="559"/>
      <c r="B4" s="52" t="s">
        <v>40</v>
      </c>
      <c r="C4" s="53" t="s">
        <v>41</v>
      </c>
      <c r="D4" s="53" t="s">
        <v>42</v>
      </c>
      <c r="E4" s="53" t="s">
        <v>43</v>
      </c>
      <c r="F4" s="53" t="s">
        <v>44</v>
      </c>
      <c r="G4" s="52" t="s">
        <v>40</v>
      </c>
      <c r="H4" s="53" t="s">
        <v>41</v>
      </c>
      <c r="I4" s="53" t="s">
        <v>42</v>
      </c>
      <c r="J4" s="53" t="s">
        <v>43</v>
      </c>
      <c r="K4" s="53" t="s">
        <v>44</v>
      </c>
      <c r="L4" s="560"/>
      <c r="N4" s="52" t="s">
        <v>40</v>
      </c>
      <c r="O4" s="53" t="s">
        <v>41</v>
      </c>
      <c r="P4" s="53" t="s">
        <v>42</v>
      </c>
      <c r="Q4" s="53" t="s">
        <v>43</v>
      </c>
      <c r="R4" s="53" t="s">
        <v>44</v>
      </c>
      <c r="S4" s="52" t="s">
        <v>40</v>
      </c>
      <c r="T4" s="53" t="s">
        <v>41</v>
      </c>
      <c r="U4" s="53" t="s">
        <v>42</v>
      </c>
      <c r="V4" s="53" t="s">
        <v>43</v>
      </c>
      <c r="W4" s="53" t="s">
        <v>44</v>
      </c>
    </row>
    <row r="5" spans="1:35">
      <c r="A5" s="52">
        <v>2016</v>
      </c>
      <c r="B5" s="58">
        <f>SUM(C5:F5)</f>
        <v>78904.999999999985</v>
      </c>
      <c r="C5" s="60">
        <v>7525.2861144204198</v>
      </c>
      <c r="D5" s="60">
        <v>58645.229715343077</v>
      </c>
      <c r="E5" s="60">
        <v>3748.1425058933864</v>
      </c>
      <c r="F5" s="60">
        <v>8986.3416643431083</v>
      </c>
      <c r="G5" s="47">
        <f>B5/B$11</f>
        <v>0.9259954700684182</v>
      </c>
      <c r="H5" s="47">
        <f>C5/C$11</f>
        <v>0.78614176292141114</v>
      </c>
      <c r="I5" s="47">
        <f>D5/D$11</f>
        <v>0.93874540885779478</v>
      </c>
      <c r="J5" s="47">
        <f>E5/E$11</f>
        <v>0.95396809454650011</v>
      </c>
      <c r="K5" s="47">
        <f>F5/F$11</f>
        <v>0.97279547992256776</v>
      </c>
      <c r="M5" s="48">
        <v>2016</v>
      </c>
      <c r="N5" s="58"/>
      <c r="O5" s="59"/>
      <c r="P5" s="59"/>
      <c r="Q5" s="60"/>
      <c r="R5" s="60"/>
      <c r="S5" s="47">
        <f t="shared" ref="S5:W6" si="0">N5/N$8</f>
        <v>0</v>
      </c>
      <c r="T5" s="47">
        <f t="shared" si="0"/>
        <v>0</v>
      </c>
      <c r="U5" s="47">
        <f t="shared" si="0"/>
        <v>0</v>
      </c>
      <c r="V5" s="47">
        <f t="shared" si="0"/>
        <v>0</v>
      </c>
      <c r="W5" s="47">
        <f t="shared" si="0"/>
        <v>0</v>
      </c>
    </row>
    <row r="6" spans="1:35">
      <c r="A6" s="52">
        <v>2017</v>
      </c>
      <c r="B6" s="58">
        <f t="shared" ref="B6:B19" si="1">SUM(C6:F6)</f>
        <v>80714</v>
      </c>
      <c r="C6" s="60">
        <v>7867</v>
      </c>
      <c r="D6" s="60">
        <v>59924</v>
      </c>
      <c r="E6" s="60">
        <v>3849</v>
      </c>
      <c r="F6" s="60">
        <v>9074</v>
      </c>
      <c r="G6" s="47">
        <f t="shared" ref="G6:G34" si="2">B6/B$11</f>
        <v>0.94722512351691679</v>
      </c>
      <c r="H6" s="47">
        <f t="shared" ref="H6:H34" si="3">C6/C$11</f>
        <v>0.82183948289374287</v>
      </c>
      <c r="I6" s="47">
        <f t="shared" ref="I6:I34" si="4">D6/D$11</f>
        <v>0.95921492938882946</v>
      </c>
      <c r="J6" s="47">
        <f t="shared" ref="J6:J34" si="5">E6/E$11</f>
        <v>0.97963809810755409</v>
      </c>
      <c r="K6" s="47">
        <f t="shared" ref="K6:K34" si="6">F6/F$11</f>
        <v>0.98228472881713369</v>
      </c>
      <c r="M6" s="48">
        <v>2017</v>
      </c>
      <c r="N6" s="58"/>
      <c r="O6" s="59"/>
      <c r="P6" s="59"/>
      <c r="Q6" s="60"/>
      <c r="R6" s="60"/>
      <c r="S6" s="47">
        <f t="shared" si="0"/>
        <v>0</v>
      </c>
      <c r="T6" s="47">
        <f t="shared" si="0"/>
        <v>0</v>
      </c>
      <c r="U6" s="47">
        <f t="shared" si="0"/>
        <v>0</v>
      </c>
      <c r="V6" s="47">
        <f t="shared" si="0"/>
        <v>0</v>
      </c>
      <c r="W6" s="47">
        <f t="shared" si="0"/>
        <v>0</v>
      </c>
    </row>
    <row r="7" spans="1:35">
      <c r="A7" s="52">
        <f t="shared" ref="A7:A34" si="7">A6+1</f>
        <v>2018</v>
      </c>
      <c r="B7" s="58">
        <f t="shared" si="1"/>
        <v>87686.690366048133</v>
      </c>
      <c r="C7" s="60">
        <v>8619.0764976863284</v>
      </c>
      <c r="D7" s="60">
        <v>64819.189771374186</v>
      </c>
      <c r="E7" s="60">
        <v>4332.8789286744168</v>
      </c>
      <c r="F7" s="60">
        <v>9915.5451683131978</v>
      </c>
      <c r="G7" s="47">
        <f t="shared" si="2"/>
        <v>1.0290536476047474</v>
      </c>
      <c r="H7" s="47">
        <f t="shared" si="3"/>
        <v>0.90040642835644391</v>
      </c>
      <c r="I7" s="47">
        <f t="shared" si="4"/>
        <v>1.0375731683397276</v>
      </c>
      <c r="J7" s="47">
        <f t="shared" si="5"/>
        <v>1.1027937835845421</v>
      </c>
      <c r="K7" s="47">
        <f t="shared" si="6"/>
        <v>1.0733842403273717</v>
      </c>
      <c r="M7" s="48">
        <f t="shared" ref="M7:M34" si="8">M6+1</f>
        <v>2018</v>
      </c>
      <c r="N7" s="58">
        <f t="shared" ref="N7:N34" si="9">SUM(O7:R7)</f>
        <v>9761.4480000000003</v>
      </c>
      <c r="O7" s="59">
        <v>1397.0760481673356</v>
      </c>
      <c r="P7" s="59">
        <v>4800.1837675972038</v>
      </c>
      <c r="Q7" s="59">
        <v>1137.5789926720261</v>
      </c>
      <c r="R7" s="59">
        <v>2426.6091915634352</v>
      </c>
      <c r="S7" s="47">
        <f>N7/N$11</f>
        <v>1.0681470856712909</v>
      </c>
      <c r="T7" s="47">
        <f>O7/O$11</f>
        <v>0.99379359002936429</v>
      </c>
      <c r="U7" s="47">
        <f>P7/P$11</f>
        <v>1.1720922137029881</v>
      </c>
      <c r="V7" s="47">
        <f>Q7/Q$11</f>
        <v>1.0028912194501032</v>
      </c>
      <c r="W7" s="47">
        <f>R7/R$11</f>
        <v>0.96941222039541164</v>
      </c>
    </row>
    <row r="8" spans="1:35">
      <c r="A8" s="52">
        <f t="shared" si="7"/>
        <v>2019</v>
      </c>
      <c r="B8" s="58">
        <f t="shared" si="1"/>
        <v>86940.765971295448</v>
      </c>
      <c r="C8" s="60">
        <v>8545.7565971059194</v>
      </c>
      <c r="D8" s="60">
        <v>64267.792350662639</v>
      </c>
      <c r="E8" s="60">
        <v>4296.0204262162206</v>
      </c>
      <c r="F8" s="60">
        <v>9831.1965973106744</v>
      </c>
      <c r="G8" s="47">
        <f t="shared" si="2"/>
        <v>1.0202997966377045</v>
      </c>
      <c r="H8" s="47">
        <f t="shared" si="3"/>
        <v>0.89274694072725569</v>
      </c>
      <c r="I8" s="47">
        <f t="shared" si="4"/>
        <v>1.0287468443631402</v>
      </c>
      <c r="J8" s="47">
        <f t="shared" si="5"/>
        <v>1.0934126473810502</v>
      </c>
      <c r="K8" s="47">
        <f t="shared" si="6"/>
        <v>1.0642532822941639</v>
      </c>
      <c r="M8" s="48">
        <f t="shared" si="8"/>
        <v>2019</v>
      </c>
      <c r="N8" s="58">
        <f t="shared" si="9"/>
        <v>10243.165000000001</v>
      </c>
      <c r="O8" s="59">
        <v>1457.174375171784</v>
      </c>
      <c r="P8" s="59">
        <v>5084.0706093144527</v>
      </c>
      <c r="Q8" s="59">
        <v>1131.7912721113075</v>
      </c>
      <c r="R8" s="59">
        <v>2570.1287434024566</v>
      </c>
      <c r="S8" s="47">
        <f t="shared" ref="S8:S34" si="10">N8/N$11</f>
        <v>1.1208589998942953</v>
      </c>
      <c r="T8" s="47">
        <f t="shared" ref="T8:T34" si="11">O8/O$11</f>
        <v>1.0365438270167182</v>
      </c>
      <c r="U8" s="47">
        <f t="shared" ref="U8:U34" si="12">P8/P$11</f>
        <v>1.2414107175060369</v>
      </c>
      <c r="V8" s="47">
        <f t="shared" ref="V8:V34" si="13">Q8/Q$11</f>
        <v>0.99778875696761515</v>
      </c>
      <c r="W8" s="47">
        <f t="shared" ref="W8:W34" si="14">R8/R$11</f>
        <v>1.0267472077935187</v>
      </c>
    </row>
    <row r="9" spans="1:35">
      <c r="A9" s="52">
        <f t="shared" si="7"/>
        <v>2020</v>
      </c>
      <c r="B9" s="58">
        <f t="shared" si="1"/>
        <v>77551.979337975368</v>
      </c>
      <c r="C9" s="60">
        <v>7622.895101533114</v>
      </c>
      <c r="D9" s="60">
        <v>57327.474042745831</v>
      </c>
      <c r="E9" s="60">
        <v>3832.0905458716443</v>
      </c>
      <c r="F9" s="60">
        <v>8769.5196478247763</v>
      </c>
      <c r="G9" s="47">
        <f t="shared" si="2"/>
        <v>0.91011699590399564</v>
      </c>
      <c r="H9" s="47">
        <f t="shared" si="3"/>
        <v>0.79633865112459901</v>
      </c>
      <c r="I9" s="47">
        <f t="shared" si="4"/>
        <v>0.9176518417654429</v>
      </c>
      <c r="J9" s="47">
        <f t="shared" si="5"/>
        <v>0.97533434505940142</v>
      </c>
      <c r="K9" s="47">
        <f t="shared" si="6"/>
        <v>0.94932391769011304</v>
      </c>
      <c r="M9" s="48">
        <f t="shared" si="8"/>
        <v>2020</v>
      </c>
      <c r="N9" s="58">
        <f t="shared" si="9"/>
        <v>2678.0729999999999</v>
      </c>
      <c r="O9" s="59">
        <v>421.47951962358457</v>
      </c>
      <c r="P9" s="59">
        <v>1285.661174243332</v>
      </c>
      <c r="Q9" s="59">
        <v>281.88395820606399</v>
      </c>
      <c r="R9" s="59">
        <v>689.04834792701911</v>
      </c>
      <c r="S9" s="47">
        <f t="shared" si="10"/>
        <v>0.29304831313601948</v>
      </c>
      <c r="T9" s="47">
        <f t="shared" si="11"/>
        <v>0.29981449147312589</v>
      </c>
      <c r="U9" s="47">
        <f t="shared" si="12"/>
        <v>0.31392828373842774</v>
      </c>
      <c r="V9" s="47">
        <f t="shared" si="13"/>
        <v>0.24850928894588509</v>
      </c>
      <c r="W9" s="47">
        <f t="shared" si="14"/>
        <v>0.27526966074555892</v>
      </c>
    </row>
    <row r="10" spans="1:35">
      <c r="A10" s="52">
        <f t="shared" si="7"/>
        <v>2021</v>
      </c>
      <c r="B10" s="58">
        <f t="shared" si="1"/>
        <v>81858.6413079739</v>
      </c>
      <c r="C10" s="60">
        <v>8046.2141801086509</v>
      </c>
      <c r="D10" s="60">
        <v>60511.016931058366</v>
      </c>
      <c r="E10" s="60">
        <v>4044.8964440624977</v>
      </c>
      <c r="F10" s="60">
        <v>9256.5137527443931</v>
      </c>
      <c r="G10" s="47">
        <f t="shared" si="2"/>
        <v>0.96065814634230207</v>
      </c>
      <c r="H10" s="47">
        <f t="shared" si="3"/>
        <v>0.84056139583485379</v>
      </c>
      <c r="I10" s="47">
        <f t="shared" si="4"/>
        <v>0.96861142168031866</v>
      </c>
      <c r="J10" s="47">
        <f t="shared" si="5"/>
        <v>1.0294971835550517</v>
      </c>
      <c r="K10" s="47">
        <f t="shared" si="6"/>
        <v>1.0020423298883177</v>
      </c>
      <c r="M10" s="48">
        <f t="shared" si="8"/>
        <v>2021</v>
      </c>
      <c r="N10" s="58">
        <f t="shared" si="9"/>
        <v>6777.76</v>
      </c>
      <c r="O10" s="59">
        <v>1046.5191060560951</v>
      </c>
      <c r="P10" s="59">
        <v>2941.6958452488711</v>
      </c>
      <c r="Q10" s="59">
        <v>719.49923958875058</v>
      </c>
      <c r="R10" s="59">
        <v>2070.0458091062833</v>
      </c>
      <c r="S10" s="47">
        <f t="shared" si="10"/>
        <v>0.7416568311770394</v>
      </c>
      <c r="T10" s="47">
        <f t="shared" si="11"/>
        <v>0.74442903863830212</v>
      </c>
      <c r="U10" s="47">
        <f t="shared" si="12"/>
        <v>0.718293082563492</v>
      </c>
      <c r="V10" s="47">
        <f t="shared" si="13"/>
        <v>0.63431152863476059</v>
      </c>
      <c r="W10" s="47">
        <f t="shared" si="14"/>
        <v>0.82696781628566574</v>
      </c>
    </row>
    <row r="11" spans="1:35">
      <c r="A11" s="52">
        <f t="shared" si="7"/>
        <v>2022</v>
      </c>
      <c r="B11" s="58">
        <f t="shared" si="1"/>
        <v>85211</v>
      </c>
      <c r="C11" s="60">
        <v>9572.4288790553746</v>
      </c>
      <c r="D11" s="60">
        <v>62471.921739355115</v>
      </c>
      <c r="E11" s="60">
        <v>3929.001952287711</v>
      </c>
      <c r="F11" s="60">
        <v>9237.6474293017891</v>
      </c>
      <c r="G11" s="47">
        <f t="shared" si="2"/>
        <v>1</v>
      </c>
      <c r="H11" s="47">
        <f t="shared" si="3"/>
        <v>1</v>
      </c>
      <c r="I11" s="47">
        <f t="shared" si="4"/>
        <v>1</v>
      </c>
      <c r="J11" s="47">
        <f t="shared" si="5"/>
        <v>1</v>
      </c>
      <c r="K11" s="47">
        <f t="shared" si="6"/>
        <v>1</v>
      </c>
      <c r="M11" s="48">
        <f t="shared" si="8"/>
        <v>2022</v>
      </c>
      <c r="N11" s="58">
        <f t="shared" si="9"/>
        <v>9138.6740000000009</v>
      </c>
      <c r="O11" s="59">
        <v>1405.8010256697823</v>
      </c>
      <c r="P11" s="59">
        <v>4095.3977097347952</v>
      </c>
      <c r="Q11" s="59">
        <v>1134.2994839418116</v>
      </c>
      <c r="R11" s="59">
        <v>2503.1757806536111</v>
      </c>
      <c r="S11" s="47">
        <f t="shared" si="10"/>
        <v>1</v>
      </c>
      <c r="T11" s="47">
        <f t="shared" si="11"/>
        <v>1</v>
      </c>
      <c r="U11" s="47">
        <f t="shared" si="12"/>
        <v>1</v>
      </c>
      <c r="V11" s="47">
        <f t="shared" si="13"/>
        <v>1</v>
      </c>
      <c r="W11" s="47">
        <f t="shared" si="14"/>
        <v>1</v>
      </c>
    </row>
    <row r="12" spans="1:35">
      <c r="A12" s="52">
        <f t="shared" si="7"/>
        <v>2023</v>
      </c>
      <c r="B12" s="58">
        <f t="shared" si="1"/>
        <v>86888</v>
      </c>
      <c r="C12" s="60">
        <v>9760.8196176944693</v>
      </c>
      <c r="D12" s="60">
        <v>63701.40399818201</v>
      </c>
      <c r="E12" s="60">
        <v>4006.3269018128485</v>
      </c>
      <c r="F12" s="60">
        <v>9419.4494823106634</v>
      </c>
      <c r="G12" s="47">
        <f t="shared" si="2"/>
        <v>1.0196805576744787</v>
      </c>
      <c r="H12" s="47">
        <f t="shared" si="3"/>
        <v>1.0196805576744787</v>
      </c>
      <c r="I12" s="47">
        <f t="shared" si="4"/>
        <v>1.0196805576744787</v>
      </c>
      <c r="J12" s="47">
        <f t="shared" si="5"/>
        <v>1.0196805576744787</v>
      </c>
      <c r="K12" s="47">
        <f t="shared" si="6"/>
        <v>1.0196805576744787</v>
      </c>
      <c r="M12" s="48">
        <f t="shared" si="8"/>
        <v>2023</v>
      </c>
      <c r="N12" s="58">
        <f t="shared" si="9"/>
        <v>9499.9950000000008</v>
      </c>
      <c r="O12" s="59">
        <v>1490.0863281566019</v>
      </c>
      <c r="P12" s="59">
        <v>4701.61203130593</v>
      </c>
      <c r="Q12" s="59">
        <v>1188.2477420528858</v>
      </c>
      <c r="R12" s="59">
        <v>2120.0488984845829</v>
      </c>
      <c r="S12" s="47">
        <f t="shared" si="10"/>
        <v>1.0395375740506774</v>
      </c>
      <c r="T12" s="47">
        <f t="shared" si="11"/>
        <v>1.0599553570866564</v>
      </c>
      <c r="U12" s="47">
        <f t="shared" si="12"/>
        <v>1.148023309221021</v>
      </c>
      <c r="V12" s="47">
        <f t="shared" si="13"/>
        <v>1.0475608592570265</v>
      </c>
      <c r="W12" s="47">
        <f t="shared" si="14"/>
        <v>0.84694367645687718</v>
      </c>
      <c r="AF12" s="62"/>
      <c r="AG12" s="62"/>
      <c r="AH12" s="62"/>
      <c r="AI12" s="62"/>
    </row>
    <row r="13" spans="1:35">
      <c r="A13" s="52">
        <f t="shared" si="7"/>
        <v>2024</v>
      </c>
      <c r="B13" s="58">
        <f t="shared" si="1"/>
        <v>88022</v>
      </c>
      <c r="C13" s="60">
        <v>9888.2108506203676</v>
      </c>
      <c r="D13" s="60">
        <v>64532.789139213441</v>
      </c>
      <c r="E13" s="60">
        <v>4058.6146136563225</v>
      </c>
      <c r="F13" s="60">
        <v>9542.3853965098642</v>
      </c>
      <c r="G13" s="47">
        <f t="shared" si="2"/>
        <v>1.0329886986421941</v>
      </c>
      <c r="H13" s="47">
        <f t="shared" si="3"/>
        <v>1.0329886986421941</v>
      </c>
      <c r="I13" s="47">
        <f t="shared" si="4"/>
        <v>1.0329886986421941</v>
      </c>
      <c r="J13" s="47">
        <f t="shared" si="5"/>
        <v>1.0329886986421941</v>
      </c>
      <c r="K13" s="47">
        <f t="shared" si="6"/>
        <v>1.0329886986421941</v>
      </c>
      <c r="M13" s="48">
        <f t="shared" si="8"/>
        <v>2024</v>
      </c>
      <c r="N13" s="58">
        <f t="shared" si="9"/>
        <v>9564.9999999999982</v>
      </c>
      <c r="O13" s="59">
        <v>1492.3264813791004</v>
      </c>
      <c r="P13" s="59">
        <v>4733.914670562157</v>
      </c>
      <c r="Q13" s="59">
        <v>1169.0596383268296</v>
      </c>
      <c r="R13" s="59">
        <v>2169.6992097319121</v>
      </c>
      <c r="S13" s="47">
        <f t="shared" si="10"/>
        <v>1.0466507504261555</v>
      </c>
      <c r="T13" s="47">
        <f t="shared" si="11"/>
        <v>1.0615488636936323</v>
      </c>
      <c r="U13" s="47">
        <f t="shared" si="12"/>
        <v>1.1559108555707793</v>
      </c>
      <c r="V13" s="47">
        <f t="shared" si="13"/>
        <v>1.0306446003697567</v>
      </c>
      <c r="W13" s="47">
        <f t="shared" si="14"/>
        <v>0.86677860440363319</v>
      </c>
    </row>
    <row r="14" spans="1:35">
      <c r="A14" s="52">
        <f t="shared" si="7"/>
        <v>2025</v>
      </c>
      <c r="B14" s="58">
        <f t="shared" si="1"/>
        <v>89814.999999999985</v>
      </c>
      <c r="C14" s="60">
        <v>10089.632791216609</v>
      </c>
      <c r="D14" s="60">
        <v>65847.316086188162</v>
      </c>
      <c r="E14" s="60">
        <v>4141.2882180084816</v>
      </c>
      <c r="F14" s="60">
        <v>9736.7629045867343</v>
      </c>
      <c r="G14" s="47">
        <f t="shared" si="2"/>
        <v>1.0540305829059626</v>
      </c>
      <c r="H14" s="47">
        <f t="shared" si="3"/>
        <v>1.0540305829059629</v>
      </c>
      <c r="I14" s="47">
        <f t="shared" si="4"/>
        <v>1.0540305829059629</v>
      </c>
      <c r="J14" s="47">
        <f t="shared" si="5"/>
        <v>1.0540305829059629</v>
      </c>
      <c r="K14" s="47">
        <f t="shared" si="6"/>
        <v>1.0540305829059629</v>
      </c>
      <c r="M14" s="48">
        <f t="shared" si="8"/>
        <v>2025</v>
      </c>
      <c r="N14" s="58">
        <f t="shared" si="9"/>
        <v>9978.7580000000016</v>
      </c>
      <c r="O14" s="59">
        <v>1548.4232083214051</v>
      </c>
      <c r="P14" s="59">
        <v>4938.186326950864</v>
      </c>
      <c r="Q14" s="59">
        <v>1191.6253859366698</v>
      </c>
      <c r="R14" s="59">
        <v>2300.5230787910614</v>
      </c>
      <c r="S14" s="47">
        <f t="shared" si="10"/>
        <v>1.0919262466305288</v>
      </c>
      <c r="T14" s="47">
        <f t="shared" si="11"/>
        <v>1.1014526096135628</v>
      </c>
      <c r="U14" s="47">
        <f t="shared" si="12"/>
        <v>1.2057891997186874</v>
      </c>
      <c r="V14" s="47">
        <f t="shared" si="13"/>
        <v>1.0505385947947756</v>
      </c>
      <c r="W14" s="47">
        <f t="shared" si="14"/>
        <v>0.91904176149801409</v>
      </c>
    </row>
    <row r="15" spans="1:35">
      <c r="A15" s="52">
        <f t="shared" si="7"/>
        <v>2026</v>
      </c>
      <c r="B15" s="58">
        <f t="shared" si="1"/>
        <v>91024.714985141385</v>
      </c>
      <c r="C15" s="60">
        <v>10293.918056094286</v>
      </c>
      <c r="D15" s="60">
        <v>66556.685067967846</v>
      </c>
      <c r="E15" s="60">
        <v>4230.264538047556</v>
      </c>
      <c r="F15" s="60">
        <v>9943.8473230316831</v>
      </c>
      <c r="G15" s="47">
        <f t="shared" si="2"/>
        <v>1.0682272826881669</v>
      </c>
      <c r="H15" s="47">
        <f t="shared" si="3"/>
        <v>1.0753715891916984</v>
      </c>
      <c r="I15" s="47">
        <f t="shared" si="4"/>
        <v>1.065385587875064</v>
      </c>
      <c r="J15" s="47">
        <f t="shared" si="5"/>
        <v>1.0766766190035693</v>
      </c>
      <c r="K15" s="47">
        <f t="shared" si="6"/>
        <v>1.0764480241462593</v>
      </c>
      <c r="M15" s="48">
        <f t="shared" si="8"/>
        <v>2026</v>
      </c>
      <c r="N15" s="58">
        <f t="shared" si="9"/>
        <v>10080.925007205635</v>
      </c>
      <c r="O15" s="59">
        <v>1565.4754150555664</v>
      </c>
      <c r="P15" s="59">
        <v>4993.2399359073843</v>
      </c>
      <c r="Q15" s="59">
        <v>1201.9660011050621</v>
      </c>
      <c r="R15" s="59">
        <v>2320.2436551376227</v>
      </c>
      <c r="S15" s="47">
        <f t="shared" si="10"/>
        <v>1.1031058780743939</v>
      </c>
      <c r="T15" s="47">
        <f t="shared" si="11"/>
        <v>1.1135824960077181</v>
      </c>
      <c r="U15" s="47">
        <f t="shared" si="12"/>
        <v>1.2192319988943712</v>
      </c>
      <c r="V15" s="47">
        <f t="shared" si="13"/>
        <v>1.0596548954850109</v>
      </c>
      <c r="W15" s="47">
        <f t="shared" si="14"/>
        <v>0.92691998423369915</v>
      </c>
    </row>
    <row r="16" spans="1:35">
      <c r="A16" s="52">
        <f t="shared" si="7"/>
        <v>2027</v>
      </c>
      <c r="B16" s="58">
        <f t="shared" si="1"/>
        <v>92252.524137076238</v>
      </c>
      <c r="C16" s="60">
        <v>10502.339494241069</v>
      </c>
      <c r="D16" s="60">
        <v>67273.696037032947</v>
      </c>
      <c r="E16" s="60">
        <v>4321.152530279177</v>
      </c>
      <c r="F16" s="60">
        <v>10155.336075523059</v>
      </c>
      <c r="G16" s="47">
        <f t="shared" si="2"/>
        <v>1.0826363279045692</v>
      </c>
      <c r="H16" s="47">
        <f t="shared" si="3"/>
        <v>1.0971446878252973</v>
      </c>
      <c r="I16" s="47">
        <f t="shared" si="4"/>
        <v>1.0768629195962909</v>
      </c>
      <c r="J16" s="47">
        <f t="shared" si="5"/>
        <v>1.0998092092479443</v>
      </c>
      <c r="K16" s="47">
        <f t="shared" si="6"/>
        <v>1.099342246307254</v>
      </c>
      <c r="M16" s="48">
        <f t="shared" si="8"/>
        <v>2027</v>
      </c>
      <c r="N16" s="58">
        <f t="shared" si="9"/>
        <v>10184.13804612798</v>
      </c>
      <c r="O16" s="59">
        <v>1582.7131877969257</v>
      </c>
      <c r="P16" s="59">
        <v>5048.9002194020022</v>
      </c>
      <c r="Q16" s="59">
        <v>1212.3946461293408</v>
      </c>
      <c r="R16" s="59">
        <v>2340.1299927997125</v>
      </c>
      <c r="S16" s="47">
        <f t="shared" si="10"/>
        <v>1.1143999716072572</v>
      </c>
      <c r="T16" s="47">
        <f t="shared" si="11"/>
        <v>1.1258443825952218</v>
      </c>
      <c r="U16" s="47">
        <f t="shared" si="12"/>
        <v>1.2328229337533503</v>
      </c>
      <c r="V16" s="47">
        <f t="shared" si="13"/>
        <v>1.0688488034184238</v>
      </c>
      <c r="W16" s="47">
        <f t="shared" si="14"/>
        <v>0.9348644273750023</v>
      </c>
    </row>
    <row r="17" spans="1:25">
      <c r="A17" s="52">
        <f t="shared" si="7"/>
        <v>2028</v>
      </c>
      <c r="B17" s="58">
        <f t="shared" si="1"/>
        <v>93498.728273072804</v>
      </c>
      <c r="C17" s="60">
        <v>10714.980850949711</v>
      </c>
      <c r="D17" s="60">
        <v>67998.431320030373</v>
      </c>
      <c r="E17" s="60">
        <v>4413.9932673232324</v>
      </c>
      <c r="F17" s="60">
        <v>10371.322834769504</v>
      </c>
      <c r="G17" s="47">
        <f t="shared" si="2"/>
        <v>1.0972612488184954</v>
      </c>
      <c r="H17" s="47">
        <f t="shared" si="3"/>
        <v>1.1193586274006442</v>
      </c>
      <c r="I17" s="47">
        <f t="shared" si="4"/>
        <v>1.0884638958880266</v>
      </c>
      <c r="J17" s="47">
        <f t="shared" si="5"/>
        <v>1.1234388073421875</v>
      </c>
      <c r="K17" s="47">
        <f t="shared" si="6"/>
        <v>1.1227233897097761</v>
      </c>
      <c r="M17" s="48">
        <f t="shared" si="8"/>
        <v>2028</v>
      </c>
      <c r="N17" s="58">
        <f t="shared" si="9"/>
        <v>10288.407826509661</v>
      </c>
      <c r="O17" s="59">
        <v>1600.1385228277218</v>
      </c>
      <c r="P17" s="59">
        <v>5105.1737882009575</v>
      </c>
      <c r="Q17" s="59">
        <v>1222.9120566379295</v>
      </c>
      <c r="R17" s="59">
        <v>2360.1834588430524</v>
      </c>
      <c r="S17" s="47">
        <f t="shared" si="10"/>
        <v>1.1258096991434052</v>
      </c>
      <c r="T17" s="47">
        <f t="shared" si="11"/>
        <v>1.1382396894079294</v>
      </c>
      <c r="U17" s="47">
        <f t="shared" si="12"/>
        <v>1.246563618489583</v>
      </c>
      <c r="V17" s="47">
        <f t="shared" si="13"/>
        <v>1.0781209671260537</v>
      </c>
      <c r="W17" s="47">
        <f t="shared" si="14"/>
        <v>0.94287563705445343</v>
      </c>
    </row>
    <row r="18" spans="1:25">
      <c r="A18" s="52">
        <f t="shared" si="7"/>
        <v>2029</v>
      </c>
      <c r="B18" s="58">
        <f t="shared" si="1"/>
        <v>94763.633667605944</v>
      </c>
      <c r="C18" s="60">
        <v>10931.927567107805</v>
      </c>
      <c r="D18" s="60">
        <v>68730.974130506773</v>
      </c>
      <c r="E18" s="60">
        <v>4508.8287042522115</v>
      </c>
      <c r="F18" s="60">
        <v>10591.903265739153</v>
      </c>
      <c r="G18" s="47">
        <f t="shared" si="2"/>
        <v>1.1121056397367235</v>
      </c>
      <c r="H18" s="47">
        <f t="shared" si="3"/>
        <v>1.1420223336448114</v>
      </c>
      <c r="I18" s="47">
        <f t="shared" si="4"/>
        <v>1.1001898487654282</v>
      </c>
      <c r="J18" s="47">
        <f t="shared" si="5"/>
        <v>1.1475760915890838</v>
      </c>
      <c r="K18" s="47">
        <f t="shared" si="6"/>
        <v>1.1466018103420648</v>
      </c>
      <c r="M18" s="48">
        <f t="shared" si="8"/>
        <v>2029</v>
      </c>
      <c r="N18" s="58">
        <f t="shared" si="9"/>
        <v>10393.745167744464</v>
      </c>
      <c r="O18" s="59">
        <v>1617.7534376758858</v>
      </c>
      <c r="P18" s="59">
        <v>5162.0673243528563</v>
      </c>
      <c r="Q18" s="59">
        <v>1233.518974302789</v>
      </c>
      <c r="R18" s="59">
        <v>2380.4054314129339</v>
      </c>
      <c r="S18" s="47">
        <f t="shared" si="10"/>
        <v>1.1373362445957109</v>
      </c>
      <c r="T18" s="47">
        <f t="shared" si="11"/>
        <v>1.1507698515905695</v>
      </c>
      <c r="U18" s="47">
        <f t="shared" si="12"/>
        <v>1.2604556847025086</v>
      </c>
      <c r="V18" s="47">
        <f t="shared" si="13"/>
        <v>1.0874720404669314</v>
      </c>
      <c r="W18" s="47">
        <f t="shared" si="14"/>
        <v>0.95095416383078768</v>
      </c>
    </row>
    <row r="19" spans="1:25">
      <c r="A19" s="52">
        <f t="shared" si="7"/>
        <v>2030</v>
      </c>
      <c r="B19" s="58">
        <f t="shared" si="1"/>
        <v>96047.552157574188</v>
      </c>
      <c r="C19" s="60">
        <v>11153.266813528573</v>
      </c>
      <c r="D19" s="60">
        <v>69471.408578463132</v>
      </c>
      <c r="E19" s="60">
        <v>4605.7016975508614</v>
      </c>
      <c r="F19" s="60">
        <v>10817.175068031618</v>
      </c>
      <c r="G19" s="47">
        <f t="shared" si="2"/>
        <v>1.1271731602442665</v>
      </c>
      <c r="H19" s="47">
        <f t="shared" si="3"/>
        <v>1.1651449130044829</v>
      </c>
      <c r="I19" s="47">
        <f t="shared" si="4"/>
        <v>1.1120421245933689</v>
      </c>
      <c r="J19" s="47">
        <f t="shared" si="5"/>
        <v>1.172231969716669</v>
      </c>
      <c r="K19" s="47">
        <f t="shared" si="6"/>
        <v>1.1709880844466496</v>
      </c>
      <c r="M19" s="48">
        <f t="shared" si="8"/>
        <v>2030</v>
      </c>
      <c r="N19" s="58">
        <f t="shared" si="9"/>
        <v>10500.160999999995</v>
      </c>
      <c r="O19" s="59">
        <v>1635.5599713389624</v>
      </c>
      <c r="P19" s="59">
        <v>5219.5875819500152</v>
      </c>
      <c r="Q19" s="59">
        <v>1244.2161468883419</v>
      </c>
      <c r="R19" s="59">
        <v>2400.7972998226746</v>
      </c>
      <c r="S19" s="47">
        <f t="shared" si="10"/>
        <v>1.1489808039984788</v>
      </c>
      <c r="T19" s="47">
        <f t="shared" si="11"/>
        <v>1.1634363195600268</v>
      </c>
      <c r="U19" s="47">
        <f t="shared" si="12"/>
        <v>1.2745007815829488</v>
      </c>
      <c r="V19" s="47">
        <f t="shared" si="13"/>
        <v>1.0969026826712098</v>
      </c>
      <c r="W19" s="47">
        <f t="shared" si="14"/>
        <v>0.9591005627242829</v>
      </c>
    </row>
    <row r="20" spans="1:25">
      <c r="A20" s="52">
        <f t="shared" si="7"/>
        <v>2031</v>
      </c>
      <c r="B20" s="58">
        <f t="shared" ref="B20:B34" si="15">SUM(C20:F20)</f>
        <v>97423.251202963729</v>
      </c>
      <c r="C20" s="60">
        <v>11305.634339437991</v>
      </c>
      <c r="D20" s="60">
        <v>70443.853964772847</v>
      </c>
      <c r="E20" s="60">
        <v>4675.2105814155184</v>
      </c>
      <c r="F20" s="60">
        <v>10998.552317337373</v>
      </c>
      <c r="G20" s="47">
        <f t="shared" si="2"/>
        <v>1.1433177782559028</v>
      </c>
      <c r="H20" s="47">
        <f t="shared" si="3"/>
        <v>1.181062244732358</v>
      </c>
      <c r="I20" s="47">
        <f t="shared" si="4"/>
        <v>1.1276082438872006</v>
      </c>
      <c r="J20" s="47">
        <f t="shared" si="5"/>
        <v>1.1899232014108108</v>
      </c>
      <c r="K20" s="47">
        <f t="shared" si="6"/>
        <v>1.1906226559859818</v>
      </c>
      <c r="M20" s="48">
        <f t="shared" si="8"/>
        <v>2031</v>
      </c>
      <c r="N20" s="58">
        <f t="shared" si="9"/>
        <v>10603.159220423355</v>
      </c>
      <c r="O20" s="59">
        <v>1652.7985151605533</v>
      </c>
      <c r="P20" s="59">
        <v>5265.7336096939689</v>
      </c>
      <c r="Q20" s="59">
        <v>1254.9692752498138</v>
      </c>
      <c r="R20" s="59">
        <v>2429.6578203190188</v>
      </c>
      <c r="S20" s="47">
        <f t="shared" si="10"/>
        <v>1.1602513910030441</v>
      </c>
      <c r="T20" s="47">
        <f t="shared" si="11"/>
        <v>1.1756987546463704</v>
      </c>
      <c r="U20" s="47">
        <f t="shared" si="12"/>
        <v>1.2857685584912242</v>
      </c>
      <c r="V20" s="47">
        <f t="shared" si="13"/>
        <v>1.1063826555652321</v>
      </c>
      <c r="W20" s="47">
        <f t="shared" si="14"/>
        <v>0.97063012477877364</v>
      </c>
    </row>
    <row r="21" spans="1:25">
      <c r="A21" s="52">
        <f t="shared" si="7"/>
        <v>2032</v>
      </c>
      <c r="B21" s="58">
        <f t="shared" si="15"/>
        <v>98818.734123786649</v>
      </c>
      <c r="C21" s="60">
        <v>11460.083395659551</v>
      </c>
      <c r="D21" s="60">
        <v>71429.911426160688</v>
      </c>
      <c r="E21" s="60">
        <v>4745.7684878294831</v>
      </c>
      <c r="F21" s="60">
        <v>11182.970814136937</v>
      </c>
      <c r="G21" s="47">
        <f t="shared" si="2"/>
        <v>1.1596945714025966</v>
      </c>
      <c r="H21" s="47">
        <f t="shared" si="3"/>
        <v>1.19719702705072</v>
      </c>
      <c r="I21" s="47">
        <f t="shared" si="4"/>
        <v>1.143392254270327</v>
      </c>
      <c r="J21" s="47">
        <f t="shared" si="5"/>
        <v>1.2078814277672221</v>
      </c>
      <c r="K21" s="47">
        <f t="shared" si="6"/>
        <v>1.2105864506870645</v>
      </c>
      <c r="M21" s="48">
        <f t="shared" si="8"/>
        <v>2032</v>
      </c>
      <c r="N21" s="58">
        <f t="shared" si="9"/>
        <v>10707.167771394066</v>
      </c>
      <c r="O21" s="59">
        <v>1670.2157543186452</v>
      </c>
      <c r="P21" s="59">
        <v>5312.2780817357952</v>
      </c>
      <c r="Q21" s="59">
        <v>1265.8130667025564</v>
      </c>
      <c r="R21" s="59">
        <v>2458.8608686370703</v>
      </c>
      <c r="S21" s="47">
        <f t="shared" si="10"/>
        <v>1.171632533493816</v>
      </c>
      <c r="T21" s="47">
        <f t="shared" si="11"/>
        <v>1.1880883025553952</v>
      </c>
      <c r="U21" s="47">
        <f t="shared" si="12"/>
        <v>1.2971336261453839</v>
      </c>
      <c r="V21" s="47">
        <f t="shared" si="13"/>
        <v>1.115942557166403</v>
      </c>
      <c r="W21" s="47">
        <f t="shared" si="14"/>
        <v>0.98229652413584412</v>
      </c>
    </row>
    <row r="22" spans="1:25">
      <c r="A22" s="52">
        <f t="shared" si="7"/>
        <v>2033</v>
      </c>
      <c r="B22" s="58">
        <f t="shared" si="15"/>
        <v>100234.28672110988</v>
      </c>
      <c r="C22" s="60">
        <v>11616.642418491696</v>
      </c>
      <c r="D22" s="60">
        <v>72429.771501437965</v>
      </c>
      <c r="E22" s="60">
        <v>4817.3912485576702</v>
      </c>
      <c r="F22" s="60">
        <v>11370.481552622545</v>
      </c>
      <c r="G22" s="47">
        <f t="shared" si="2"/>
        <v>1.1763068937239309</v>
      </c>
      <c r="H22" s="47">
        <f t="shared" si="3"/>
        <v>1.213552230605661</v>
      </c>
      <c r="I22" s="47">
        <f t="shared" si="4"/>
        <v>1.1593972057339441</v>
      </c>
      <c r="J22" s="47">
        <f t="shared" si="5"/>
        <v>1.2261106782481193</v>
      </c>
      <c r="K22" s="47">
        <f t="shared" si="6"/>
        <v>1.2308849888073681</v>
      </c>
      <c r="M22" s="48">
        <f t="shared" si="8"/>
        <v>2033</v>
      </c>
      <c r="N22" s="58">
        <f t="shared" si="9"/>
        <v>10812.196563450489</v>
      </c>
      <c r="O22" s="59">
        <v>1687.8135059998833</v>
      </c>
      <c r="P22" s="59">
        <v>5359.2243424282378</v>
      </c>
      <c r="Q22" s="59">
        <v>1276.748263225757</v>
      </c>
      <c r="R22" s="59">
        <v>2488.4104517966125</v>
      </c>
      <c r="S22" s="47">
        <f t="shared" si="10"/>
        <v>1.1831253159321022</v>
      </c>
      <c r="T22" s="47">
        <f t="shared" si="11"/>
        <v>1.2006062559214157</v>
      </c>
      <c r="U22" s="47">
        <f t="shared" si="12"/>
        <v>1.3085968011578744</v>
      </c>
      <c r="V22" s="47">
        <f t="shared" si="13"/>
        <v>1.125583041604604</v>
      </c>
      <c r="W22" s="47">
        <f t="shared" si="14"/>
        <v>0.99410136156992412</v>
      </c>
    </row>
    <row r="23" spans="1:25">
      <c r="A23" s="52">
        <f t="shared" si="7"/>
        <v>2034</v>
      </c>
      <c r="B23" s="58">
        <f t="shared" si="15"/>
        <v>101670.19894557372</v>
      </c>
      <c r="C23" s="60">
        <v>11775.340232708159</v>
      </c>
      <c r="D23" s="60">
        <v>73443.627396536016</v>
      </c>
      <c r="E23" s="60">
        <v>4890.0949342967342</v>
      </c>
      <c r="F23" s="60">
        <v>11561.136382032806</v>
      </c>
      <c r="G23" s="47">
        <f t="shared" si="2"/>
        <v>1.1931581479571149</v>
      </c>
      <c r="H23" s="47">
        <f t="shared" si="3"/>
        <v>1.2301308666260022</v>
      </c>
      <c r="I23" s="47">
        <f t="shared" si="4"/>
        <v>1.1756261909623489</v>
      </c>
      <c r="J23" s="47">
        <f t="shared" si="5"/>
        <v>1.2446150431280429</v>
      </c>
      <c r="K23" s="47">
        <f t="shared" si="6"/>
        <v>1.251523883165417</v>
      </c>
      <c r="M23" s="48">
        <f t="shared" si="8"/>
        <v>2034</v>
      </c>
      <c r="N23" s="58">
        <f t="shared" si="9"/>
        <v>10918.255604345482</v>
      </c>
      <c r="O23" s="59">
        <v>1705.5936054709507</v>
      </c>
      <c r="P23" s="59">
        <v>5406.5757632703944</v>
      </c>
      <c r="Q23" s="59">
        <v>1287.7756126593379</v>
      </c>
      <c r="R23" s="59">
        <v>2518.3106229447985</v>
      </c>
      <c r="S23" s="47">
        <f t="shared" si="10"/>
        <v>1.1947308334169138</v>
      </c>
      <c r="T23" s="47">
        <f t="shared" si="11"/>
        <v>1.2132539202397683</v>
      </c>
      <c r="U23" s="47">
        <f t="shared" si="12"/>
        <v>1.3201589067696449</v>
      </c>
      <c r="V23" s="47">
        <f t="shared" si="13"/>
        <v>1.1353047681765494</v>
      </c>
      <c r="W23" s="47">
        <f t="shared" si="14"/>
        <v>1.0060462562829828</v>
      </c>
    </row>
    <row r="24" spans="1:25">
      <c r="A24" s="52">
        <f t="shared" si="7"/>
        <v>2035</v>
      </c>
      <c r="B24" s="58">
        <f t="shared" si="15"/>
        <v>103126.76495797567</v>
      </c>
      <c r="C24" s="60">
        <v>11936.20605686499</v>
      </c>
      <c r="D24" s="60">
        <v>74471.675021839954</v>
      </c>
      <c r="E24" s="60">
        <v>4963.8958582810055</v>
      </c>
      <c r="F24" s="60">
        <v>11754.988020989724</v>
      </c>
      <c r="G24" s="47">
        <f t="shared" si="2"/>
        <v>1.2102517862479687</v>
      </c>
      <c r="H24" s="47">
        <f t="shared" si="3"/>
        <v>1.2469359874777024</v>
      </c>
      <c r="I24" s="47">
        <f t="shared" si="4"/>
        <v>1.1920823459305465</v>
      </c>
      <c r="J24" s="47">
        <f t="shared" si="5"/>
        <v>1.2633986744116312</v>
      </c>
      <c r="K24" s="47">
        <f t="shared" si="6"/>
        <v>1.2725088406928087</v>
      </c>
      <c r="M24" s="48">
        <f t="shared" si="8"/>
        <v>2035</v>
      </c>
      <c r="N24" s="58">
        <f t="shared" si="9"/>
        <v>11025.354999999987</v>
      </c>
      <c r="O24" s="59">
        <v>1723.5579062541058</v>
      </c>
      <c r="P24" s="59">
        <v>5454.335743119671</v>
      </c>
      <c r="Q24" s="59">
        <v>1298.8958687483678</v>
      </c>
      <c r="R24" s="59">
        <v>2548.5654818778421</v>
      </c>
      <c r="S24" s="47">
        <f t="shared" si="10"/>
        <v>1.2064501917893105</v>
      </c>
      <c r="T24" s="47">
        <f t="shared" si="11"/>
        <v>1.2260326139916784</v>
      </c>
      <c r="U24" s="47">
        <f t="shared" si="12"/>
        <v>1.3318207729019012</v>
      </c>
      <c r="V24" s="47">
        <f t="shared" si="13"/>
        <v>1.1451084013849377</v>
      </c>
      <c r="W24" s="47">
        <f t="shared" si="14"/>
        <v>1.0181328461129402</v>
      </c>
    </row>
    <row r="25" spans="1:25">
      <c r="A25" s="52">
        <f t="shared" si="7"/>
        <v>2036</v>
      </c>
      <c r="B25" s="58">
        <f t="shared" si="15"/>
        <v>104604.28319074425</v>
      </c>
      <c r="C25" s="60">
        <v>12099.269508680158</v>
      </c>
      <c r="D25" s="60">
        <v>75514.113030045162</v>
      </c>
      <c r="E25" s="60">
        <v>5038.8105799428504</v>
      </c>
      <c r="F25" s="60">
        <v>11952.090072076082</v>
      </c>
      <c r="G25" s="47">
        <f t="shared" si="2"/>
        <v>1.2275913108723551</v>
      </c>
      <c r="H25" s="47">
        <f t="shared" si="3"/>
        <v>1.263970687225846</v>
      </c>
      <c r="I25" s="47">
        <f t="shared" si="4"/>
        <v>1.2087688505102272</v>
      </c>
      <c r="J25" s="47">
        <f t="shared" si="5"/>
        <v>1.2824657867652469</v>
      </c>
      <c r="K25" s="47">
        <f t="shared" si="6"/>
        <v>1.293845664012256</v>
      </c>
      <c r="M25" s="48">
        <f t="shared" si="8"/>
        <v>2036</v>
      </c>
      <c r="N25" s="58">
        <f t="shared" si="9"/>
        <v>11135.277970255178</v>
      </c>
      <c r="O25" s="59">
        <v>1738.5680303739464</v>
      </c>
      <c r="P25" s="59">
        <v>5511.7027506178783</v>
      </c>
      <c r="Q25" s="59">
        <v>1310.3980040702447</v>
      </c>
      <c r="R25" s="59">
        <v>2574.6091851931083</v>
      </c>
      <c r="S25" s="47">
        <f t="shared" si="10"/>
        <v>1.2184785199970123</v>
      </c>
      <c r="T25" s="47">
        <f t="shared" si="11"/>
        <v>1.2367098889728152</v>
      </c>
      <c r="U25" s="47">
        <f t="shared" si="12"/>
        <v>1.3458284497050224</v>
      </c>
      <c r="V25" s="47">
        <f t="shared" si="13"/>
        <v>1.1552486998552376</v>
      </c>
      <c r="W25" s="47">
        <f t="shared" si="14"/>
        <v>1.0285371107740764</v>
      </c>
    </row>
    <row r="26" spans="1:25">
      <c r="A26" s="52">
        <f t="shared" si="7"/>
        <v>2037</v>
      </c>
      <c r="B26" s="58">
        <f t="shared" si="15"/>
        <v>106103.05641031549</v>
      </c>
      <c r="C26" s="60">
        <v>12264.560610486555</v>
      </c>
      <c r="D26" s="60">
        <v>76571.142854543359</v>
      </c>
      <c r="E26" s="60">
        <v>5114.8559086282712</v>
      </c>
      <c r="F26" s="60">
        <v>12152.497036657298</v>
      </c>
      <c r="G26" s="47">
        <f t="shared" si="2"/>
        <v>1.2451802749682024</v>
      </c>
      <c r="H26" s="47">
        <f t="shared" si="3"/>
        <v>1.2812381022043011</v>
      </c>
      <c r="I26" s="47">
        <f t="shared" si="4"/>
        <v>1.2256889290842197</v>
      </c>
      <c r="J26" s="47">
        <f t="shared" si="5"/>
        <v>1.3018206584626617</v>
      </c>
      <c r="K26" s="47">
        <f t="shared" si="6"/>
        <v>1.315540253042091</v>
      </c>
      <c r="M26" s="48">
        <f t="shared" si="8"/>
        <v>2037</v>
      </c>
      <c r="N26" s="58">
        <f t="shared" si="9"/>
        <v>11246.296874327441</v>
      </c>
      <c r="O26" s="59">
        <v>1753.7079157579351</v>
      </c>
      <c r="P26" s="59">
        <v>5569.6700809573576</v>
      </c>
      <c r="Q26" s="59">
        <v>1322.0012715793198</v>
      </c>
      <c r="R26" s="59">
        <v>2600.9176060328286</v>
      </c>
      <c r="S26" s="47">
        <f t="shared" si="10"/>
        <v>1.230626770834307</v>
      </c>
      <c r="T26" s="47">
        <f t="shared" si="11"/>
        <v>1.2474794681006833</v>
      </c>
      <c r="U26" s="47">
        <f t="shared" si="12"/>
        <v>1.3599827112561509</v>
      </c>
      <c r="V26" s="47">
        <f t="shared" si="13"/>
        <v>1.1654781566021917</v>
      </c>
      <c r="W26" s="47">
        <f t="shared" si="14"/>
        <v>1.0390471281060796</v>
      </c>
    </row>
    <row r="27" spans="1:25">
      <c r="A27" s="52">
        <f t="shared" si="7"/>
        <v>2038</v>
      </c>
      <c r="B27" s="58">
        <f t="shared" si="15"/>
        <v>107623.39178042623</v>
      </c>
      <c r="C27" s="60">
        <v>12432.109794759563</v>
      </c>
      <c r="D27" s="60">
        <v>77642.968748346306</v>
      </c>
      <c r="E27" s="60">
        <v>5192.048907368584</v>
      </c>
      <c r="F27" s="60">
        <v>12356.264329951773</v>
      </c>
      <c r="G27" s="47">
        <f t="shared" si="2"/>
        <v>1.2630222832782885</v>
      </c>
      <c r="H27" s="47">
        <f t="shared" si="3"/>
        <v>1.2987414115931657</v>
      </c>
      <c r="I27" s="47">
        <f t="shared" si="4"/>
        <v>1.2428458511695497</v>
      </c>
      <c r="J27" s="47">
        <f t="shared" si="5"/>
        <v>1.3214676323450152</v>
      </c>
      <c r="K27" s="47">
        <f t="shared" si="6"/>
        <v>1.3375986066276724</v>
      </c>
      <c r="M27" s="48">
        <f t="shared" si="8"/>
        <v>2038</v>
      </c>
      <c r="N27" s="58">
        <f t="shared" si="9"/>
        <v>11358.422638694916</v>
      </c>
      <c r="O27" s="59">
        <v>1768.9786764451239</v>
      </c>
      <c r="P27" s="59">
        <v>5628.2439862351584</v>
      </c>
      <c r="Q27" s="59">
        <v>1333.7065545405017</v>
      </c>
      <c r="R27" s="59">
        <v>2627.4934214741324</v>
      </c>
      <c r="S27" s="47">
        <f t="shared" si="10"/>
        <v>1.2428961399317795</v>
      </c>
      <c r="T27" s="47">
        <f t="shared" si="11"/>
        <v>1.2583421438338391</v>
      </c>
      <c r="U27" s="47">
        <f t="shared" si="12"/>
        <v>1.3742850841706471</v>
      </c>
      <c r="V27" s="47">
        <f t="shared" si="13"/>
        <v>1.17579755031337</v>
      </c>
      <c r="W27" s="47">
        <f t="shared" si="14"/>
        <v>1.049663967581238</v>
      </c>
      <c r="X27" s="63"/>
      <c r="Y27" s="63"/>
    </row>
    <row r="28" spans="1:25">
      <c r="A28" s="52">
        <f t="shared" si="7"/>
        <v>2039</v>
      </c>
      <c r="B28" s="58">
        <f t="shared" si="15"/>
        <v>109165.60092633721</v>
      </c>
      <c r="C28" s="60">
        <v>12601.947909720115</v>
      </c>
      <c r="D28" s="60">
        <v>78729.797823554138</v>
      </c>
      <c r="E28" s="60">
        <v>5270.4068967090161</v>
      </c>
      <c r="F28" s="60">
        <v>12563.448296353949</v>
      </c>
      <c r="G28" s="47">
        <f t="shared" si="2"/>
        <v>1.2811209929039351</v>
      </c>
      <c r="H28" s="47">
        <f t="shared" si="3"/>
        <v>1.3164838380041011</v>
      </c>
      <c r="I28" s="47">
        <f t="shared" si="4"/>
        <v>1.2602429320492174</v>
      </c>
      <c r="J28" s="47">
        <f t="shared" si="5"/>
        <v>1.3414111167952603</v>
      </c>
      <c r="K28" s="47">
        <f t="shared" si="6"/>
        <v>1.3600268242001452</v>
      </c>
      <c r="M28" s="48">
        <f t="shared" si="8"/>
        <v>2039</v>
      </c>
      <c r="N28" s="58">
        <f t="shared" si="9"/>
        <v>11471.666298772907</v>
      </c>
      <c r="O28" s="59">
        <v>1784.3814359781152</v>
      </c>
      <c r="P28" s="59">
        <v>5687.4307833698967</v>
      </c>
      <c r="Q28" s="59">
        <v>1345.5147438853796</v>
      </c>
      <c r="R28" s="59">
        <v>2654.3393355395151</v>
      </c>
      <c r="S28" s="47">
        <f t="shared" si="10"/>
        <v>1.255287834840471</v>
      </c>
      <c r="T28" s="47">
        <f t="shared" si="11"/>
        <v>1.2692987153910784</v>
      </c>
      <c r="U28" s="47">
        <f t="shared" si="12"/>
        <v>1.3887371108917763</v>
      </c>
      <c r="V28" s="47">
        <f t="shared" si="13"/>
        <v>1.1862076664352985</v>
      </c>
      <c r="W28" s="47">
        <f t="shared" si="14"/>
        <v>1.0603887094363118</v>
      </c>
      <c r="X28" s="63"/>
      <c r="Y28" s="63"/>
    </row>
    <row r="29" spans="1:25">
      <c r="A29" s="52">
        <f t="shared" si="7"/>
        <v>2040</v>
      </c>
      <c r="B29" s="58">
        <f t="shared" si="15"/>
        <v>110729.99999999999</v>
      </c>
      <c r="C29" s="60">
        <v>12774.106225014277</v>
      </c>
      <c r="D29" s="60">
        <v>79831.840091376362</v>
      </c>
      <c r="E29" s="60">
        <v>5349.9474585950884</v>
      </c>
      <c r="F29" s="60">
        <v>12774.106225014277</v>
      </c>
      <c r="G29" s="47">
        <f t="shared" si="2"/>
        <v>1.2994801140697796</v>
      </c>
      <c r="H29" s="47">
        <f t="shared" si="3"/>
        <v>1.3344686480736589</v>
      </c>
      <c r="I29" s="47">
        <f t="shared" si="4"/>
        <v>1.2778835334128213</v>
      </c>
      <c r="J29" s="47">
        <f t="shared" si="5"/>
        <v>1.3616555867273148</v>
      </c>
      <c r="K29" s="47">
        <f t="shared" si="6"/>
        <v>1.3828311074630162</v>
      </c>
      <c r="M29" s="48">
        <f t="shared" si="8"/>
        <v>2040</v>
      </c>
      <c r="N29" s="58">
        <f t="shared" si="9"/>
        <v>11586.038999999982</v>
      </c>
      <c r="O29" s="59">
        <v>1799.9173274836683</v>
      </c>
      <c r="P29" s="59">
        <v>5747.2368547710494</v>
      </c>
      <c r="Q29" s="59">
        <v>1357.4267382783985</v>
      </c>
      <c r="R29" s="59">
        <v>2681.4580794668659</v>
      </c>
      <c r="S29" s="47">
        <f t="shared" si="10"/>
        <v>1.2678030751507254</v>
      </c>
      <c r="T29" s="47">
        <f t="shared" si="11"/>
        <v>1.2803499888087735</v>
      </c>
      <c r="U29" s="47">
        <f t="shared" si="12"/>
        <v>1.4033403498541346</v>
      </c>
      <c r="V29" s="47">
        <f t="shared" si="13"/>
        <v>1.1967092972317999</v>
      </c>
      <c r="W29" s="47">
        <f t="shared" si="14"/>
        <v>1.0712224447804073</v>
      </c>
      <c r="X29" s="63"/>
      <c r="Y29" s="63"/>
    </row>
    <row r="30" spans="1:25">
      <c r="A30" s="52">
        <f t="shared" si="7"/>
        <v>2041</v>
      </c>
      <c r="B30" s="58">
        <f t="shared" si="15"/>
        <v>112182.94256075763</v>
      </c>
      <c r="C30" s="60">
        <v>12939.945197238287</v>
      </c>
      <c r="D30" s="60">
        <v>80857.332005449876</v>
      </c>
      <c r="E30" s="60">
        <v>5425.0727091791787</v>
      </c>
      <c r="F30" s="60">
        <v>12960.59264889029</v>
      </c>
      <c r="G30" s="47">
        <f t="shared" si="2"/>
        <v>1.3165312290755611</v>
      </c>
      <c r="H30" s="47">
        <f t="shared" si="3"/>
        <v>1.3517932972634659</v>
      </c>
      <c r="I30" s="47">
        <f t="shared" si="4"/>
        <v>1.2942987786225344</v>
      </c>
      <c r="J30" s="47">
        <f t="shared" si="5"/>
        <v>1.3807762823890586</v>
      </c>
      <c r="K30" s="47">
        <f t="shared" si="6"/>
        <v>1.4030187607917715</v>
      </c>
      <c r="M30" s="48">
        <f t="shared" si="8"/>
        <v>2041</v>
      </c>
      <c r="N30" s="58">
        <f t="shared" si="9"/>
        <v>11684.597468876136</v>
      </c>
      <c r="O30" s="59">
        <v>1813.1791864270501</v>
      </c>
      <c r="P30" s="59">
        <v>5798.6251038765631</v>
      </c>
      <c r="Q30" s="59">
        <v>1367.695168499039</v>
      </c>
      <c r="R30" s="59">
        <v>2705.0980100734837</v>
      </c>
      <c r="S30" s="47">
        <f t="shared" si="10"/>
        <v>1.2785878420519361</v>
      </c>
      <c r="T30" s="47">
        <f t="shared" si="11"/>
        <v>1.2897836559502978</v>
      </c>
      <c r="U30" s="47">
        <f t="shared" si="12"/>
        <v>1.4158881541817494</v>
      </c>
      <c r="V30" s="47">
        <f t="shared" si="13"/>
        <v>1.2057619595718696</v>
      </c>
      <c r="W30" s="47">
        <f t="shared" si="14"/>
        <v>1.0806664202252501</v>
      </c>
      <c r="X30" s="63"/>
      <c r="Y30" s="63"/>
    </row>
    <row r="31" spans="1:25">
      <c r="A31" s="52">
        <f t="shared" si="7"/>
        <v>2042</v>
      </c>
      <c r="B31" s="58">
        <f t="shared" si="15"/>
        <v>113654.98862744329</v>
      </c>
      <c r="C31" s="60">
        <v>13107.937162730386</v>
      </c>
      <c r="D31" s="60">
        <v>81895.997030209895</v>
      </c>
      <c r="E31" s="60">
        <v>5501.2528866235798</v>
      </c>
      <c r="F31" s="60">
        <v>13149.801547879431</v>
      </c>
      <c r="G31" s="47">
        <f t="shared" si="2"/>
        <v>1.3338065346896915</v>
      </c>
      <c r="H31" s="47">
        <f t="shared" si="3"/>
        <v>1.3693428625425215</v>
      </c>
      <c r="I31" s="47">
        <f t="shared" si="4"/>
        <v>1.3109248883345668</v>
      </c>
      <c r="J31" s="47">
        <f t="shared" si="5"/>
        <v>1.4001654754639168</v>
      </c>
      <c r="K31" s="47">
        <f t="shared" si="6"/>
        <v>1.4235011293209028</v>
      </c>
      <c r="M31" s="48">
        <f t="shared" si="8"/>
        <v>2042</v>
      </c>
      <c r="N31" s="58">
        <f t="shared" si="9"/>
        <v>11783.994340918998</v>
      </c>
      <c r="O31" s="59">
        <v>1826.5380026883574</v>
      </c>
      <c r="P31" s="59">
        <v>5850.4704117361553</v>
      </c>
      <c r="Q31" s="59">
        <v>1378.0407047981537</v>
      </c>
      <c r="R31" s="59">
        <v>2728.9452216963309</v>
      </c>
      <c r="S31" s="47">
        <f t="shared" si="10"/>
        <v>1.2894643512744843</v>
      </c>
      <c r="T31" s="47">
        <f t="shared" si="11"/>
        <v>1.2992862925378208</v>
      </c>
      <c r="U31" s="47">
        <f t="shared" si="12"/>
        <v>1.4285475615297478</v>
      </c>
      <c r="V31" s="47">
        <f t="shared" si="13"/>
        <v>1.2148825987377825</v>
      </c>
      <c r="W31" s="47">
        <f t="shared" si="14"/>
        <v>1.0901932028855634</v>
      </c>
      <c r="X31" s="63"/>
      <c r="Y31" s="63"/>
    </row>
    <row r="32" spans="1:25">
      <c r="A32" s="52">
        <f t="shared" si="7"/>
        <v>2043</v>
      </c>
      <c r="B32" s="58">
        <f t="shared" si="15"/>
        <v>115146.38992668677</v>
      </c>
      <c r="C32" s="60">
        <v>13278.110072580421</v>
      </c>
      <c r="D32" s="60">
        <v>82948.004382831859</v>
      </c>
      <c r="E32" s="60">
        <v>5578.5028044653109</v>
      </c>
      <c r="F32" s="60">
        <v>13341.772666809165</v>
      </c>
      <c r="G32" s="47">
        <f t="shared" si="2"/>
        <v>1.3513089850686739</v>
      </c>
      <c r="H32" s="47">
        <f t="shared" si="3"/>
        <v>1.3871202638687801</v>
      </c>
      <c r="I32" s="47">
        <f t="shared" si="4"/>
        <v>1.3277645712406112</v>
      </c>
      <c r="J32" s="47">
        <f t="shared" si="5"/>
        <v>1.4198269362572236</v>
      </c>
      <c r="K32" s="47">
        <f t="shared" si="6"/>
        <v>1.444282515534107</v>
      </c>
      <c r="M32" s="48">
        <f t="shared" si="8"/>
        <v>2043</v>
      </c>
      <c r="N32" s="58">
        <f t="shared" si="9"/>
        <v>11884.236748137397</v>
      </c>
      <c r="O32" s="59">
        <v>1839.9944800075998</v>
      </c>
      <c r="P32" s="59">
        <v>5902.7768233677207</v>
      </c>
      <c r="Q32" s="59">
        <v>1388.4639221989933</v>
      </c>
      <c r="R32" s="59">
        <v>2753.0015225630837</v>
      </c>
      <c r="S32" s="47">
        <f t="shared" si="10"/>
        <v>1.3004333832389026</v>
      </c>
      <c r="T32" s="47">
        <f t="shared" si="11"/>
        <v>1.3088583991685092</v>
      </c>
      <c r="U32" s="47">
        <f t="shared" si="12"/>
        <v>1.4413195595965613</v>
      </c>
      <c r="V32" s="47">
        <f t="shared" si="13"/>
        <v>1.2240717216708352</v>
      </c>
      <c r="W32" s="47">
        <f t="shared" si="14"/>
        <v>1.099803515134778</v>
      </c>
      <c r="X32" s="63"/>
      <c r="Y32" s="63"/>
    </row>
    <row r="33" spans="1:25">
      <c r="A33" s="52">
        <f t="shared" si="7"/>
        <v>2044</v>
      </c>
      <c r="B33" s="58">
        <f t="shared" si="15"/>
        <v>116657.40150993707</v>
      </c>
      <c r="C33" s="60">
        <v>13450.49224075137</v>
      </c>
      <c r="D33" s="60">
        <v>84013.525454195929</v>
      </c>
      <c r="E33" s="60">
        <v>5656.8374842566445</v>
      </c>
      <c r="F33" s="60">
        <v>13536.546330733134</v>
      </c>
      <c r="G33" s="47">
        <f t="shared" si="2"/>
        <v>1.3690415733876737</v>
      </c>
      <c r="H33" s="47">
        <f t="shared" si="3"/>
        <v>1.4051284591083522</v>
      </c>
      <c r="I33" s="47">
        <f t="shared" si="4"/>
        <v>1.3448205708272676</v>
      </c>
      <c r="J33" s="47">
        <f t="shared" si="5"/>
        <v>1.4397644880178488</v>
      </c>
      <c r="K33" s="47">
        <f t="shared" si="6"/>
        <v>1.4653672847261143</v>
      </c>
      <c r="M33" s="48">
        <f t="shared" si="8"/>
        <v>2044</v>
      </c>
      <c r="N33" s="58">
        <f t="shared" si="9"/>
        <v>11985.33188320971</v>
      </c>
      <c r="O33" s="59">
        <v>1853.5493271991152</v>
      </c>
      <c r="P33" s="59">
        <v>5955.5484194232868</v>
      </c>
      <c r="Q33" s="59">
        <v>1398.9653999862117</v>
      </c>
      <c r="R33" s="59">
        <v>2777.2687366010964</v>
      </c>
      <c r="S33" s="47">
        <f t="shared" si="10"/>
        <v>1.311495725004493</v>
      </c>
      <c r="T33" s="47">
        <f t="shared" si="11"/>
        <v>1.3185004800490929</v>
      </c>
      <c r="U33" s="47">
        <f t="shared" si="12"/>
        <v>1.4542051447816404</v>
      </c>
      <c r="V33" s="47">
        <f t="shared" si="13"/>
        <v>1.2333298390691829</v>
      </c>
      <c r="W33" s="47">
        <f t="shared" si="14"/>
        <v>1.1094980856182286</v>
      </c>
      <c r="X33" s="63"/>
      <c r="Y33" s="63"/>
    </row>
    <row r="34" spans="1:25">
      <c r="A34" s="52">
        <f t="shared" si="7"/>
        <v>2045</v>
      </c>
      <c r="B34" s="58">
        <f t="shared" si="15"/>
        <v>118188.28179748777</v>
      </c>
      <c r="C34" s="60">
        <v>13625.112348790333</v>
      </c>
      <c r="D34" s="60">
        <v>85092.733836809581</v>
      </c>
      <c r="E34" s="60">
        <v>5736.2721584861119</v>
      </c>
      <c r="F34" s="60">
        <v>13734.163453401738</v>
      </c>
      <c r="G34" s="47">
        <f t="shared" si="2"/>
        <v>1.3870073323571812</v>
      </c>
      <c r="H34" s="47">
        <f t="shared" si="3"/>
        <v>1.4233704445276469</v>
      </c>
      <c r="I34" s="47">
        <f t="shared" si="4"/>
        <v>1.3620956658230052</v>
      </c>
      <c r="J34" s="47">
        <f t="shared" si="5"/>
        <v>1.4599820076816441</v>
      </c>
      <c r="K34" s="47">
        <f t="shared" si="6"/>
        <v>1.486759865919651</v>
      </c>
      <c r="M34" s="48">
        <f t="shared" si="8"/>
        <v>2045</v>
      </c>
      <c r="N34" s="58">
        <f t="shared" si="9"/>
        <v>12087.286999999986</v>
      </c>
      <c r="O34" s="59">
        <v>1867.203258187951</v>
      </c>
      <c r="P34" s="59">
        <v>6008.7893165016276</v>
      </c>
      <c r="Q34" s="59">
        <v>1409.5457217372734</v>
      </c>
      <c r="R34" s="59">
        <v>2801.7487035731338</v>
      </c>
      <c r="S34" s="47">
        <f t="shared" si="10"/>
        <v>1.3226521703258027</v>
      </c>
      <c r="T34" s="47">
        <f t="shared" si="11"/>
        <v>1.3282130430217443</v>
      </c>
      <c r="U34" s="47">
        <f t="shared" si="12"/>
        <v>1.4672053222617878</v>
      </c>
      <c r="V34" s="47">
        <f t="shared" si="13"/>
        <v>1.2426574654155285</v>
      </c>
      <c r="W34" s="47">
        <f t="shared" si="14"/>
        <v>1.1192776493073777</v>
      </c>
      <c r="X34" s="63"/>
      <c r="Y34" s="63"/>
    </row>
    <row r="35" spans="1:25">
      <c r="B35" s="58"/>
      <c r="C35" s="61"/>
      <c r="D35" s="61"/>
      <c r="E35" s="60"/>
      <c r="F35" s="60"/>
      <c r="G35" s="65"/>
      <c r="H35" s="65"/>
      <c r="I35" s="65"/>
      <c r="U35" s="63"/>
      <c r="V35" s="63"/>
      <c r="W35" s="63"/>
      <c r="X35" s="63"/>
      <c r="Y35" s="63"/>
    </row>
    <row r="36" spans="1:25">
      <c r="A36" s="251" t="s">
        <v>73</v>
      </c>
      <c r="B36" s="58"/>
      <c r="C36" s="61"/>
      <c r="D36" s="61"/>
      <c r="E36" s="60"/>
      <c r="F36" s="60"/>
      <c r="G36" s="65"/>
      <c r="H36" s="65"/>
      <c r="I36" s="65"/>
      <c r="U36" s="63"/>
      <c r="V36" s="63"/>
      <c r="W36" s="63"/>
      <c r="X36" s="63"/>
      <c r="Y36" s="63"/>
    </row>
    <row r="37" spans="1:25">
      <c r="A37" s="251" t="s">
        <v>74</v>
      </c>
    </row>
    <row r="38" spans="1:25" ht="15.75" thickBot="1">
      <c r="A38" s="239"/>
      <c r="B38" s="240"/>
      <c r="C38" s="240"/>
      <c r="D38" s="240"/>
    </row>
    <row r="39" spans="1:25">
      <c r="A39" s="250" t="s">
        <v>75</v>
      </c>
      <c r="B39" s="245"/>
      <c r="C39" s="376"/>
      <c r="D39" s="2"/>
      <c r="E39" s="238"/>
    </row>
    <row r="40" spans="1:25" ht="30">
      <c r="A40" s="246"/>
      <c r="B40" s="243" t="s">
        <v>76</v>
      </c>
      <c r="C40" s="377" t="s">
        <v>77</v>
      </c>
      <c r="D40" s="2" t="s">
        <v>322</v>
      </c>
      <c r="E40" s="238"/>
    </row>
    <row r="41" spans="1:25">
      <c r="A41" s="246"/>
      <c r="B41" s="243"/>
      <c r="C41" s="378" t="s">
        <v>78</v>
      </c>
      <c r="D41" s="7" t="s">
        <v>78</v>
      </c>
      <c r="E41" s="238"/>
    </row>
    <row r="42" spans="1:25">
      <c r="A42" s="246">
        <v>2017</v>
      </c>
      <c r="B42" s="244">
        <v>68.402602999999999</v>
      </c>
      <c r="C42" s="378"/>
      <c r="D42" s="2"/>
      <c r="E42" s="238"/>
      <c r="G42" s="59"/>
      <c r="H42" s="59"/>
      <c r="I42" s="59"/>
      <c r="J42" s="59"/>
    </row>
    <row r="43" spans="1:25">
      <c r="A43" s="246">
        <v>2018</v>
      </c>
      <c r="B43" s="244">
        <v>68.732192999999995</v>
      </c>
      <c r="C43" s="378"/>
      <c r="D43" s="2"/>
      <c r="E43" s="238"/>
      <c r="G43" s="59"/>
      <c r="H43" s="59"/>
      <c r="I43" s="59"/>
      <c r="J43" s="59"/>
    </row>
    <row r="44" spans="1:25">
      <c r="A44" s="246">
        <v>2019</v>
      </c>
      <c r="B44" s="244">
        <v>69.062111000000002</v>
      </c>
      <c r="C44" s="379">
        <f>$B$47/B44</f>
        <v>1.052923027504908</v>
      </c>
      <c r="D44" s="381">
        <f>C44</f>
        <v>1.052923027504908</v>
      </c>
      <c r="E44" s="238"/>
      <c r="G44" s="59"/>
      <c r="H44" s="59"/>
      <c r="I44" s="59"/>
      <c r="J44" s="59"/>
    </row>
    <row r="45" spans="1:25">
      <c r="A45" s="246">
        <v>2020</v>
      </c>
      <c r="B45" s="244">
        <v>71.028343000000007</v>
      </c>
      <c r="C45" s="379">
        <f>$B$47/B45</f>
        <v>1.0237756355938079</v>
      </c>
      <c r="D45" s="381">
        <f>C45</f>
        <v>1.0237756355938079</v>
      </c>
      <c r="E45" s="238"/>
      <c r="G45" s="59"/>
      <c r="H45" s="59"/>
      <c r="I45" s="59"/>
      <c r="J45" s="59"/>
    </row>
    <row r="46" spans="1:25">
      <c r="A46" s="246">
        <v>2021</v>
      </c>
      <c r="B46" s="244">
        <v>73.599999999999994</v>
      </c>
      <c r="C46" s="379">
        <f>$B$47/B46</f>
        <v>0.98800389945652189</v>
      </c>
      <c r="D46" s="381">
        <f>C46</f>
        <v>0.98800389945652189</v>
      </c>
      <c r="E46" s="238"/>
      <c r="G46" s="59"/>
      <c r="H46" s="59"/>
      <c r="I46" s="59"/>
      <c r="J46" s="59"/>
    </row>
    <row r="47" spans="1:25">
      <c r="A47" s="246">
        <v>2022</v>
      </c>
      <c r="B47" s="244">
        <v>72.717087000000006</v>
      </c>
      <c r="C47" s="379">
        <f>$B$47/B47</f>
        <v>1</v>
      </c>
      <c r="D47" s="381">
        <f>C47</f>
        <v>1</v>
      </c>
      <c r="E47" s="238"/>
      <c r="G47" s="59"/>
      <c r="H47" s="59"/>
      <c r="I47" s="59"/>
      <c r="J47" s="59"/>
    </row>
    <row r="48" spans="1:25">
      <c r="A48" s="246">
        <v>2023</v>
      </c>
      <c r="B48" s="244">
        <v>73.091971999999998</v>
      </c>
      <c r="C48" s="379">
        <f t="shared" ref="C48:C75" si="16">$B$47/B48</f>
        <v>0.99487105095481632</v>
      </c>
      <c r="D48" s="18">
        <f>$C$48*1/(1+$C$78)^(A48-$A$48)</f>
        <v>0.99487105095481632</v>
      </c>
      <c r="E48" s="238"/>
      <c r="G48" s="59"/>
      <c r="H48" s="59"/>
      <c r="I48" s="59"/>
      <c r="J48" s="59"/>
    </row>
    <row r="49" spans="1:10">
      <c r="A49" s="246">
        <v>2024</v>
      </c>
      <c r="B49" s="244">
        <v>73.492531</v>
      </c>
      <c r="C49" s="379">
        <f t="shared" si="16"/>
        <v>0.98944866928041986</v>
      </c>
      <c r="D49" s="18">
        <f t="shared" ref="D49:D74" si="17">$C$48*1/(1+$C$78)^(A49-$A$48)</f>
        <v>0.98249165608810618</v>
      </c>
      <c r="E49" s="238"/>
      <c r="G49" s="59"/>
      <c r="H49" s="59"/>
      <c r="I49" s="59"/>
      <c r="J49" s="59"/>
    </row>
    <row r="50" spans="1:10">
      <c r="A50" s="246">
        <v>2025</v>
      </c>
      <c r="B50" s="244">
        <v>74.018456</v>
      </c>
      <c r="C50" s="379">
        <f t="shared" si="16"/>
        <v>0.98241831739910934</v>
      </c>
      <c r="D50" s="18">
        <f t="shared" si="17"/>
        <v>0.9702663006992952</v>
      </c>
      <c r="E50" s="238"/>
      <c r="G50" s="59"/>
      <c r="H50" s="59"/>
      <c r="I50" s="59"/>
      <c r="J50" s="59"/>
    </row>
    <row r="51" spans="1:10">
      <c r="A51" s="246">
        <v>2026</v>
      </c>
      <c r="B51" s="244">
        <v>74.683121</v>
      </c>
      <c r="C51" s="379">
        <f t="shared" si="16"/>
        <v>0.97367498875683045</v>
      </c>
      <c r="D51" s="18">
        <f t="shared" si="17"/>
        <v>0.95819306804196647</v>
      </c>
      <c r="E51" s="238"/>
      <c r="G51" s="59"/>
      <c r="H51" s="59"/>
      <c r="I51" s="59"/>
      <c r="J51" s="59"/>
    </row>
    <row r="52" spans="1:10">
      <c r="A52" s="246">
        <v>2027</v>
      </c>
      <c r="B52" s="244">
        <v>75.131766999999996</v>
      </c>
      <c r="C52" s="379">
        <f t="shared" si="16"/>
        <v>0.9678607319324728</v>
      </c>
      <c r="D52" s="18">
        <f t="shared" si="17"/>
        <v>0.94627006522019219</v>
      </c>
      <c r="E52" s="238"/>
      <c r="G52" s="59"/>
      <c r="H52" s="59"/>
      <c r="I52" s="59"/>
      <c r="J52" s="59"/>
    </row>
    <row r="53" spans="1:10">
      <c r="A53" s="246">
        <v>2028</v>
      </c>
      <c r="B53" s="244">
        <v>75.592140000000001</v>
      </c>
      <c r="C53" s="379">
        <f t="shared" si="16"/>
        <v>0.96196624410950671</v>
      </c>
      <c r="D53" s="18">
        <f t="shared" si="17"/>
        <v>0.93449542289175613</v>
      </c>
      <c r="E53" s="238"/>
      <c r="G53" s="59"/>
      <c r="H53" s="59"/>
      <c r="I53" s="59"/>
      <c r="J53" s="59"/>
    </row>
    <row r="54" spans="1:10">
      <c r="A54" s="246">
        <v>2029</v>
      </c>
      <c r="B54" s="244">
        <v>76.024017000000001</v>
      </c>
      <c r="C54" s="379">
        <f t="shared" si="16"/>
        <v>0.95650150925331934</v>
      </c>
      <c r="D54" s="18">
        <f t="shared" si="17"/>
        <v>0.92286729497507036</v>
      </c>
      <c r="E54" s="238"/>
      <c r="G54" s="59"/>
      <c r="H54" s="59"/>
      <c r="I54" s="59"/>
      <c r="J54" s="59"/>
    </row>
    <row r="55" spans="1:10">
      <c r="A55" s="246">
        <v>2030</v>
      </c>
      <c r="B55" s="244">
        <v>76.492362999999997</v>
      </c>
      <c r="C55" s="379">
        <f t="shared" si="16"/>
        <v>0.95064505982120084</v>
      </c>
      <c r="D55" s="18">
        <f t="shared" si="17"/>
        <v>0.91138385835973779</v>
      </c>
      <c r="E55" s="238"/>
      <c r="G55" s="59"/>
      <c r="H55" s="59"/>
      <c r="I55" s="59"/>
      <c r="J55" s="59"/>
    </row>
    <row r="56" spans="1:10">
      <c r="A56" s="246">
        <v>2031</v>
      </c>
      <c r="B56" s="244">
        <v>77.014213999999996</v>
      </c>
      <c r="C56" s="379">
        <f t="shared" si="16"/>
        <v>0.94420345574130005</v>
      </c>
      <c r="D56" s="18">
        <f t="shared" si="17"/>
        <v>0.9000433126207168</v>
      </c>
      <c r="E56" s="238"/>
      <c r="G56" s="59"/>
      <c r="H56" s="59"/>
      <c r="I56" s="59"/>
      <c r="J56" s="59"/>
    </row>
    <row r="57" spans="1:10">
      <c r="A57" s="246">
        <v>2032</v>
      </c>
      <c r="B57" s="244">
        <v>77.600960000000001</v>
      </c>
      <c r="C57" s="379">
        <f t="shared" si="16"/>
        <v>0.93706427085438126</v>
      </c>
      <c r="D57" s="18">
        <f t="shared" si="17"/>
        <v>0.88884387973604284</v>
      </c>
      <c r="E57" s="238"/>
      <c r="G57" s="59"/>
      <c r="H57" s="59"/>
      <c r="I57" s="59"/>
      <c r="J57" s="59"/>
    </row>
    <row r="58" spans="1:10">
      <c r="A58" s="246">
        <v>2033</v>
      </c>
      <c r="B58" s="244">
        <v>78.266677999999999</v>
      </c>
      <c r="C58" s="379">
        <f t="shared" si="16"/>
        <v>0.92909382202218938</v>
      </c>
      <c r="D58" s="18">
        <f t="shared" si="17"/>
        <v>0.87778380380806131</v>
      </c>
      <c r="E58" s="238"/>
      <c r="G58" s="59"/>
      <c r="H58" s="59"/>
      <c r="I58" s="59"/>
      <c r="J58" s="59"/>
    </row>
    <row r="59" spans="1:10">
      <c r="A59" s="246">
        <v>2034</v>
      </c>
      <c r="B59" s="244">
        <v>78.981505999999996</v>
      </c>
      <c r="C59" s="379">
        <f t="shared" si="16"/>
        <v>0.92068498921760256</v>
      </c>
      <c r="D59" s="18">
        <f t="shared" si="17"/>
        <v>0.86686135078813076</v>
      </c>
      <c r="E59" s="238"/>
      <c r="G59" s="59"/>
      <c r="H59" s="59"/>
      <c r="I59" s="59"/>
      <c r="J59" s="59"/>
    </row>
    <row r="60" spans="1:10">
      <c r="A60" s="246">
        <v>2035</v>
      </c>
      <c r="B60" s="244">
        <v>79.730591000000004</v>
      </c>
      <c r="C60" s="379">
        <f t="shared" si="16"/>
        <v>0.91203496785819638</v>
      </c>
      <c r="D60" s="18">
        <f t="shared" si="17"/>
        <v>0.85607480820475113</v>
      </c>
      <c r="E60" s="238"/>
      <c r="G60" s="59"/>
      <c r="H60" s="59"/>
      <c r="I60" s="59"/>
      <c r="J60" s="59"/>
    </row>
    <row r="61" spans="1:10">
      <c r="A61" s="246">
        <v>2036</v>
      </c>
      <c r="B61" s="244">
        <v>80.489220000000003</v>
      </c>
      <c r="C61" s="379">
        <f t="shared" si="16"/>
        <v>0.90343883317542406</v>
      </c>
      <c r="D61" s="18">
        <f t="shared" si="17"/>
        <v>0.8454224848950731</v>
      </c>
      <c r="E61" s="238"/>
      <c r="G61" s="59"/>
      <c r="H61" s="59"/>
      <c r="I61" s="59"/>
      <c r="J61" s="59"/>
    </row>
    <row r="62" spans="1:10">
      <c r="A62" s="246">
        <v>2037</v>
      </c>
      <c r="B62" s="244">
        <v>81.260979000000006</v>
      </c>
      <c r="C62" s="379">
        <f t="shared" si="16"/>
        <v>0.89485861350501328</v>
      </c>
      <c r="D62" s="18">
        <f t="shared" si="17"/>
        <v>0.83490271073975253</v>
      </c>
      <c r="E62" s="238"/>
      <c r="G62" s="59"/>
      <c r="H62" s="59"/>
      <c r="I62" s="59"/>
      <c r="J62" s="59"/>
    </row>
    <row r="63" spans="1:10">
      <c r="A63" s="246">
        <v>2038</v>
      </c>
      <c r="B63" s="244">
        <v>82.048454000000007</v>
      </c>
      <c r="C63" s="379">
        <f t="shared" si="16"/>
        <v>0.88627004477134941</v>
      </c>
      <c r="D63" s="18">
        <f t="shared" si="17"/>
        <v>0.82451383640109865</v>
      </c>
      <c r="E63" s="238"/>
      <c r="G63" s="59"/>
      <c r="H63" s="59"/>
      <c r="I63" s="59"/>
      <c r="J63" s="59"/>
    </row>
    <row r="64" spans="1:10">
      <c r="A64" s="246">
        <v>2039</v>
      </c>
      <c r="B64" s="244">
        <v>82.814575000000005</v>
      </c>
      <c r="C64" s="379">
        <f t="shared" si="16"/>
        <v>0.87807112455748282</v>
      </c>
      <c r="D64" s="18">
        <f t="shared" si="17"/>
        <v>0.81425423306448619</v>
      </c>
      <c r="E64" s="238"/>
      <c r="G64" s="59"/>
      <c r="H64" s="59"/>
      <c r="I64" s="59"/>
      <c r="J64" s="59"/>
    </row>
    <row r="65" spans="1:10">
      <c r="A65" s="246">
        <v>2040</v>
      </c>
      <c r="B65" s="244">
        <v>83.594772000000006</v>
      </c>
      <c r="C65" s="379">
        <f t="shared" si="16"/>
        <v>0.86987601329901354</v>
      </c>
      <c r="D65" s="18">
        <f t="shared" si="17"/>
        <v>0.80412229218298059</v>
      </c>
      <c r="E65" s="238"/>
      <c r="G65" s="59"/>
      <c r="H65" s="59"/>
      <c r="I65" s="59"/>
      <c r="J65" s="59"/>
    </row>
    <row r="66" spans="1:10">
      <c r="A66" s="246">
        <v>2041</v>
      </c>
      <c r="B66" s="244">
        <v>84.382309000000006</v>
      </c>
      <c r="C66" s="379">
        <f t="shared" si="16"/>
        <v>0.86175749231986531</v>
      </c>
      <c r="D66" s="18">
        <f t="shared" si="17"/>
        <v>0.79411642522514392</v>
      </c>
      <c r="E66" s="238"/>
      <c r="G66" s="59"/>
      <c r="H66" s="59"/>
      <c r="I66" s="59"/>
      <c r="J66" s="59"/>
    </row>
    <row r="67" spans="1:10">
      <c r="A67" s="246">
        <v>2042</v>
      </c>
      <c r="B67" s="244">
        <v>85.171204000000003</v>
      </c>
      <c r="C67" s="379">
        <f t="shared" si="16"/>
        <v>0.85377549670426178</v>
      </c>
      <c r="D67" s="18">
        <f t="shared" si="17"/>
        <v>0.7842350634259766</v>
      </c>
      <c r="E67" s="238"/>
      <c r="G67" s="59"/>
      <c r="H67" s="59"/>
      <c r="I67" s="59"/>
      <c r="J67" s="59"/>
    </row>
    <row r="68" spans="1:10">
      <c r="A68" s="246">
        <v>2043</v>
      </c>
      <c r="B68" s="244">
        <v>85.974022000000005</v>
      </c>
      <c r="C68" s="379">
        <f t="shared" si="16"/>
        <v>0.8458030147757889</v>
      </c>
      <c r="D68" s="18">
        <f t="shared" si="17"/>
        <v>0.77447665754096062</v>
      </c>
      <c r="E68" s="238"/>
      <c r="G68" s="59"/>
      <c r="H68" s="59"/>
      <c r="I68" s="59"/>
      <c r="J68" s="59"/>
    </row>
    <row r="69" spans="1:10">
      <c r="A69" s="246">
        <v>2044</v>
      </c>
      <c r="B69" s="244">
        <v>86.764037999999999</v>
      </c>
      <c r="C69" s="379">
        <f t="shared" si="16"/>
        <v>0.8381016913943079</v>
      </c>
      <c r="D69" s="18">
        <f t="shared" si="17"/>
        <v>0.76483967760316085</v>
      </c>
      <c r="E69" s="238"/>
      <c r="G69" s="59"/>
      <c r="H69" s="59"/>
      <c r="I69" s="59"/>
      <c r="J69" s="59"/>
    </row>
    <row r="70" spans="1:10">
      <c r="A70" s="246">
        <v>2045</v>
      </c>
      <c r="B70" s="244">
        <v>87.549926999999997</v>
      </c>
      <c r="C70" s="379">
        <f t="shared" si="16"/>
        <v>0.83057849951148455</v>
      </c>
      <c r="D70" s="18">
        <f t="shared" si="17"/>
        <v>0.75532261268335088</v>
      </c>
      <c r="E70" s="238"/>
    </row>
    <row r="71" spans="1:10">
      <c r="A71" s="246">
        <v>2046</v>
      </c>
      <c r="B71" s="244">
        <v>88.321090999999996</v>
      </c>
      <c r="C71" s="379">
        <f t="shared" si="16"/>
        <v>0.82332641248736393</v>
      </c>
      <c r="D71" s="18">
        <f t="shared" si="17"/>
        <v>0.74592397065312144</v>
      </c>
      <c r="E71" s="238"/>
    </row>
    <row r="72" spans="1:10">
      <c r="A72" s="246">
        <v>2047</v>
      </c>
      <c r="B72" s="244">
        <v>89.091155999999998</v>
      </c>
      <c r="C72" s="379">
        <f t="shared" si="16"/>
        <v>0.8162099389528632</v>
      </c>
      <c r="D72" s="18">
        <f t="shared" si="17"/>
        <v>0.73664227795093973</v>
      </c>
      <c r="E72" s="238"/>
    </row>
    <row r="73" spans="1:10">
      <c r="A73" s="246">
        <v>2048</v>
      </c>
      <c r="B73" s="244">
        <v>89.849761999999998</v>
      </c>
      <c r="C73" s="379">
        <f t="shared" si="16"/>
        <v>0.80931863792805603</v>
      </c>
      <c r="D73" s="18">
        <f t="shared" si="17"/>
        <v>0.7274760793511158</v>
      </c>
      <c r="E73" s="238"/>
    </row>
    <row r="74" spans="1:10">
      <c r="A74" s="246">
        <v>2049</v>
      </c>
      <c r="B74" s="244">
        <v>90.593376000000006</v>
      </c>
      <c r="C74" s="379">
        <f t="shared" si="16"/>
        <v>0.80267553998649965</v>
      </c>
      <c r="D74" s="18">
        <f t="shared" si="17"/>
        <v>0.71842393773564672</v>
      </c>
      <c r="E74" s="238"/>
    </row>
    <row r="75" spans="1:10" ht="15.75" thickBot="1">
      <c r="A75" s="249">
        <v>2050</v>
      </c>
      <c r="B75" s="244">
        <v>91.328147999999999</v>
      </c>
      <c r="C75" s="379">
        <f t="shared" si="16"/>
        <v>0.79621768964372308</v>
      </c>
      <c r="D75" s="18">
        <f>$C$48*1/(1+$C$78)^(A75-$A$48)</f>
        <v>0.70948443386889859</v>
      </c>
      <c r="E75" s="380"/>
      <c r="G75" s="318"/>
    </row>
    <row r="76" spans="1:10">
      <c r="A76" s="241"/>
      <c r="B76" s="242"/>
      <c r="C76" s="242"/>
      <c r="D76" s="242"/>
      <c r="E76" s="66"/>
    </row>
    <row r="77" spans="1:10">
      <c r="B77" s="48" t="s">
        <v>79</v>
      </c>
      <c r="E77" s="66"/>
    </row>
    <row r="78" spans="1:10">
      <c r="A78" s="64">
        <v>2050</v>
      </c>
      <c r="B78" s="67">
        <v>8.1460000000000005E-3</v>
      </c>
      <c r="C78" s="375">
        <v>1.26E-2</v>
      </c>
      <c r="E78" s="66"/>
    </row>
    <row r="80" spans="1:10">
      <c r="A80" s="251" t="s">
        <v>246</v>
      </c>
    </row>
    <row r="81" spans="1:33">
      <c r="A81" s="251" t="s">
        <v>253</v>
      </c>
    </row>
    <row r="82" spans="1:33">
      <c r="A82" s="306" t="s">
        <v>254</v>
      </c>
      <c r="B82" s="240"/>
      <c r="C82" s="240"/>
      <c r="D82" s="240"/>
      <c r="E82" s="240"/>
      <c r="F82" s="240"/>
      <c r="G82" s="240"/>
      <c r="H82" s="240"/>
      <c r="I82" s="240"/>
      <c r="J82" s="240"/>
      <c r="K82" s="240"/>
      <c r="L82" s="240"/>
      <c r="M82" s="240"/>
      <c r="N82" s="240"/>
      <c r="O82" s="240"/>
      <c r="P82" s="240"/>
      <c r="Q82" s="240"/>
      <c r="R82" s="240"/>
      <c r="S82" s="240"/>
      <c r="T82" s="240"/>
      <c r="U82" s="240"/>
      <c r="V82" s="240"/>
      <c r="W82" s="240"/>
      <c r="X82" s="240"/>
      <c r="Y82" s="240"/>
      <c r="Z82" s="240"/>
      <c r="AA82" s="240"/>
      <c r="AB82" s="240"/>
      <c r="AC82" s="240"/>
      <c r="AD82" s="240"/>
      <c r="AE82" s="240"/>
      <c r="AF82" s="240"/>
    </row>
    <row r="83" spans="1:33">
      <c r="A83" s="306"/>
      <c r="B83" s="240"/>
      <c r="C83" s="240"/>
      <c r="D83" s="240"/>
      <c r="E83" s="240"/>
      <c r="F83" s="240"/>
      <c r="G83" s="240"/>
      <c r="H83" s="240"/>
      <c r="I83" s="240"/>
      <c r="J83" s="240"/>
      <c r="K83" s="240"/>
      <c r="L83" s="240"/>
      <c r="M83" s="240"/>
      <c r="N83" s="240"/>
      <c r="O83" s="240"/>
      <c r="P83" s="240"/>
      <c r="Q83" s="240"/>
      <c r="R83" s="240"/>
      <c r="S83" s="240"/>
      <c r="T83" s="240"/>
      <c r="U83" s="240"/>
      <c r="V83" s="240"/>
      <c r="W83" s="240"/>
      <c r="X83" s="240"/>
      <c r="Y83" s="240"/>
      <c r="Z83" s="240"/>
      <c r="AA83" s="240"/>
      <c r="AB83" s="240"/>
      <c r="AC83" s="240"/>
      <c r="AD83" s="240"/>
      <c r="AE83" s="240"/>
      <c r="AF83" s="240"/>
    </row>
    <row r="84" spans="1:33">
      <c r="A84" s="306"/>
      <c r="B84" s="240"/>
      <c r="C84" s="240"/>
      <c r="D84" s="240"/>
      <c r="E84" s="240"/>
      <c r="F84" s="240"/>
      <c r="G84" s="240"/>
      <c r="H84" s="240"/>
      <c r="I84" s="240"/>
      <c r="J84" s="240"/>
      <c r="K84" s="240"/>
      <c r="L84" s="240"/>
      <c r="M84" s="240"/>
      <c r="N84" s="240"/>
      <c r="O84" s="240"/>
      <c r="P84" s="240"/>
      <c r="Q84" s="240"/>
      <c r="R84" s="240"/>
      <c r="S84" s="240"/>
      <c r="T84" s="240"/>
      <c r="U84" s="240"/>
      <c r="V84" s="240"/>
      <c r="W84" s="240"/>
      <c r="X84" s="240"/>
      <c r="Y84" s="240"/>
      <c r="Z84" s="240"/>
      <c r="AA84" s="240"/>
      <c r="AB84" s="240"/>
      <c r="AC84" s="240"/>
      <c r="AD84" s="240"/>
      <c r="AE84" s="240"/>
      <c r="AF84" s="240"/>
    </row>
    <row r="85" spans="1:33" ht="15.75" thickBot="1">
      <c r="A85" s="267" t="s">
        <v>80</v>
      </c>
      <c r="B85" s="240"/>
      <c r="C85" s="240"/>
      <c r="D85" s="240"/>
      <c r="E85" s="240"/>
      <c r="F85" s="240"/>
      <c r="G85" s="240"/>
      <c r="H85" s="240"/>
      <c r="I85" s="240"/>
      <c r="J85" s="240"/>
      <c r="K85" s="240"/>
      <c r="L85" s="240"/>
      <c r="M85" s="240"/>
      <c r="N85" s="240"/>
      <c r="O85" s="240"/>
      <c r="P85" s="240"/>
      <c r="Q85" s="240"/>
      <c r="R85" s="240"/>
      <c r="S85" s="240"/>
      <c r="T85" s="240"/>
      <c r="U85" s="240"/>
      <c r="V85" s="240"/>
      <c r="W85" s="240"/>
      <c r="X85" s="240"/>
      <c r="Y85" s="240"/>
      <c r="Z85" s="240"/>
      <c r="AA85" s="240"/>
      <c r="AB85" s="240"/>
      <c r="AC85" s="240"/>
      <c r="AD85" s="240"/>
      <c r="AE85" s="240"/>
      <c r="AF85" s="240"/>
    </row>
    <row r="86" spans="1:33" customFormat="1" ht="15.75" thickBot="1">
      <c r="A86" s="76"/>
      <c r="B86" s="268"/>
      <c r="C86" s="269">
        <v>2021</v>
      </c>
      <c r="D86" s="269">
        <v>2022</v>
      </c>
      <c r="E86" s="269">
        <v>2023</v>
      </c>
      <c r="F86" s="269">
        <v>2024</v>
      </c>
      <c r="G86" s="269">
        <v>2025</v>
      </c>
      <c r="H86" s="269">
        <v>2026</v>
      </c>
      <c r="I86" s="269">
        <v>2027</v>
      </c>
      <c r="J86" s="269">
        <v>2028</v>
      </c>
      <c r="K86" s="269">
        <v>2029</v>
      </c>
      <c r="L86" s="269">
        <v>2030</v>
      </c>
      <c r="M86" s="269">
        <v>2031</v>
      </c>
      <c r="N86" s="269">
        <v>2032</v>
      </c>
      <c r="O86" s="269">
        <v>2033</v>
      </c>
      <c r="P86" s="269">
        <v>2034</v>
      </c>
      <c r="Q86" s="269">
        <v>2035</v>
      </c>
      <c r="R86" s="269">
        <v>2036</v>
      </c>
      <c r="S86" s="269">
        <v>2037</v>
      </c>
      <c r="T86" s="269">
        <v>2038</v>
      </c>
      <c r="U86" s="269">
        <v>2039</v>
      </c>
      <c r="V86" s="269">
        <v>2040</v>
      </c>
      <c r="W86" s="269">
        <v>2041</v>
      </c>
      <c r="X86" s="269">
        <v>2042</v>
      </c>
      <c r="Y86" s="269">
        <v>2043</v>
      </c>
      <c r="Z86" s="269">
        <v>2044</v>
      </c>
      <c r="AA86" s="269">
        <v>2045</v>
      </c>
      <c r="AB86" s="269">
        <v>2046</v>
      </c>
      <c r="AC86" s="269">
        <v>2047</v>
      </c>
      <c r="AD86" s="269">
        <v>2048</v>
      </c>
      <c r="AE86" s="269">
        <v>2049</v>
      </c>
      <c r="AF86" s="270">
        <v>2050</v>
      </c>
    </row>
    <row r="87" spans="1:33" customFormat="1" ht="15.75" thickTop="1">
      <c r="A87" s="271" t="s">
        <v>81</v>
      </c>
      <c r="B87" s="272" t="s">
        <v>82</v>
      </c>
      <c r="C87" s="9">
        <v>0</v>
      </c>
      <c r="D87" s="9">
        <v>0</v>
      </c>
      <c r="E87" s="9">
        <v>0</v>
      </c>
      <c r="F87" s="9">
        <v>0</v>
      </c>
      <c r="G87" s="9">
        <v>0.50661693340199876</v>
      </c>
      <c r="H87" s="9">
        <v>0.53954381414386821</v>
      </c>
      <c r="I87" s="9">
        <v>0.67815305334585063</v>
      </c>
      <c r="J87" s="9">
        <v>0.70857491936816597</v>
      </c>
      <c r="K87" s="9">
        <v>0.73236380907005183</v>
      </c>
      <c r="L87" s="9">
        <v>0.72752685330262579</v>
      </c>
      <c r="M87" s="9">
        <v>0.72674415549217464</v>
      </c>
      <c r="N87" s="9">
        <v>0.74197441983418999</v>
      </c>
      <c r="O87" s="9">
        <v>0.7455090853054045</v>
      </c>
      <c r="P87" s="9">
        <v>0.73562468540546266</v>
      </c>
      <c r="Q87" s="9">
        <v>0.74822725306015236</v>
      </c>
      <c r="R87" s="9">
        <v>0.76233779269322499</v>
      </c>
      <c r="S87" s="9">
        <v>0.75166634122467024</v>
      </c>
      <c r="T87" s="9">
        <v>0.744137003562518</v>
      </c>
      <c r="U87" s="9">
        <v>0.75653107211091974</v>
      </c>
      <c r="V87" s="9">
        <v>0.73808439535944448</v>
      </c>
      <c r="W87" s="9">
        <v>0.73879170398319727</v>
      </c>
      <c r="X87" s="9">
        <v>0.74559273410136795</v>
      </c>
      <c r="Y87" s="9">
        <v>0.76070164111890215</v>
      </c>
      <c r="Z87" s="9">
        <v>0.78752510998416003</v>
      </c>
      <c r="AA87" s="9">
        <v>0.79833969760770551</v>
      </c>
      <c r="AB87" s="9">
        <v>0.81437580938072474</v>
      </c>
      <c r="AC87" s="9">
        <v>0.80012058593803526</v>
      </c>
      <c r="AD87" s="9">
        <v>0.77435668419576287</v>
      </c>
      <c r="AE87" s="9">
        <v>0.77525573379970825</v>
      </c>
      <c r="AF87" s="9">
        <v>0.777064843022785</v>
      </c>
      <c r="AG87" s="1"/>
    </row>
    <row r="88" spans="1:33" customFormat="1">
      <c r="A88" s="271" t="s">
        <v>81</v>
      </c>
      <c r="B88" s="266" t="s">
        <v>83</v>
      </c>
      <c r="C88" s="9">
        <v>0</v>
      </c>
      <c r="D88" s="9">
        <v>0</v>
      </c>
      <c r="E88" s="9">
        <v>0</v>
      </c>
      <c r="F88" s="9">
        <v>0</v>
      </c>
      <c r="G88" s="9">
        <v>-0.51136968995156318</v>
      </c>
      <c r="H88" s="9">
        <v>-0.48379012112605918</v>
      </c>
      <c r="I88" s="9">
        <v>-0.43928352321478331</v>
      </c>
      <c r="J88" s="9">
        <v>-0.432705051814193</v>
      </c>
      <c r="K88" s="9">
        <v>-0.4275979249816072</v>
      </c>
      <c r="L88" s="9">
        <v>-0.41879599041020893</v>
      </c>
      <c r="M88" s="9">
        <v>-0.42203656669747297</v>
      </c>
      <c r="N88" s="9">
        <v>-0.41945847441420975</v>
      </c>
      <c r="O88" s="9">
        <v>-0.41953923873548599</v>
      </c>
      <c r="P88" s="9">
        <v>-0.42001755842259719</v>
      </c>
      <c r="Q88" s="9">
        <v>-0.41384550622618405</v>
      </c>
      <c r="R88" s="9">
        <v>-0.42151097456397413</v>
      </c>
      <c r="S88" s="9">
        <v>-0.41907304253857752</v>
      </c>
      <c r="T88" s="9">
        <v>-0.41588822644941464</v>
      </c>
      <c r="U88" s="9">
        <v>-0.41555281896450463</v>
      </c>
      <c r="V88" s="9">
        <v>-0.41939811914451064</v>
      </c>
      <c r="W88" s="9">
        <v>-0.41738623536706221</v>
      </c>
      <c r="X88" s="9">
        <v>-0.42435611783339594</v>
      </c>
      <c r="Y88" s="9">
        <v>-0.4308394550335925</v>
      </c>
      <c r="Z88" s="9">
        <v>-0.43097652329276409</v>
      </c>
      <c r="AA88" s="9">
        <v>-0.43635065492843506</v>
      </c>
      <c r="AB88" s="9">
        <v>-0.42560667538747615</v>
      </c>
      <c r="AC88" s="9">
        <v>-0.42889951628595319</v>
      </c>
      <c r="AD88" s="9">
        <v>-0.42985171660585658</v>
      </c>
      <c r="AE88" s="9">
        <v>-0.43473566987973233</v>
      </c>
      <c r="AF88" s="9">
        <v>-0.43367405724820174</v>
      </c>
      <c r="AG88" s="1"/>
    </row>
    <row r="89" spans="1:33" customFormat="1" ht="15.75" thickBot="1">
      <c r="A89" s="273" t="s">
        <v>84</v>
      </c>
      <c r="B89" s="274" t="s">
        <v>85</v>
      </c>
      <c r="C89" s="275">
        <v>0</v>
      </c>
      <c r="D89" s="275">
        <v>-0.186</v>
      </c>
      <c r="E89" s="275">
        <f>D89</f>
        <v>-0.186</v>
      </c>
      <c r="F89" s="275">
        <f t="shared" ref="F89:P89" si="18">$E$89+($Q$89-$E$89)*(F86-$E$86)/($Q$86-$E$86)</f>
        <v>-0.19022916666666667</v>
      </c>
      <c r="G89" s="275">
        <f t="shared" si="18"/>
        <v>-0.19445833333333334</v>
      </c>
      <c r="H89" s="275">
        <f t="shared" si="18"/>
        <v>-0.19868749999999999</v>
      </c>
      <c r="I89" s="275">
        <f t="shared" si="18"/>
        <v>-0.20291666666666666</v>
      </c>
      <c r="J89" s="275">
        <f t="shared" si="18"/>
        <v>-0.20714583333333333</v>
      </c>
      <c r="K89" s="275">
        <f t="shared" si="18"/>
        <v>-0.21137499999999998</v>
      </c>
      <c r="L89" s="275">
        <f t="shared" si="18"/>
        <v>-0.21560416666666665</v>
      </c>
      <c r="M89" s="275">
        <f t="shared" si="18"/>
        <v>-0.21983333333333333</v>
      </c>
      <c r="N89" s="275">
        <f t="shared" si="18"/>
        <v>-0.2240625</v>
      </c>
      <c r="O89" s="275">
        <f t="shared" si="18"/>
        <v>-0.22829166666666664</v>
      </c>
      <c r="P89" s="275">
        <f t="shared" si="18"/>
        <v>-0.23252083333333332</v>
      </c>
      <c r="Q89" s="275">
        <v>-0.23674999999999999</v>
      </c>
      <c r="R89" s="275">
        <v>-0.23674999999999999</v>
      </c>
      <c r="S89" s="275">
        <v>-0.23674999999999999</v>
      </c>
      <c r="T89" s="275">
        <v>-0.23674999999999999</v>
      </c>
      <c r="U89" s="275">
        <v>-0.23674999999999999</v>
      </c>
      <c r="V89" s="275">
        <v>-0.23674999999999999</v>
      </c>
      <c r="W89" s="275">
        <v>-0.23674999999999999</v>
      </c>
      <c r="X89" s="275">
        <v>-0.23674999999999999</v>
      </c>
      <c r="Y89" s="275">
        <v>-0.23674999999999999</v>
      </c>
      <c r="Z89" s="275">
        <v>-0.23674999999999999</v>
      </c>
      <c r="AA89" s="275">
        <v>-0.23674999999999999</v>
      </c>
      <c r="AB89" s="275">
        <v>-0.23674999999999999</v>
      </c>
      <c r="AC89" s="275">
        <v>-0.23674999999999999</v>
      </c>
      <c r="AD89" s="275">
        <v>-0.23674999999999999</v>
      </c>
      <c r="AE89" s="275">
        <v>-0.23674999999999999</v>
      </c>
      <c r="AF89" s="276">
        <v>-0.23674999999999999</v>
      </c>
    </row>
    <row r="90" spans="1:33">
      <c r="A90" s="241"/>
      <c r="B90" s="242"/>
      <c r="C90" s="242"/>
      <c r="D90" s="242"/>
      <c r="E90" s="242"/>
      <c r="F90" s="242"/>
      <c r="G90" s="242"/>
      <c r="H90" s="242"/>
      <c r="I90" s="242"/>
      <c r="J90" s="242"/>
      <c r="K90" s="242"/>
      <c r="L90" s="242"/>
      <c r="M90" s="242"/>
      <c r="N90" s="242"/>
      <c r="O90" s="242"/>
      <c r="P90" s="242"/>
      <c r="Q90" s="242"/>
      <c r="R90" s="242"/>
      <c r="S90" s="242"/>
      <c r="T90" s="242"/>
      <c r="U90" s="242"/>
      <c r="V90" s="242"/>
      <c r="W90" s="242"/>
      <c r="X90" s="242"/>
      <c r="Y90" s="242"/>
      <c r="Z90" s="242"/>
      <c r="AA90" s="242"/>
      <c r="AB90" s="242"/>
      <c r="AC90" s="242"/>
      <c r="AD90" s="242"/>
      <c r="AE90" s="242"/>
      <c r="AF90" s="242"/>
    </row>
    <row r="91" spans="1:33">
      <c r="A91" s="251" t="s">
        <v>370</v>
      </c>
    </row>
    <row r="93" spans="1:33">
      <c r="F93" s="317" t="s">
        <v>262</v>
      </c>
    </row>
    <row r="94" spans="1:33">
      <c r="A94" s="251" t="s">
        <v>258</v>
      </c>
      <c r="E94" s="48" t="s">
        <v>259</v>
      </c>
      <c r="I94" s="48" t="s">
        <v>249</v>
      </c>
      <c r="M94" s="48" t="s">
        <v>260</v>
      </c>
    </row>
    <row r="95" spans="1:33" ht="24" customHeight="1">
      <c r="A95" s="246"/>
      <c r="B95" s="243" t="s">
        <v>267</v>
      </c>
      <c r="C95" s="247" t="s">
        <v>268</v>
      </c>
      <c r="D95"/>
      <c r="E95" s="246"/>
      <c r="F95" s="243" t="s">
        <v>267</v>
      </c>
      <c r="G95" s="247" t="s">
        <v>268</v>
      </c>
      <c r="I95" s="246"/>
      <c r="J95" s="243" t="s">
        <v>267</v>
      </c>
      <c r="K95" s="247" t="s">
        <v>268</v>
      </c>
      <c r="N95" s="48" t="s">
        <v>191</v>
      </c>
      <c r="O95" s="48" t="s">
        <v>181</v>
      </c>
    </row>
    <row r="96" spans="1:33">
      <c r="A96" s="246">
        <v>2019</v>
      </c>
      <c r="B96" s="244"/>
      <c r="C96" s="248">
        <v>0</v>
      </c>
      <c r="E96" s="246">
        <v>2019</v>
      </c>
      <c r="F96" s="18">
        <v>0</v>
      </c>
      <c r="G96" s="248">
        <v>0</v>
      </c>
      <c r="I96" s="246">
        <v>2019</v>
      </c>
      <c r="J96" s="18">
        <v>0</v>
      </c>
      <c r="K96" s="248">
        <v>0</v>
      </c>
      <c r="M96" s="246">
        <v>2019</v>
      </c>
      <c r="N96" s="18">
        <f>ShrVisitorComputations!J19</f>
        <v>0.89758184787721396</v>
      </c>
      <c r="O96" s="18">
        <f>ShrVisitorComputations!J23</f>
        <v>0.91117928875482013</v>
      </c>
    </row>
    <row r="97" spans="1:20">
      <c r="A97" s="246">
        <v>2020</v>
      </c>
      <c r="B97" s="244"/>
      <c r="C97" s="248">
        <v>0</v>
      </c>
      <c r="E97" s="246">
        <v>2020</v>
      </c>
      <c r="F97" s="18">
        <v>0</v>
      </c>
      <c r="G97" s="18">
        <v>0</v>
      </c>
      <c r="I97" s="246">
        <v>2020</v>
      </c>
      <c r="J97" s="18">
        <v>0</v>
      </c>
      <c r="K97" s="18">
        <v>0</v>
      </c>
      <c r="M97" s="246">
        <v>2020</v>
      </c>
      <c r="N97" s="18">
        <f>N96</f>
        <v>0.89758184787721396</v>
      </c>
      <c r="O97" s="18">
        <f>O96</f>
        <v>0.91117928875482013</v>
      </c>
      <c r="S97" s="557" t="s">
        <v>359</v>
      </c>
      <c r="T97" s="558"/>
    </row>
    <row r="98" spans="1:20">
      <c r="A98" s="246">
        <v>2021</v>
      </c>
      <c r="B98" s="244"/>
      <c r="C98" s="248">
        <v>0</v>
      </c>
      <c r="E98" s="246">
        <v>2021</v>
      </c>
      <c r="F98" s="18">
        <v>0</v>
      </c>
      <c r="G98" s="18">
        <v>0</v>
      </c>
      <c r="I98" s="246">
        <v>2021</v>
      </c>
      <c r="J98" s="18">
        <v>0</v>
      </c>
      <c r="K98" s="18">
        <v>0</v>
      </c>
      <c r="M98" s="246">
        <v>2021</v>
      </c>
      <c r="N98" s="18">
        <f t="shared" ref="N98:N111" si="19">N97</f>
        <v>0.89758184787721396</v>
      </c>
      <c r="O98" s="18">
        <f t="shared" ref="O98:O111" si="20">O97</f>
        <v>0.91117928875482013</v>
      </c>
      <c r="S98" s="429" t="s">
        <v>360</v>
      </c>
      <c r="T98" s="429" t="s">
        <v>361</v>
      </c>
    </row>
    <row r="99" spans="1:20">
      <c r="A99" s="246">
        <v>2022</v>
      </c>
      <c r="B99" s="244"/>
      <c r="C99" s="248">
        <v>0</v>
      </c>
      <c r="E99" s="246">
        <v>2022</v>
      </c>
      <c r="F99" s="18">
        <v>0</v>
      </c>
      <c r="G99" s="18">
        <v>0</v>
      </c>
      <c r="I99" s="246">
        <v>2022</v>
      </c>
      <c r="J99" s="18">
        <v>0</v>
      </c>
      <c r="K99" s="18">
        <v>0</v>
      </c>
      <c r="M99" s="246">
        <v>2022</v>
      </c>
      <c r="N99" s="18">
        <f t="shared" si="19"/>
        <v>0.89758184787721396</v>
      </c>
      <c r="O99" s="18">
        <f t="shared" si="20"/>
        <v>0.91117928875482013</v>
      </c>
      <c r="S99" s="429"/>
      <c r="T99" s="429"/>
    </row>
    <row r="100" spans="1:20">
      <c r="A100" s="246">
        <v>2023</v>
      </c>
      <c r="B100" s="321">
        <f>S100+T100</f>
        <v>2.0023572361984241E-2</v>
      </c>
      <c r="C100" s="248">
        <v>0</v>
      </c>
      <c r="E100" s="246">
        <v>2023</v>
      </c>
      <c r="F100" s="18">
        <f>B100</f>
        <v>2.0023572361984241E-2</v>
      </c>
      <c r="G100" s="18">
        <v>0</v>
      </c>
      <c r="I100" s="246">
        <v>2023</v>
      </c>
      <c r="J100" s="18">
        <v>0</v>
      </c>
      <c r="K100" s="18">
        <v>0</v>
      </c>
      <c r="M100" s="246">
        <v>2023</v>
      </c>
      <c r="N100" s="18">
        <f t="shared" si="19"/>
        <v>0.89758184787721396</v>
      </c>
      <c r="O100" s="18">
        <f t="shared" si="20"/>
        <v>0.91117928875482013</v>
      </c>
      <c r="S100" s="403">
        <v>2.0023572361984241E-2</v>
      </c>
      <c r="T100" s="429">
        <v>0</v>
      </c>
    </row>
    <row r="101" spans="1:20">
      <c r="A101" s="246">
        <v>2024</v>
      </c>
      <c r="B101" s="321">
        <f t="shared" ref="B101:B107" si="21">S101+T101</f>
        <v>2.1248445522970671E-2</v>
      </c>
      <c r="C101" s="248">
        <v>0</v>
      </c>
      <c r="E101" s="246">
        <v>2024</v>
      </c>
      <c r="F101" s="18">
        <f t="shared" ref="F101:F122" si="22">B101</f>
        <v>2.1248445522970671E-2</v>
      </c>
      <c r="G101" s="18">
        <v>0</v>
      </c>
      <c r="I101" s="246">
        <v>2024</v>
      </c>
      <c r="J101" s="18">
        <v>0</v>
      </c>
      <c r="K101" s="18">
        <v>0</v>
      </c>
      <c r="M101" s="246">
        <v>2024</v>
      </c>
      <c r="N101" s="18">
        <f t="shared" si="19"/>
        <v>0.89758184787721396</v>
      </c>
      <c r="O101" s="18">
        <f t="shared" si="20"/>
        <v>0.91117928875482013</v>
      </c>
      <c r="S101" s="403">
        <v>2.1248445522970671E-2</v>
      </c>
      <c r="T101" s="429">
        <v>0</v>
      </c>
    </row>
    <row r="102" spans="1:20">
      <c r="A102" s="246">
        <v>2025</v>
      </c>
      <c r="B102" s="321">
        <f t="shared" si="21"/>
        <v>2.5110667065173703E-2</v>
      </c>
      <c r="C102" s="248">
        <v>0</v>
      </c>
      <c r="E102" s="246">
        <v>2025</v>
      </c>
      <c r="F102" s="18">
        <f t="shared" si="22"/>
        <v>2.5110667065173703E-2</v>
      </c>
      <c r="G102" s="18">
        <v>0</v>
      </c>
      <c r="I102" s="246">
        <v>2025</v>
      </c>
      <c r="J102" s="18">
        <v>0</v>
      </c>
      <c r="K102" s="18">
        <v>0</v>
      </c>
      <c r="M102" s="246">
        <v>2025</v>
      </c>
      <c r="N102" s="18">
        <f t="shared" si="19"/>
        <v>0.89758184787721396</v>
      </c>
      <c r="O102" s="18">
        <f t="shared" si="20"/>
        <v>0.91117928875482013</v>
      </c>
      <c r="S102" s="403">
        <v>2.5110667065173703E-2</v>
      </c>
      <c r="T102" s="429">
        <v>0</v>
      </c>
    </row>
    <row r="103" spans="1:20">
      <c r="A103" s="246">
        <v>2026</v>
      </c>
      <c r="B103" s="321">
        <f t="shared" si="21"/>
        <v>3.9031248656534262E-2</v>
      </c>
      <c r="C103" s="248">
        <v>0</v>
      </c>
      <c r="E103" s="246">
        <v>2026</v>
      </c>
      <c r="F103" s="18">
        <f t="shared" si="22"/>
        <v>3.9031248656534262E-2</v>
      </c>
      <c r="G103" s="18">
        <v>0</v>
      </c>
      <c r="I103" s="246">
        <v>2026</v>
      </c>
      <c r="J103" s="18">
        <v>0</v>
      </c>
      <c r="K103" s="18">
        <v>0</v>
      </c>
      <c r="M103" s="246">
        <v>2026</v>
      </c>
      <c r="N103" s="18">
        <f t="shared" si="19"/>
        <v>0.89758184787721396</v>
      </c>
      <c r="O103" s="18">
        <f t="shared" si="20"/>
        <v>0.91117928875482013</v>
      </c>
      <c r="S103" s="403">
        <v>2.9719852603935493E-2</v>
      </c>
      <c r="T103" s="429">
        <v>9.3113960525987704E-3</v>
      </c>
    </row>
    <row r="104" spans="1:20">
      <c r="A104" s="246">
        <v>2027</v>
      </c>
      <c r="B104" s="321">
        <f t="shared" si="21"/>
        <v>5.3259171571038572E-2</v>
      </c>
      <c r="C104" s="248">
        <v>0</v>
      </c>
      <c r="E104" s="246">
        <v>2027</v>
      </c>
      <c r="F104" s="18">
        <f t="shared" si="22"/>
        <v>5.3259171571038572E-2</v>
      </c>
      <c r="G104" s="18">
        <v>0</v>
      </c>
      <c r="I104" s="246">
        <v>2027</v>
      </c>
      <c r="J104" s="18">
        <v>0</v>
      </c>
      <c r="K104" s="18">
        <v>0</v>
      </c>
      <c r="M104" s="246">
        <v>2027</v>
      </c>
      <c r="N104" s="18">
        <f t="shared" si="19"/>
        <v>0.89758184787721396</v>
      </c>
      <c r="O104" s="18">
        <f t="shared" si="20"/>
        <v>0.91117928875482013</v>
      </c>
      <c r="S104" s="403">
        <v>3.5139913330473366E-2</v>
      </c>
      <c r="T104" s="429">
        <v>1.8119258240565209E-2</v>
      </c>
    </row>
    <row r="105" spans="1:20">
      <c r="A105" s="246">
        <v>2028</v>
      </c>
      <c r="B105" s="321">
        <f t="shared" si="21"/>
        <v>6.7991002619927604E-2</v>
      </c>
      <c r="C105" s="248">
        <v>0</v>
      </c>
      <c r="E105" s="246">
        <v>2028</v>
      </c>
      <c r="F105" s="18">
        <f t="shared" si="22"/>
        <v>6.7991002619927604E-2</v>
      </c>
      <c r="G105" s="18">
        <v>0</v>
      </c>
      <c r="I105" s="246">
        <v>2028</v>
      </c>
      <c r="J105" s="18">
        <v>0</v>
      </c>
      <c r="K105" s="18">
        <v>0</v>
      </c>
      <c r="M105" s="246">
        <v>2028</v>
      </c>
      <c r="N105" s="18">
        <f t="shared" si="19"/>
        <v>0.89758184787721396</v>
      </c>
      <c r="O105" s="18">
        <f t="shared" si="20"/>
        <v>0.91117928875482013</v>
      </c>
      <c r="S105" s="403">
        <v>4.1527646836383353E-2</v>
      </c>
      <c r="T105" s="429">
        <v>2.6463355783544255E-2</v>
      </c>
    </row>
    <row r="106" spans="1:20">
      <c r="A106" s="246">
        <v>2029</v>
      </c>
      <c r="B106" s="321">
        <f t="shared" si="21"/>
        <v>8.3460147627436365E-2</v>
      </c>
      <c r="C106" s="248">
        <v>0</v>
      </c>
      <c r="E106" s="246">
        <v>2029</v>
      </c>
      <c r="F106" s="18">
        <f t="shared" si="22"/>
        <v>8.3460147627436365E-2</v>
      </c>
      <c r="G106" s="18">
        <v>0</v>
      </c>
      <c r="I106" s="246">
        <v>2029</v>
      </c>
      <c r="J106" s="18">
        <v>0</v>
      </c>
      <c r="K106" s="18">
        <v>0</v>
      </c>
      <c r="M106" s="246">
        <v>2029</v>
      </c>
      <c r="N106" s="18">
        <f t="shared" si="19"/>
        <v>0.89758184787721396</v>
      </c>
      <c r="O106" s="18">
        <f t="shared" si="20"/>
        <v>0.91117928875482013</v>
      </c>
      <c r="S106" s="403">
        <v>4.9080770274772971E-2</v>
      </c>
      <c r="T106" s="429">
        <v>3.4379377352663401E-2</v>
      </c>
    </row>
    <row r="107" spans="1:20">
      <c r="A107" s="246">
        <v>2030</v>
      </c>
      <c r="B107" s="428">
        <f t="shared" si="21"/>
        <v>9.9832125231811453E-2</v>
      </c>
      <c r="C107" s="248">
        <v>0</v>
      </c>
      <c r="E107" s="246">
        <v>2030</v>
      </c>
      <c r="F107" s="18">
        <f t="shared" si="22"/>
        <v>9.9832125231811453E-2</v>
      </c>
      <c r="G107" s="18">
        <v>0</v>
      </c>
      <c r="I107" s="246">
        <v>2030</v>
      </c>
      <c r="J107" s="18">
        <v>0</v>
      </c>
      <c r="K107" s="18">
        <v>0</v>
      </c>
      <c r="M107" s="246">
        <v>2030</v>
      </c>
      <c r="N107" s="18">
        <f t="shared" si="19"/>
        <v>0.89758184787721396</v>
      </c>
      <c r="O107" s="18">
        <f t="shared" si="20"/>
        <v>0.91117928875482013</v>
      </c>
      <c r="S107" s="403">
        <v>5.7932683891029339E-2</v>
      </c>
      <c r="T107" s="429">
        <v>4.189944134078212E-2</v>
      </c>
    </row>
    <row r="108" spans="1:20">
      <c r="A108" s="246">
        <v>2031</v>
      </c>
      <c r="B108" s="18">
        <f>0.1*EXP(LN(4)/5*(A108-$A$107))</f>
        <v>0.13195079107728944</v>
      </c>
      <c r="C108" s="248">
        <v>0</v>
      </c>
      <c r="E108" s="246">
        <v>2031</v>
      </c>
      <c r="F108" s="18">
        <f t="shared" si="22"/>
        <v>0.13195079107728944</v>
      </c>
      <c r="G108" s="18">
        <v>0</v>
      </c>
      <c r="I108" s="246">
        <v>2031</v>
      </c>
      <c r="J108" s="18">
        <v>0</v>
      </c>
      <c r="K108" s="18">
        <v>0</v>
      </c>
      <c r="M108" s="246">
        <v>2031</v>
      </c>
      <c r="N108" s="18">
        <f t="shared" si="19"/>
        <v>0.89758184787721396</v>
      </c>
      <c r="O108" s="18">
        <f t="shared" si="20"/>
        <v>0.91117928875482013</v>
      </c>
      <c r="S108" s="48" t="s">
        <v>362</v>
      </c>
    </row>
    <row r="109" spans="1:20">
      <c r="A109" s="246">
        <v>2032</v>
      </c>
      <c r="B109" s="18">
        <f>0.1*EXP(LN(4)/5*(A109-$A$107))</f>
        <v>0.17411011265922482</v>
      </c>
      <c r="C109" s="248">
        <v>0</v>
      </c>
      <c r="E109" s="246">
        <v>2032</v>
      </c>
      <c r="F109" s="18">
        <f t="shared" si="22"/>
        <v>0.17411011265922482</v>
      </c>
      <c r="G109" s="18">
        <v>0</v>
      </c>
      <c r="I109" s="246">
        <v>2032</v>
      </c>
      <c r="J109" s="18">
        <v>0</v>
      </c>
      <c r="K109" s="18">
        <v>0</v>
      </c>
      <c r="M109" s="246">
        <v>2032</v>
      </c>
      <c r="N109" s="18">
        <f t="shared" si="19"/>
        <v>0.89758184787721396</v>
      </c>
      <c r="O109" s="18">
        <f t="shared" si="20"/>
        <v>0.91117928875482013</v>
      </c>
    </row>
    <row r="110" spans="1:20">
      <c r="A110" s="246">
        <v>2033</v>
      </c>
      <c r="B110" s="18">
        <f>0.1*EXP(LN(4)/5*(A110-$A$107))</f>
        <v>0.22973967099940698</v>
      </c>
      <c r="C110" s="248">
        <v>0</v>
      </c>
      <c r="E110" s="246">
        <v>2033</v>
      </c>
      <c r="F110" s="18">
        <f t="shared" si="22"/>
        <v>0.22973967099940698</v>
      </c>
      <c r="G110" s="18">
        <v>0</v>
      </c>
      <c r="I110" s="246">
        <v>2033</v>
      </c>
      <c r="J110" s="18">
        <v>0</v>
      </c>
      <c r="K110" s="18">
        <v>0</v>
      </c>
      <c r="M110" s="246">
        <v>2033</v>
      </c>
      <c r="N110" s="18">
        <f t="shared" si="19"/>
        <v>0.89758184787721396</v>
      </c>
      <c r="O110" s="18">
        <f t="shared" si="20"/>
        <v>0.91117928875482013</v>
      </c>
    </row>
    <row r="111" spans="1:20">
      <c r="A111" s="246">
        <v>2034</v>
      </c>
      <c r="B111" s="18">
        <f>0.1*EXP(LN(4)/5*(A111-$A$107))</f>
        <v>0.30314331330207961</v>
      </c>
      <c r="C111" s="248">
        <v>0</v>
      </c>
      <c r="E111" s="246">
        <v>2034</v>
      </c>
      <c r="F111" s="18">
        <f t="shared" si="22"/>
        <v>0.30314331330207961</v>
      </c>
      <c r="G111" s="18">
        <v>0</v>
      </c>
      <c r="I111" s="246">
        <f>I110+1</f>
        <v>2034</v>
      </c>
      <c r="J111" s="18">
        <v>0</v>
      </c>
      <c r="K111" s="18">
        <v>0</v>
      </c>
      <c r="M111" s="246">
        <f>M110+1</f>
        <v>2034</v>
      </c>
      <c r="N111" s="18">
        <f t="shared" si="19"/>
        <v>0.89758184787721396</v>
      </c>
      <c r="O111" s="18">
        <f t="shared" si="20"/>
        <v>0.91117928875482013</v>
      </c>
    </row>
    <row r="112" spans="1:20">
      <c r="A112" s="246">
        <v>2035</v>
      </c>
      <c r="B112" s="325">
        <f>1-Forecasts!B139</f>
        <v>0.4</v>
      </c>
      <c r="C112" s="248">
        <v>0</v>
      </c>
      <c r="E112" s="246">
        <v>2035</v>
      </c>
      <c r="F112" s="18">
        <f t="shared" si="22"/>
        <v>0.4</v>
      </c>
      <c r="G112" s="18">
        <v>0</v>
      </c>
      <c r="H112"/>
      <c r="I112" s="246">
        <f t="shared" ref="I112:I122" si="23">I111+1</f>
        <v>2035</v>
      </c>
      <c r="J112" s="17">
        <f>B100</f>
        <v>2.0023572361984241E-2</v>
      </c>
      <c r="K112" s="18">
        <v>0</v>
      </c>
      <c r="L112"/>
      <c r="M112" s="246">
        <f t="shared" ref="M112:M122" si="24">M111+1</f>
        <v>2035</v>
      </c>
      <c r="N112" s="18">
        <f t="shared" ref="N112:N122" si="25">N111</f>
        <v>0.89758184787721396</v>
      </c>
      <c r="O112" s="18">
        <f t="shared" ref="O112:O122" si="26">O111</f>
        <v>0.91117928875482013</v>
      </c>
    </row>
    <row r="113" spans="1:15">
      <c r="A113" s="246">
        <v>2036</v>
      </c>
      <c r="B113" s="18">
        <f>$B$112+($B$127-$B$112)*(A113-$A$112)/($A$127-$A$112)</f>
        <v>0.42333333333333334</v>
      </c>
      <c r="C113" s="248">
        <v>0</v>
      </c>
      <c r="E113" s="246">
        <v>2036</v>
      </c>
      <c r="F113" s="18">
        <f t="shared" si="22"/>
        <v>0.42333333333333334</v>
      </c>
      <c r="G113" s="18">
        <v>0</v>
      </c>
      <c r="H113"/>
      <c r="I113" s="246">
        <f t="shared" si="23"/>
        <v>2036</v>
      </c>
      <c r="J113" s="17">
        <f t="shared" ref="J113:J122" si="27">B101</f>
        <v>2.1248445522970671E-2</v>
      </c>
      <c r="K113" s="18">
        <v>0</v>
      </c>
      <c r="L113"/>
      <c r="M113" s="246">
        <f t="shared" si="24"/>
        <v>2036</v>
      </c>
      <c r="N113" s="18">
        <f t="shared" si="25"/>
        <v>0.89758184787721396</v>
      </c>
      <c r="O113" s="18">
        <f t="shared" si="26"/>
        <v>0.91117928875482013</v>
      </c>
    </row>
    <row r="114" spans="1:15">
      <c r="A114" s="246">
        <v>2037</v>
      </c>
      <c r="B114" s="18">
        <f t="shared" ref="B114:B126" si="28">$B$112+($B$127-$B$112)*(A114-$A$112)/($A$127-$A$112)</f>
        <v>0.44666666666666666</v>
      </c>
      <c r="C114" s="248">
        <v>0</v>
      </c>
      <c r="E114" s="246">
        <v>2037</v>
      </c>
      <c r="F114" s="18">
        <f t="shared" si="22"/>
        <v>0.44666666666666666</v>
      </c>
      <c r="G114" s="18">
        <v>0</v>
      </c>
      <c r="H114"/>
      <c r="I114" s="246">
        <f t="shared" si="23"/>
        <v>2037</v>
      </c>
      <c r="J114" s="17">
        <f t="shared" si="27"/>
        <v>2.5110667065173703E-2</v>
      </c>
      <c r="K114" s="18">
        <v>0</v>
      </c>
      <c r="L114"/>
      <c r="M114" s="246">
        <f t="shared" si="24"/>
        <v>2037</v>
      </c>
      <c r="N114" s="18">
        <f t="shared" si="25"/>
        <v>0.89758184787721396</v>
      </c>
      <c r="O114" s="18">
        <f t="shared" si="26"/>
        <v>0.91117928875482013</v>
      </c>
    </row>
    <row r="115" spans="1:15">
      <c r="A115" s="246">
        <v>2038</v>
      </c>
      <c r="B115" s="18">
        <f t="shared" si="28"/>
        <v>0.47000000000000003</v>
      </c>
      <c r="C115" s="248">
        <v>0</v>
      </c>
      <c r="E115" s="246">
        <v>2038</v>
      </c>
      <c r="F115" s="18">
        <f t="shared" si="22"/>
        <v>0.47000000000000003</v>
      </c>
      <c r="G115" s="18">
        <v>0</v>
      </c>
      <c r="H115"/>
      <c r="I115" s="246">
        <f t="shared" si="23"/>
        <v>2038</v>
      </c>
      <c r="J115" s="17">
        <f t="shared" si="27"/>
        <v>3.9031248656534262E-2</v>
      </c>
      <c r="K115" s="18">
        <v>0</v>
      </c>
      <c r="L115"/>
      <c r="M115" s="246">
        <f t="shared" si="24"/>
        <v>2038</v>
      </c>
      <c r="N115" s="18">
        <f t="shared" si="25"/>
        <v>0.89758184787721396</v>
      </c>
      <c r="O115" s="18">
        <f t="shared" si="26"/>
        <v>0.91117928875482013</v>
      </c>
    </row>
    <row r="116" spans="1:15">
      <c r="A116" s="246">
        <v>2039</v>
      </c>
      <c r="B116" s="18">
        <f t="shared" si="28"/>
        <v>0.49333333333333335</v>
      </c>
      <c r="C116" s="248">
        <v>0</v>
      </c>
      <c r="E116" s="246">
        <v>2039</v>
      </c>
      <c r="F116" s="18">
        <f t="shared" si="22"/>
        <v>0.49333333333333335</v>
      </c>
      <c r="G116" s="18">
        <v>0</v>
      </c>
      <c r="H116"/>
      <c r="I116" s="246">
        <f t="shared" si="23"/>
        <v>2039</v>
      </c>
      <c r="J116" s="18">
        <f t="shared" si="27"/>
        <v>5.3259171571038572E-2</v>
      </c>
      <c r="K116" s="18">
        <v>0</v>
      </c>
      <c r="L116"/>
      <c r="M116" s="246">
        <f t="shared" si="24"/>
        <v>2039</v>
      </c>
      <c r="N116" s="18">
        <f t="shared" si="25"/>
        <v>0.89758184787721396</v>
      </c>
      <c r="O116" s="18">
        <f t="shared" si="26"/>
        <v>0.91117928875482013</v>
      </c>
    </row>
    <row r="117" spans="1:15">
      <c r="A117" s="246">
        <v>2040</v>
      </c>
      <c r="B117" s="18">
        <f t="shared" si="28"/>
        <v>0.51666666666666672</v>
      </c>
      <c r="C117" s="248">
        <v>0</v>
      </c>
      <c r="E117" s="246">
        <v>2040</v>
      </c>
      <c r="F117" s="18">
        <f t="shared" si="22"/>
        <v>0.51666666666666672</v>
      </c>
      <c r="G117" s="18">
        <v>0</v>
      </c>
      <c r="H117"/>
      <c r="I117" s="246">
        <f t="shared" si="23"/>
        <v>2040</v>
      </c>
      <c r="J117" s="18">
        <f t="shared" si="27"/>
        <v>6.7991002619927604E-2</v>
      </c>
      <c r="K117" s="18">
        <v>0</v>
      </c>
      <c r="L117"/>
      <c r="M117" s="246">
        <f t="shared" si="24"/>
        <v>2040</v>
      </c>
      <c r="N117" s="18">
        <f t="shared" si="25"/>
        <v>0.89758184787721396</v>
      </c>
      <c r="O117" s="18">
        <f t="shared" si="26"/>
        <v>0.91117928875482013</v>
      </c>
    </row>
    <row r="118" spans="1:15">
      <c r="A118" s="246">
        <v>2041</v>
      </c>
      <c r="B118" s="18">
        <f t="shared" si="28"/>
        <v>0.54</v>
      </c>
      <c r="C118" s="248">
        <v>0</v>
      </c>
      <c r="E118" s="246">
        <v>2041</v>
      </c>
      <c r="F118" s="18">
        <f t="shared" si="22"/>
        <v>0.54</v>
      </c>
      <c r="G118" s="18">
        <v>0</v>
      </c>
      <c r="H118"/>
      <c r="I118" s="246">
        <f t="shared" si="23"/>
        <v>2041</v>
      </c>
      <c r="J118" s="18">
        <f t="shared" si="27"/>
        <v>8.3460147627436365E-2</v>
      </c>
      <c r="K118" s="18">
        <v>0</v>
      </c>
      <c r="L118"/>
      <c r="M118" s="246">
        <f t="shared" si="24"/>
        <v>2041</v>
      </c>
      <c r="N118" s="18">
        <f t="shared" si="25"/>
        <v>0.89758184787721396</v>
      </c>
      <c r="O118" s="18">
        <f t="shared" si="26"/>
        <v>0.91117928875482013</v>
      </c>
    </row>
    <row r="119" spans="1:15">
      <c r="A119" s="246">
        <v>2042</v>
      </c>
      <c r="B119" s="18">
        <f t="shared" si="28"/>
        <v>0.56333333333333335</v>
      </c>
      <c r="C119" s="248">
        <v>0</v>
      </c>
      <c r="E119" s="246">
        <v>2042</v>
      </c>
      <c r="F119" s="18">
        <f t="shared" si="22"/>
        <v>0.56333333333333335</v>
      </c>
      <c r="G119" s="18">
        <v>0</v>
      </c>
      <c r="H119"/>
      <c r="I119" s="246">
        <f t="shared" si="23"/>
        <v>2042</v>
      </c>
      <c r="J119" s="18">
        <f t="shared" si="27"/>
        <v>9.9832125231811453E-2</v>
      </c>
      <c r="K119" s="18">
        <v>0</v>
      </c>
      <c r="L119"/>
      <c r="M119" s="246">
        <f t="shared" si="24"/>
        <v>2042</v>
      </c>
      <c r="N119" s="18">
        <f t="shared" si="25"/>
        <v>0.89758184787721396</v>
      </c>
      <c r="O119" s="18">
        <f t="shared" si="26"/>
        <v>0.91117928875482013</v>
      </c>
    </row>
    <row r="120" spans="1:15">
      <c r="A120" s="246">
        <v>2043</v>
      </c>
      <c r="B120" s="18">
        <f t="shared" si="28"/>
        <v>0.58666666666666667</v>
      </c>
      <c r="C120" s="248">
        <v>0</v>
      </c>
      <c r="E120" s="246">
        <v>2043</v>
      </c>
      <c r="F120" s="18">
        <f t="shared" si="22"/>
        <v>0.58666666666666667</v>
      </c>
      <c r="G120" s="18">
        <v>0</v>
      </c>
      <c r="H120"/>
      <c r="I120" s="246">
        <f t="shared" si="23"/>
        <v>2043</v>
      </c>
      <c r="J120" s="18">
        <f t="shared" si="27"/>
        <v>0.13195079107728944</v>
      </c>
      <c r="K120" s="18">
        <v>0</v>
      </c>
      <c r="L120"/>
      <c r="M120" s="246">
        <f t="shared" si="24"/>
        <v>2043</v>
      </c>
      <c r="N120" s="18">
        <f t="shared" si="25"/>
        <v>0.89758184787721396</v>
      </c>
      <c r="O120" s="18">
        <f t="shared" si="26"/>
        <v>0.91117928875482013</v>
      </c>
    </row>
    <row r="121" spans="1:15">
      <c r="A121" s="246">
        <v>2044</v>
      </c>
      <c r="B121" s="18">
        <f t="shared" si="28"/>
        <v>0.61</v>
      </c>
      <c r="C121" s="248">
        <v>0</v>
      </c>
      <c r="E121" s="246">
        <v>2044</v>
      </c>
      <c r="F121" s="18">
        <f t="shared" si="22"/>
        <v>0.61</v>
      </c>
      <c r="G121" s="18">
        <v>0</v>
      </c>
      <c r="H121"/>
      <c r="I121" s="246">
        <f t="shared" si="23"/>
        <v>2044</v>
      </c>
      <c r="J121" s="18">
        <f t="shared" si="27"/>
        <v>0.17411011265922482</v>
      </c>
      <c r="K121" s="18">
        <v>0</v>
      </c>
      <c r="L121"/>
      <c r="M121" s="246">
        <f t="shared" si="24"/>
        <v>2044</v>
      </c>
      <c r="N121" s="18">
        <f t="shared" si="25"/>
        <v>0.89758184787721396</v>
      </c>
      <c r="O121" s="18">
        <f t="shared" si="26"/>
        <v>0.91117928875482013</v>
      </c>
    </row>
    <row r="122" spans="1:15">
      <c r="A122" s="246">
        <v>2045</v>
      </c>
      <c r="B122" s="18">
        <f t="shared" si="28"/>
        <v>0.6333333333333333</v>
      </c>
      <c r="C122" s="248">
        <v>0</v>
      </c>
      <c r="E122" s="246">
        <v>2045</v>
      </c>
      <c r="F122" s="18">
        <f t="shared" si="22"/>
        <v>0.6333333333333333</v>
      </c>
      <c r="G122" s="18">
        <v>0</v>
      </c>
      <c r="H122"/>
      <c r="I122" s="246">
        <f t="shared" si="23"/>
        <v>2045</v>
      </c>
      <c r="J122" s="18">
        <f t="shared" si="27"/>
        <v>0.22973967099940698</v>
      </c>
      <c r="K122" s="18">
        <v>0</v>
      </c>
      <c r="L122"/>
      <c r="M122" s="246">
        <f t="shared" si="24"/>
        <v>2045</v>
      </c>
      <c r="N122" s="18">
        <f t="shared" si="25"/>
        <v>0.89758184787721396</v>
      </c>
      <c r="O122" s="18">
        <f t="shared" si="26"/>
        <v>0.91117928875482013</v>
      </c>
    </row>
    <row r="123" spans="1:15">
      <c r="A123" s="246">
        <v>2046</v>
      </c>
      <c r="B123" s="18">
        <f t="shared" si="28"/>
        <v>0.65666666666666673</v>
      </c>
      <c r="C123" s="248">
        <v>0</v>
      </c>
      <c r="E123"/>
      <c r="F123"/>
      <c r="G123"/>
      <c r="H123"/>
      <c r="I123"/>
      <c r="J123"/>
      <c r="K123"/>
      <c r="L123"/>
      <c r="M123"/>
      <c r="N123"/>
      <c r="O123"/>
    </row>
    <row r="124" spans="1:15">
      <c r="A124" s="246">
        <v>2047</v>
      </c>
      <c r="B124" s="18">
        <f t="shared" si="28"/>
        <v>0.67999999999999994</v>
      </c>
      <c r="C124" s="248">
        <v>0</v>
      </c>
      <c r="E124"/>
      <c r="F124"/>
      <c r="G124"/>
      <c r="H124"/>
      <c r="I124"/>
      <c r="J124"/>
      <c r="K124"/>
      <c r="L124"/>
      <c r="M124"/>
      <c r="N124"/>
      <c r="O124"/>
    </row>
    <row r="125" spans="1:15">
      <c r="A125" s="246">
        <v>2048</v>
      </c>
      <c r="B125" s="18">
        <f t="shared" si="28"/>
        <v>0.70333333333333337</v>
      </c>
      <c r="C125" s="248">
        <v>0</v>
      </c>
      <c r="E125"/>
      <c r="F125"/>
      <c r="G125"/>
      <c r="H125"/>
      <c r="I125"/>
      <c r="J125"/>
      <c r="K125"/>
      <c r="L125"/>
      <c r="M125"/>
      <c r="N125"/>
      <c r="O125"/>
    </row>
    <row r="126" spans="1:15">
      <c r="A126" s="246">
        <v>2049</v>
      </c>
      <c r="B126" s="18">
        <f t="shared" si="28"/>
        <v>0.72666666666666657</v>
      </c>
      <c r="C126" s="248">
        <v>0</v>
      </c>
      <c r="E126"/>
      <c r="F126"/>
      <c r="G126"/>
      <c r="H126"/>
      <c r="I126"/>
      <c r="J126"/>
      <c r="K126"/>
      <c r="L126"/>
      <c r="M126"/>
      <c r="N126"/>
      <c r="O126"/>
    </row>
    <row r="127" spans="1:15" ht="15.75" thickBot="1">
      <c r="A127" s="249">
        <v>2050</v>
      </c>
      <c r="B127" s="325">
        <f>1-B140</f>
        <v>0.75</v>
      </c>
      <c r="C127" s="248">
        <v>0</v>
      </c>
      <c r="E127"/>
      <c r="F127"/>
      <c r="G127"/>
      <c r="H127"/>
      <c r="I127"/>
      <c r="J127"/>
      <c r="K127"/>
      <c r="L127"/>
      <c r="M127"/>
      <c r="N127"/>
      <c r="O127"/>
    </row>
    <row r="130" spans="1:17">
      <c r="A130" s="251" t="s">
        <v>250</v>
      </c>
    </row>
    <row r="131" spans="1:17">
      <c r="A131" s="251" t="s">
        <v>251</v>
      </c>
    </row>
    <row r="132" spans="1:17">
      <c r="A132" s="251" t="s">
        <v>252</v>
      </c>
    </row>
    <row r="133" spans="1:17">
      <c r="A133" s="322" t="s">
        <v>358</v>
      </c>
    </row>
    <row r="134" spans="1:17">
      <c r="A134" s="251" t="s">
        <v>255</v>
      </c>
    </row>
    <row r="135" spans="1:17">
      <c r="A135" s="251"/>
    </row>
    <row r="136" spans="1:17">
      <c r="A136" s="251" t="s">
        <v>264</v>
      </c>
    </row>
    <row r="137" spans="1:17">
      <c r="A137" s="326" t="s">
        <v>266</v>
      </c>
    </row>
    <row r="138" spans="1:17">
      <c r="A138" s="251"/>
      <c r="B138" s="323" t="s">
        <v>247</v>
      </c>
      <c r="C138" s="64" t="s">
        <v>265</v>
      </c>
      <c r="D138" s="64" t="s">
        <v>248</v>
      </c>
    </row>
    <row r="139" spans="1:17">
      <c r="A139" s="251">
        <v>2035</v>
      </c>
      <c r="B139" s="324">
        <v>0.6</v>
      </c>
      <c r="C139" s="319">
        <v>0.8</v>
      </c>
      <c r="D139" s="319">
        <v>0.95</v>
      </c>
    </row>
    <row r="140" spans="1:17">
      <c r="A140" s="251">
        <v>2050</v>
      </c>
      <c r="B140" s="324">
        <v>0.25</v>
      </c>
      <c r="C140" s="319">
        <v>0.35</v>
      </c>
      <c r="D140" s="319">
        <v>0.45</v>
      </c>
    </row>
    <row r="141" spans="1:17">
      <c r="A141" s="305" t="s">
        <v>263</v>
      </c>
      <c r="B141" s="64"/>
      <c r="C141" s="64"/>
      <c r="D141" s="64"/>
    </row>
    <row r="142" spans="1:17">
      <c r="B142" s="64"/>
      <c r="C142" s="64"/>
      <c r="D142" s="64"/>
    </row>
    <row r="143" spans="1:17">
      <c r="A143" s="251" t="s">
        <v>366</v>
      </c>
      <c r="B143" s="64"/>
      <c r="C143" s="64"/>
      <c r="D143" s="64"/>
      <c r="G143" s="251" t="s">
        <v>367</v>
      </c>
      <c r="M143" s="251" t="s">
        <v>368</v>
      </c>
    </row>
    <row r="144" spans="1:17">
      <c r="A144" s="556"/>
      <c r="B144" s="556"/>
      <c r="C144" s="404" t="s">
        <v>363</v>
      </c>
      <c r="D144" s="405" t="s">
        <v>364</v>
      </c>
      <c r="E144" s="409" t="s">
        <v>365</v>
      </c>
      <c r="G144" s="556"/>
      <c r="H144" s="556"/>
      <c r="I144" s="404" t="s">
        <v>363</v>
      </c>
      <c r="J144" s="405" t="s">
        <v>364</v>
      </c>
      <c r="K144" s="409" t="s">
        <v>365</v>
      </c>
      <c r="M144" s="556"/>
      <c r="N144" s="556"/>
      <c r="O144" s="404" t="s">
        <v>363</v>
      </c>
      <c r="P144" s="405" t="s">
        <v>364</v>
      </c>
      <c r="Q144" s="409" t="s">
        <v>365</v>
      </c>
    </row>
    <row r="145" spans="1:17">
      <c r="A145" s="555">
        <v>2035</v>
      </c>
      <c r="B145" s="555"/>
      <c r="C145" s="487">
        <v>5.2356437272722683E-2</v>
      </c>
      <c r="D145" s="407">
        <v>0.23004603502026699</v>
      </c>
      <c r="E145" s="408">
        <v>0.42918643404993123</v>
      </c>
      <c r="G145" s="555">
        <v>2035</v>
      </c>
      <c r="H145" s="555"/>
      <c r="I145" s="406">
        <v>4.5344568724857801E-2</v>
      </c>
      <c r="J145" s="407">
        <v>0.19692065369631123</v>
      </c>
      <c r="K145" s="408">
        <v>0.36797566966233958</v>
      </c>
      <c r="M145" s="555">
        <v>2035</v>
      </c>
      <c r="N145" s="555"/>
      <c r="O145" s="487">
        <v>4.1138869013537763E-2</v>
      </c>
      <c r="P145" s="407">
        <v>0.17705193853202345</v>
      </c>
      <c r="Q145" s="408">
        <v>0.33126047238038159</v>
      </c>
    </row>
    <row r="146" spans="1:17">
      <c r="A146" s="555">
        <v>2050</v>
      </c>
      <c r="B146" s="555"/>
      <c r="C146" s="487">
        <v>0.23932051642562524</v>
      </c>
      <c r="D146" s="407">
        <v>0.54256516027120671</v>
      </c>
      <c r="E146" s="408">
        <v>0.82982395194964687</v>
      </c>
      <c r="G146" s="555">
        <v>2050</v>
      </c>
      <c r="H146" s="555"/>
      <c r="I146" s="487">
        <v>0.19550157502921148</v>
      </c>
      <c r="J146" s="407">
        <v>0.56150693971390142</v>
      </c>
      <c r="K146" s="408">
        <v>0.81108464570038297</v>
      </c>
      <c r="M146" s="555">
        <v>2050</v>
      </c>
      <c r="N146" s="555"/>
      <c r="O146" s="487">
        <v>0.1657762889488085</v>
      </c>
      <c r="P146" s="407">
        <v>0.57435663041194329</v>
      </c>
      <c r="Q146" s="408">
        <v>0.79837618110597008</v>
      </c>
    </row>
    <row r="147" spans="1:17">
      <c r="A147" s="251" t="s">
        <v>369</v>
      </c>
    </row>
    <row r="150" spans="1:17">
      <c r="A150" s="251" t="s">
        <v>320</v>
      </c>
    </row>
    <row r="151" spans="1:17">
      <c r="A151" s="251" t="s">
        <v>321</v>
      </c>
    </row>
    <row r="152" spans="1:17">
      <c r="A152" s="251"/>
    </row>
    <row r="153" spans="1:17">
      <c r="A153" s="251"/>
    </row>
    <row r="154" spans="1:17">
      <c r="A154" s="251"/>
    </row>
    <row r="155" spans="1:17">
      <c r="A155" s="251"/>
    </row>
  </sheetData>
  <mergeCells count="18">
    <mergeCell ref="S97:T97"/>
    <mergeCell ref="A144:B144"/>
    <mergeCell ref="M144:N144"/>
    <mergeCell ref="A2:A4"/>
    <mergeCell ref="L2:L4"/>
    <mergeCell ref="S3:W3"/>
    <mergeCell ref="G3:K3"/>
    <mergeCell ref="B3:F3"/>
    <mergeCell ref="B2:F2"/>
    <mergeCell ref="N2:R2"/>
    <mergeCell ref="N3:R3"/>
    <mergeCell ref="M145:N145"/>
    <mergeCell ref="M146:N146"/>
    <mergeCell ref="A145:B145"/>
    <mergeCell ref="A146:B146"/>
    <mergeCell ref="G144:H144"/>
    <mergeCell ref="G145:H145"/>
    <mergeCell ref="G146:H14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28ED6-9B47-4CE7-82A5-7D8948CE85AB}">
  <sheetPr codeName="Sheet7">
    <tabColor rgb="FF00B0F0"/>
  </sheetPr>
  <dimension ref="A1:AP214"/>
  <sheetViews>
    <sheetView topLeftCell="A113" workbookViewId="0">
      <selection activeCell="D205" sqref="D205"/>
    </sheetView>
  </sheetViews>
  <sheetFormatPr defaultColWidth="8.5703125" defaultRowHeight="15"/>
  <cols>
    <col min="1" max="1" width="20.42578125" customWidth="1"/>
    <col min="2" max="4" width="16" customWidth="1"/>
    <col min="5" max="5" width="11.5703125" customWidth="1"/>
    <col min="6" max="6" width="11.140625" bestFit="1" customWidth="1"/>
    <col min="7" max="7" width="15.140625" customWidth="1"/>
    <col min="8" max="8" width="11.42578125" customWidth="1"/>
    <col min="9" max="9" width="11.140625" bestFit="1" customWidth="1"/>
    <col min="10" max="10" width="25.140625" customWidth="1"/>
    <col min="11" max="11" width="12" customWidth="1"/>
    <col min="12" max="12" width="10.140625" customWidth="1"/>
    <col min="16" max="16" width="11.42578125" customWidth="1"/>
    <col min="17" max="17" width="12.42578125" customWidth="1"/>
    <col min="31" max="32" width="11.85546875" customWidth="1"/>
  </cols>
  <sheetData>
    <row r="1" spans="1:42" s="37" customFormat="1">
      <c r="A1" s="68" t="s">
        <v>86</v>
      </c>
    </row>
    <row r="2" spans="1:42" s="37" customFormat="1" ht="15.75" thickBot="1">
      <c r="A2" s="565" t="s">
        <v>353</v>
      </c>
      <c r="B2" s="565"/>
      <c r="C2" s="565"/>
      <c r="D2" s="565"/>
      <c r="E2" s="565"/>
      <c r="F2" s="565"/>
      <c r="G2" s="565"/>
      <c r="O2" s="565" t="s">
        <v>354</v>
      </c>
      <c r="P2" s="565"/>
      <c r="Q2" s="565"/>
      <c r="R2" s="565"/>
      <c r="S2" s="565"/>
      <c r="T2" s="565"/>
      <c r="U2" s="565"/>
      <c r="AD2" s="565" t="s">
        <v>355</v>
      </c>
      <c r="AE2" s="565"/>
      <c r="AF2" s="565"/>
      <c r="AG2" s="565"/>
      <c r="AH2" s="565"/>
      <c r="AI2" s="565"/>
      <c r="AJ2" s="565"/>
    </row>
    <row r="3" spans="1:42" ht="15.75" thickTop="1">
      <c r="A3" s="229"/>
      <c r="B3" s="228" t="s">
        <v>87</v>
      </c>
      <c r="C3" s="228"/>
      <c r="D3" s="228" t="s">
        <v>88</v>
      </c>
      <c r="E3" s="228"/>
      <c r="F3" s="228" t="s">
        <v>89</v>
      </c>
      <c r="G3" s="228"/>
      <c r="H3" s="99"/>
      <c r="I3" s="99"/>
      <c r="J3" s="99"/>
      <c r="K3" s="99"/>
      <c r="O3" s="442"/>
      <c r="P3" s="441" t="s">
        <v>87</v>
      </c>
      <c r="Q3" s="440"/>
      <c r="R3" s="439" t="s">
        <v>88</v>
      </c>
      <c r="S3" s="485"/>
      <c r="T3" s="441" t="s">
        <v>89</v>
      </c>
      <c r="U3" s="484"/>
      <c r="AD3" s="442"/>
      <c r="AE3" s="441" t="s">
        <v>87</v>
      </c>
      <c r="AF3" s="440"/>
      <c r="AG3" s="439" t="s">
        <v>88</v>
      </c>
      <c r="AH3" s="485"/>
      <c r="AI3" s="441" t="s">
        <v>89</v>
      </c>
      <c r="AJ3" s="484"/>
    </row>
    <row r="4" spans="1:42" ht="25.5">
      <c r="A4" s="229" t="s">
        <v>90</v>
      </c>
      <c r="B4" s="229" t="s">
        <v>91</v>
      </c>
      <c r="C4" s="229" t="s">
        <v>92</v>
      </c>
      <c r="D4" s="229" t="s">
        <v>93</v>
      </c>
      <c r="E4" s="229" t="s">
        <v>94</v>
      </c>
      <c r="F4" s="229" t="s">
        <v>93</v>
      </c>
      <c r="G4" s="229" t="s">
        <v>94</v>
      </c>
      <c r="H4" s="99"/>
      <c r="I4" s="99"/>
      <c r="J4" s="99"/>
      <c r="K4" s="99"/>
      <c r="O4" s="438" t="s">
        <v>90</v>
      </c>
      <c r="P4" s="438" t="s">
        <v>91</v>
      </c>
      <c r="Q4" s="436" t="s">
        <v>92</v>
      </c>
      <c r="R4" s="437" t="s">
        <v>93</v>
      </c>
      <c r="S4" s="483" t="s">
        <v>94</v>
      </c>
      <c r="T4" s="438" t="s">
        <v>93</v>
      </c>
      <c r="U4" s="451" t="s">
        <v>94</v>
      </c>
      <c r="AD4" s="438" t="s">
        <v>90</v>
      </c>
      <c r="AE4" s="438" t="s">
        <v>91</v>
      </c>
      <c r="AF4" s="436" t="s">
        <v>92</v>
      </c>
      <c r="AG4" s="437" t="s">
        <v>93</v>
      </c>
      <c r="AH4" s="483" t="s">
        <v>94</v>
      </c>
      <c r="AI4" s="438" t="s">
        <v>93</v>
      </c>
      <c r="AJ4" s="451" t="s">
        <v>94</v>
      </c>
    </row>
    <row r="5" spans="1:42">
      <c r="A5" s="230"/>
      <c r="B5" s="230"/>
      <c r="C5" s="230"/>
      <c r="D5" s="230"/>
      <c r="E5" s="230"/>
      <c r="F5" s="230"/>
      <c r="G5" s="230"/>
      <c r="H5" s="99"/>
      <c r="I5" s="99"/>
      <c r="J5" s="564" t="s">
        <v>95</v>
      </c>
      <c r="K5" s="564"/>
      <c r="L5" s="564"/>
      <c r="M5" s="2"/>
      <c r="O5" s="435"/>
      <c r="P5" s="435"/>
      <c r="Q5" s="431"/>
      <c r="R5" s="434"/>
      <c r="S5" s="450"/>
      <c r="T5" s="435"/>
      <c r="U5" s="431"/>
      <c r="X5" s="564" t="s">
        <v>95</v>
      </c>
      <c r="Y5" s="564"/>
      <c r="Z5" s="564"/>
      <c r="AA5" s="2"/>
      <c r="AD5" s="435"/>
      <c r="AE5" s="435"/>
      <c r="AF5" s="431"/>
      <c r="AG5" s="434"/>
      <c r="AH5" s="450"/>
      <c r="AI5" s="435"/>
      <c r="AJ5" s="431"/>
      <c r="AM5" s="564" t="s">
        <v>95</v>
      </c>
      <c r="AN5" s="564"/>
      <c r="AO5" s="564"/>
      <c r="AP5" s="2"/>
    </row>
    <row r="6" spans="1:42">
      <c r="A6" s="231" t="s">
        <v>96</v>
      </c>
      <c r="B6" s="230"/>
      <c r="C6" s="230"/>
      <c r="D6" s="230"/>
      <c r="E6" s="230"/>
      <c r="F6" s="230"/>
      <c r="G6" s="230"/>
      <c r="J6" s="564" t="s">
        <v>97</v>
      </c>
      <c r="K6" s="564"/>
      <c r="L6" s="2"/>
      <c r="M6" s="2"/>
      <c r="O6" s="449" t="s">
        <v>96</v>
      </c>
      <c r="P6" s="435"/>
      <c r="Q6" s="431"/>
      <c r="R6" s="434"/>
      <c r="S6" s="450"/>
      <c r="T6" s="435"/>
      <c r="U6" s="431"/>
      <c r="X6" s="564" t="s">
        <v>97</v>
      </c>
      <c r="Y6" s="564"/>
      <c r="Z6" s="2"/>
      <c r="AA6" s="2"/>
      <c r="AD6" s="449" t="s">
        <v>96</v>
      </c>
      <c r="AE6" s="435"/>
      <c r="AF6" s="431"/>
      <c r="AG6" s="434"/>
      <c r="AH6" s="450"/>
      <c r="AI6" s="435"/>
      <c r="AJ6" s="431"/>
      <c r="AM6" s="564" t="s">
        <v>97</v>
      </c>
      <c r="AN6" s="564"/>
      <c r="AO6" s="2"/>
      <c r="AP6" s="2"/>
    </row>
    <row r="7" spans="1:42">
      <c r="A7" s="230"/>
      <c r="B7" s="230"/>
      <c r="C7" s="230"/>
      <c r="D7" s="230"/>
      <c r="E7" s="230"/>
      <c r="F7" s="230"/>
      <c r="G7" s="230"/>
      <c r="I7" s="101"/>
      <c r="J7" s="102" t="s">
        <v>98</v>
      </c>
      <c r="K7" s="19" t="s">
        <v>99</v>
      </c>
      <c r="L7" s="19" t="s">
        <v>25</v>
      </c>
      <c r="M7" s="19" t="s">
        <v>100</v>
      </c>
      <c r="O7" s="435"/>
      <c r="P7" s="435"/>
      <c r="Q7" s="431"/>
      <c r="R7" s="434"/>
      <c r="S7" s="450"/>
      <c r="T7" s="435"/>
      <c r="U7" s="431"/>
      <c r="X7" s="102" t="s">
        <v>98</v>
      </c>
      <c r="Y7" s="19" t="s">
        <v>99</v>
      </c>
      <c r="Z7" s="19" t="s">
        <v>25</v>
      </c>
      <c r="AA7" s="19" t="s">
        <v>100</v>
      </c>
      <c r="AD7" s="435"/>
      <c r="AE7" s="435"/>
      <c r="AF7" s="431"/>
      <c r="AG7" s="434"/>
      <c r="AH7" s="450"/>
      <c r="AI7" s="435"/>
      <c r="AJ7" s="431"/>
      <c r="AM7" s="102" t="s">
        <v>98</v>
      </c>
      <c r="AN7" s="19" t="s">
        <v>99</v>
      </c>
      <c r="AO7" s="19" t="s">
        <v>25</v>
      </c>
      <c r="AP7" s="19" t="s">
        <v>100</v>
      </c>
    </row>
    <row r="8" spans="1:42">
      <c r="A8" s="232" t="s">
        <v>68</v>
      </c>
      <c r="B8" s="233">
        <v>11954440</v>
      </c>
      <c r="C8" s="233">
        <v>11936535</v>
      </c>
      <c r="D8" s="233">
        <v>214604.27338500001</v>
      </c>
      <c r="E8" s="233">
        <v>381656.88954553998</v>
      </c>
      <c r="F8" s="233">
        <v>9480.1375400000015</v>
      </c>
      <c r="G8" s="233">
        <v>11920.72255</v>
      </c>
      <c r="I8" s="5"/>
      <c r="J8" s="208">
        <f>($C$48*(B8+C8))/($C$48*(B8+C8)+B18+C18+$C$48*$C$47*SUM(D8:G8) +$C$47*SUM(D18:G18))</f>
        <v>0.79256154367158571</v>
      </c>
      <c r="K8" s="209">
        <f>(B18+C18)/($C$48*(B8+C8)+B18+C18+$C$48*$C$47*SUM(D8:G8) +$C$47*SUM(D18:G18))</f>
        <v>9.0434859994551489E-2</v>
      </c>
      <c r="L8" s="209">
        <f>($C$48*$C$47*SUM(D8:G8) +$C$47*SUM(D18:G18))/($C$48*(B8+C8)+B18+C18+$C$48*$C$47*SUM(D8:G8) +$C$47*SUM(D18:G18))</f>
        <v>0.11700359633386266</v>
      </c>
      <c r="M8" s="308">
        <f>SUM(J8:L8)</f>
        <v>0.99999999999999989</v>
      </c>
      <c r="O8" s="432" t="s">
        <v>68</v>
      </c>
      <c r="P8" s="470">
        <v>10998206</v>
      </c>
      <c r="Q8" s="469">
        <v>10944255</v>
      </c>
      <c r="R8" s="468">
        <v>232083.16140000001</v>
      </c>
      <c r="S8" s="482">
        <v>406779.07985000004</v>
      </c>
      <c r="T8" s="466">
        <v>11201.907999999999</v>
      </c>
      <c r="U8" s="465">
        <v>22199.878499999999</v>
      </c>
      <c r="X8" s="208">
        <f>($C$48*(P8+Q8))/($C$48*(P8+Q8)+P18+Q18+$C$48*$C$47*SUM(R8:U8) +$C$47*SUM(R18:U18))</f>
        <v>0.76899752930451604</v>
      </c>
      <c r="Y8" s="209">
        <f>(P18+Q18)/($C$48*(P8+Q8)+P18+Q18+$C$48*$C$47*SUM(R8:U8) +$C$47*SUM(R18:U18))</f>
        <v>9.7415367800670852E-2</v>
      </c>
      <c r="Z8" s="209">
        <f>($C$48*$C$47*SUM(R8:U8) +$C$47*SUM(R18:U18))/($C$48*(P8+Q8)+P18+Q18+$C$48*$C$47*SUM(R8:U8) +$C$47*SUM(R18:U18))</f>
        <v>0.13358710289481313</v>
      </c>
      <c r="AA8" s="308">
        <f>SUM(X8:Z8)</f>
        <v>1</v>
      </c>
      <c r="AD8" s="432" t="s">
        <v>68</v>
      </c>
      <c r="AE8" s="470">
        <v>11837115</v>
      </c>
      <c r="AF8" s="469">
        <v>11461346</v>
      </c>
      <c r="AG8" s="468">
        <v>209710.644</v>
      </c>
      <c r="AH8" s="482">
        <v>397170.98814999999</v>
      </c>
      <c r="AI8" s="466">
        <v>9499.2279999999992</v>
      </c>
      <c r="AJ8" s="465">
        <v>19047.84</v>
      </c>
      <c r="AM8" s="208">
        <f>($C$48*(AE8+AF8))/($C$48*(AE8+AF8)+AE18+AF18+$C$48*$C$47*SUM(AG8:AJ8) +$C$47*SUM(AG18:AJ18))</f>
        <v>0.78587486276829621</v>
      </c>
      <c r="AN8" s="209">
        <f>(AE18+AF18)/($C$48*(AE8+AF8)+AE18+AF18+$C$48*$C$47*SUM(AG8:AJ8) +$C$47*SUM(AG18:AJ18))</f>
        <v>9.2065101669734015E-2</v>
      </c>
      <c r="AO8" s="209">
        <f>($C$48*$C$47*SUM(AG8:AJ8) +$C$47*SUM(AG18:AJ18))/($C$48*(AE8+AF8)+AE18+AF18+$C$48*$C$47*SUM(AG8:AJ8) +$C$47*SUM(AG18:AJ18))</f>
        <v>0.12206003556196994</v>
      </c>
      <c r="AP8" s="308">
        <f>SUM(AM8:AO8)</f>
        <v>1.0000000000000002</v>
      </c>
    </row>
    <row r="9" spans="1:42">
      <c r="A9" s="230"/>
      <c r="B9" s="233"/>
      <c r="C9" s="233"/>
      <c r="D9" s="233"/>
      <c r="E9" s="233"/>
      <c r="F9" s="233"/>
      <c r="G9" s="233"/>
      <c r="I9" s="13"/>
      <c r="J9" s="13"/>
      <c r="O9" s="435"/>
      <c r="P9" s="458"/>
      <c r="Q9" s="457"/>
      <c r="R9" s="461"/>
      <c r="S9" s="460"/>
      <c r="T9" s="463"/>
      <c r="U9" s="457"/>
      <c r="AD9" s="435"/>
      <c r="AE9" s="458"/>
      <c r="AF9" s="457"/>
      <c r="AG9" s="461"/>
      <c r="AH9" s="460"/>
      <c r="AI9" s="463"/>
      <c r="AJ9" s="457"/>
    </row>
    <row r="10" spans="1:42">
      <c r="A10" s="230" t="s">
        <v>56</v>
      </c>
      <c r="B10" s="233">
        <v>7525245</v>
      </c>
      <c r="C10" s="233">
        <v>7500979</v>
      </c>
      <c r="D10" s="233">
        <v>202281.688585</v>
      </c>
      <c r="E10" s="233">
        <v>356794.27704553999</v>
      </c>
      <c r="F10" s="233">
        <v>9480.1010400000014</v>
      </c>
      <c r="G10" s="233">
        <v>11588.458550000001</v>
      </c>
      <c r="I10" s="5"/>
      <c r="J10" s="69" t="s">
        <v>101</v>
      </c>
      <c r="O10" s="435" t="s">
        <v>56</v>
      </c>
      <c r="P10" s="458">
        <v>6139675</v>
      </c>
      <c r="Q10" s="457">
        <v>6088993</v>
      </c>
      <c r="R10" s="461">
        <v>216717.9173</v>
      </c>
      <c r="S10" s="460">
        <v>371028.90375</v>
      </c>
      <c r="T10" s="463">
        <v>11201.628000000001</v>
      </c>
      <c r="U10" s="462">
        <v>22198.574000000001</v>
      </c>
      <c r="AD10" s="435" t="s">
        <v>56</v>
      </c>
      <c r="AE10" s="458">
        <v>7139571</v>
      </c>
      <c r="AF10" s="457">
        <v>7091629</v>
      </c>
      <c r="AG10" s="461">
        <v>194393.26500000001</v>
      </c>
      <c r="AH10" s="460">
        <v>361705.48414999997</v>
      </c>
      <c r="AI10" s="463">
        <v>9499.2279999999992</v>
      </c>
      <c r="AJ10" s="462">
        <v>19018.023499999999</v>
      </c>
    </row>
    <row r="11" spans="1:42">
      <c r="A11" s="230" t="s">
        <v>102</v>
      </c>
      <c r="B11" s="233">
        <v>2487712</v>
      </c>
      <c r="C11" s="233">
        <v>2474592</v>
      </c>
      <c r="D11" s="233">
        <v>1462.9304999999999</v>
      </c>
      <c r="E11" s="233">
        <v>19479.419999999998</v>
      </c>
      <c r="F11" s="234" t="s">
        <v>103</v>
      </c>
      <c r="G11" s="233">
        <v>9.3115000000000006</v>
      </c>
      <c r="I11" s="5"/>
      <c r="J11" s="8"/>
      <c r="O11" s="435" t="s">
        <v>102</v>
      </c>
      <c r="P11" s="458">
        <v>2729914</v>
      </c>
      <c r="Q11" s="457">
        <v>2716416</v>
      </c>
      <c r="R11" s="461">
        <v>3474.4074000000001</v>
      </c>
      <c r="S11" s="460">
        <v>17657.140100000001</v>
      </c>
      <c r="T11" s="454" t="s">
        <v>103</v>
      </c>
      <c r="U11" s="462">
        <v>1.3045</v>
      </c>
      <c r="AD11" s="435" t="s">
        <v>102</v>
      </c>
      <c r="AE11" s="458">
        <v>2675013</v>
      </c>
      <c r="AF11" s="457">
        <v>2293881</v>
      </c>
      <c r="AG11" s="461">
        <v>3476.3539999999998</v>
      </c>
      <c r="AH11" s="460">
        <v>18718.481500000002</v>
      </c>
      <c r="AI11" s="454" t="s">
        <v>103</v>
      </c>
      <c r="AJ11" s="462">
        <v>23.371500000000001</v>
      </c>
    </row>
    <row r="12" spans="1:42">
      <c r="A12" s="230" t="s">
        <v>104</v>
      </c>
      <c r="B12" s="233">
        <v>1063052</v>
      </c>
      <c r="C12" s="233">
        <v>1079139</v>
      </c>
      <c r="D12" s="233">
        <v>10686.194300000001</v>
      </c>
      <c r="E12" s="233">
        <v>4377.2365</v>
      </c>
      <c r="F12" s="234" t="s">
        <v>103</v>
      </c>
      <c r="G12" s="233">
        <v>99.581000000000003</v>
      </c>
      <c r="O12" s="435" t="s">
        <v>347</v>
      </c>
      <c r="P12" s="458">
        <v>1146672</v>
      </c>
      <c r="Q12" s="457">
        <v>1151607</v>
      </c>
      <c r="R12" s="461">
        <v>9562.3696999999993</v>
      </c>
      <c r="S12" s="460">
        <v>16343.103999999999</v>
      </c>
      <c r="T12" s="486">
        <v>0.28000000000000003</v>
      </c>
      <c r="U12" s="453" t="s">
        <v>103</v>
      </c>
      <c r="AD12" s="435" t="s">
        <v>347</v>
      </c>
      <c r="AE12" s="458">
        <v>1171808</v>
      </c>
      <c r="AF12" s="457">
        <v>1191177</v>
      </c>
      <c r="AG12" s="461">
        <v>9474.3510000000006</v>
      </c>
      <c r="AH12" s="460">
        <v>16235.643</v>
      </c>
      <c r="AI12" s="454" t="s">
        <v>103</v>
      </c>
      <c r="AJ12" s="462">
        <v>2.2065000000000001</v>
      </c>
    </row>
    <row r="13" spans="1:42">
      <c r="A13" s="230" t="s">
        <v>105</v>
      </c>
      <c r="B13" s="233">
        <v>843768</v>
      </c>
      <c r="C13" s="233">
        <v>846580</v>
      </c>
      <c r="D13" s="233">
        <v>169.99549999999999</v>
      </c>
      <c r="E13" s="233">
        <v>1004.117</v>
      </c>
      <c r="F13" s="234" t="s">
        <v>103</v>
      </c>
      <c r="G13" s="233">
        <v>223.3715</v>
      </c>
      <c r="J13" s="564" t="s">
        <v>257</v>
      </c>
      <c r="K13" s="564"/>
      <c r="O13" s="435" t="s">
        <v>105</v>
      </c>
      <c r="P13" s="458">
        <v>942182</v>
      </c>
      <c r="Q13" s="457">
        <v>946324</v>
      </c>
      <c r="R13" s="461">
        <v>2327.0169999999998</v>
      </c>
      <c r="S13" s="460">
        <v>1749.932</v>
      </c>
      <c r="T13" s="454" t="s">
        <v>103</v>
      </c>
      <c r="U13" s="453" t="s">
        <v>103</v>
      </c>
      <c r="X13" s="564" t="s">
        <v>257</v>
      </c>
      <c r="Y13" s="564"/>
      <c r="AD13" s="435" t="s">
        <v>105</v>
      </c>
      <c r="AE13" s="458">
        <v>850723</v>
      </c>
      <c r="AF13" s="457">
        <v>884534</v>
      </c>
      <c r="AG13" s="461">
        <v>2366.674</v>
      </c>
      <c r="AH13" s="460">
        <v>511.37950000000001</v>
      </c>
      <c r="AI13" s="454" t="s">
        <v>103</v>
      </c>
      <c r="AJ13" s="462">
        <v>4.2385000000000002</v>
      </c>
      <c r="AM13" s="564" t="s">
        <v>257</v>
      </c>
      <c r="AN13" s="564"/>
    </row>
    <row r="14" spans="1:42">
      <c r="A14" s="230" t="s">
        <v>106</v>
      </c>
      <c r="B14" s="233">
        <v>34663</v>
      </c>
      <c r="C14" s="233">
        <v>35245</v>
      </c>
      <c r="D14" s="233">
        <v>3.4645000000000001</v>
      </c>
      <c r="E14" s="233">
        <v>1.839</v>
      </c>
      <c r="F14" s="234" t="s">
        <v>103</v>
      </c>
      <c r="G14" s="234" t="s">
        <v>103</v>
      </c>
      <c r="I14" s="13"/>
      <c r="J14" s="102" t="s">
        <v>98</v>
      </c>
      <c r="K14" s="19" t="s">
        <v>99</v>
      </c>
      <c r="L14" t="s">
        <v>100</v>
      </c>
      <c r="O14" s="435" t="s">
        <v>106</v>
      </c>
      <c r="P14" s="458">
        <v>39763</v>
      </c>
      <c r="Q14" s="457">
        <v>40915</v>
      </c>
      <c r="R14" s="461">
        <v>1.45</v>
      </c>
      <c r="S14" s="455" t="s">
        <v>103</v>
      </c>
      <c r="T14" s="454" t="s">
        <v>103</v>
      </c>
      <c r="U14" s="453" t="s">
        <v>103</v>
      </c>
      <c r="X14" s="102" t="s">
        <v>98</v>
      </c>
      <c r="Y14" s="19" t="s">
        <v>99</v>
      </c>
      <c r="Z14" t="s">
        <v>100</v>
      </c>
      <c r="AD14" s="435" t="s">
        <v>106</v>
      </c>
      <c r="AE14" s="459" t="s">
        <v>103</v>
      </c>
      <c r="AF14" s="457">
        <v>125</v>
      </c>
      <c r="AG14" s="456" t="s">
        <v>103</v>
      </c>
      <c r="AH14" s="455" t="s">
        <v>103</v>
      </c>
      <c r="AI14" s="454" t="s">
        <v>103</v>
      </c>
      <c r="AJ14" s="453" t="s">
        <v>103</v>
      </c>
      <c r="AM14" s="102" t="s">
        <v>98</v>
      </c>
      <c r="AN14" s="19" t="s">
        <v>99</v>
      </c>
      <c r="AO14" t="s">
        <v>100</v>
      </c>
    </row>
    <row r="15" spans="1:42">
      <c r="A15" s="230"/>
      <c r="B15" s="235"/>
      <c r="C15" s="230"/>
      <c r="D15" s="230"/>
      <c r="E15" s="230"/>
      <c r="F15" s="230"/>
      <c r="G15" s="230"/>
      <c r="I15" s="13"/>
      <c r="J15" s="208">
        <f>($C$48*(SUM(D8:G8)))/($C$48*SUM(D8:G8) +SUM(D18:G18))</f>
        <v>0.92956007614320124</v>
      </c>
      <c r="K15" s="209">
        <f>((SUM(D18:G18)))/($C$48*SUM(D8:G8) +SUM(D18:G18))</f>
        <v>7.0439923856798675E-2</v>
      </c>
      <c r="L15" s="307">
        <f>J15+K15</f>
        <v>0.99999999999999989</v>
      </c>
      <c r="O15" s="435"/>
      <c r="P15" s="481"/>
      <c r="Q15" s="431"/>
      <c r="R15" s="434"/>
      <c r="S15" s="450"/>
      <c r="T15" s="435"/>
      <c r="U15" s="431"/>
      <c r="X15" s="208">
        <f>($C$48*(SUM(R8:U8)))/($C$48*SUM(R8:U8) +SUM(R18:U18))</f>
        <v>0.93614172610315516</v>
      </c>
      <c r="Y15" s="209">
        <f>((SUM(R18:U18)))/($C$48*SUM(R8:U8) +SUM(R18:U18))</f>
        <v>6.3858273896844814E-2</v>
      </c>
      <c r="Z15" s="307">
        <f>X15+Y15</f>
        <v>1</v>
      </c>
      <c r="AD15" s="435"/>
      <c r="AE15" s="481"/>
      <c r="AF15" s="431"/>
      <c r="AG15" s="434"/>
      <c r="AH15" s="450"/>
      <c r="AI15" s="435"/>
      <c r="AJ15" s="431"/>
      <c r="AM15" s="208">
        <f>($C$48*(SUM(AG8:AJ8)))/($C$48*SUM(AG8:AJ8) +SUM(AG18:AJ18))</f>
        <v>0.93206489200311615</v>
      </c>
      <c r="AN15" s="209">
        <f>((SUM(AG18:AJ18)))/($C$48*SUM(AG8:AJ8) +SUM(AG18:AJ18))</f>
        <v>6.7935107996883792E-2</v>
      </c>
      <c r="AO15" s="307">
        <f>AM15+AN15</f>
        <v>1</v>
      </c>
    </row>
    <row r="16" spans="1:42">
      <c r="A16" s="231" t="s">
        <v>107</v>
      </c>
      <c r="B16" s="235"/>
      <c r="C16" s="230"/>
      <c r="D16" s="236"/>
      <c r="E16" s="236"/>
      <c r="F16" s="236"/>
      <c r="G16" s="236"/>
      <c r="I16" s="13"/>
      <c r="J16" s="13"/>
      <c r="O16" s="449" t="s">
        <v>107</v>
      </c>
      <c r="P16" s="481"/>
      <c r="Q16" s="431"/>
      <c r="R16" s="480"/>
      <c r="S16" s="479"/>
      <c r="T16" s="478"/>
      <c r="U16" s="477"/>
      <c r="X16" s="13"/>
      <c r="AD16" s="449" t="s">
        <v>107</v>
      </c>
      <c r="AE16" s="481"/>
      <c r="AF16" s="431"/>
      <c r="AG16" s="480"/>
      <c r="AH16" s="479"/>
      <c r="AI16" s="478"/>
      <c r="AJ16" s="477"/>
      <c r="AM16" s="13"/>
    </row>
    <row r="17" spans="1:41">
      <c r="A17" s="230"/>
      <c r="B17" s="235"/>
      <c r="C17" s="237"/>
      <c r="D17" s="237"/>
      <c r="E17" s="237"/>
      <c r="F17" s="237"/>
      <c r="G17" s="237"/>
      <c r="I17" s="13"/>
      <c r="J17" s="13" t="s">
        <v>256</v>
      </c>
      <c r="O17" s="435"/>
      <c r="P17" s="476"/>
      <c r="Q17" s="475"/>
      <c r="R17" s="474"/>
      <c r="S17" s="473"/>
      <c r="T17" s="472"/>
      <c r="U17" s="471"/>
      <c r="X17" s="13" t="s">
        <v>256</v>
      </c>
      <c r="AD17" s="435"/>
      <c r="AE17" s="476"/>
      <c r="AF17" s="475"/>
      <c r="AG17" s="474"/>
      <c r="AH17" s="473"/>
      <c r="AI17" s="472"/>
      <c r="AJ17" s="471"/>
      <c r="AM17" s="13" t="s">
        <v>256</v>
      </c>
    </row>
    <row r="18" spans="1:41">
      <c r="A18" s="232" t="s">
        <v>68</v>
      </c>
      <c r="B18" s="233">
        <v>6815171</v>
      </c>
      <c r="C18" s="233">
        <v>6815171</v>
      </c>
      <c r="D18" s="233">
        <v>102696.02</v>
      </c>
      <c r="E18" s="233">
        <v>102696.01999999999</v>
      </c>
      <c r="F18" s="233">
        <v>14316.497499999999</v>
      </c>
      <c r="G18" s="233">
        <v>14316.497499999999</v>
      </c>
      <c r="I18" s="5"/>
      <c r="J18" s="102" t="s">
        <v>98</v>
      </c>
      <c r="K18" s="19" t="s">
        <v>99</v>
      </c>
      <c r="L18" t="s">
        <v>100</v>
      </c>
      <c r="O18" s="432" t="s">
        <v>68</v>
      </c>
      <c r="P18" s="470">
        <v>6949089</v>
      </c>
      <c r="Q18" s="469">
        <v>6949089</v>
      </c>
      <c r="R18" s="468">
        <v>101899.36649999999</v>
      </c>
      <c r="S18" s="467">
        <v>101899.36650000002</v>
      </c>
      <c r="T18" s="466">
        <v>12745.722</v>
      </c>
      <c r="U18" s="465">
        <v>12745.722</v>
      </c>
      <c r="X18" s="102" t="s">
        <v>98</v>
      </c>
      <c r="Y18" s="19" t="s">
        <v>99</v>
      </c>
      <c r="Z18" t="s">
        <v>100</v>
      </c>
      <c r="AD18" s="432" t="s">
        <v>68</v>
      </c>
      <c r="AE18" s="470">
        <v>6823525</v>
      </c>
      <c r="AF18" s="469">
        <v>6823528</v>
      </c>
      <c r="AG18" s="468">
        <v>99950.631999999998</v>
      </c>
      <c r="AH18" s="467">
        <v>99950.631999999998</v>
      </c>
      <c r="AI18" s="466">
        <v>15835.076000000001</v>
      </c>
      <c r="AJ18" s="465">
        <v>15835.075999999999</v>
      </c>
      <c r="AM18" s="102" t="s">
        <v>98</v>
      </c>
      <c r="AN18" s="19" t="s">
        <v>99</v>
      </c>
      <c r="AO18" t="s">
        <v>100</v>
      </c>
    </row>
    <row r="19" spans="1:41">
      <c r="A19" s="230"/>
      <c r="B19" s="233"/>
      <c r="C19" s="233"/>
      <c r="D19" s="233"/>
      <c r="E19" s="233"/>
      <c r="F19" s="233"/>
      <c r="G19" s="233"/>
      <c r="I19" s="13"/>
      <c r="J19" s="208">
        <f>J8/(J8+K8)</f>
        <v>0.89758184787721396</v>
      </c>
      <c r="K19" s="209">
        <f>K8/(J8+K8)</f>
        <v>0.10241815212278611</v>
      </c>
      <c r="L19" s="307">
        <f>J19+K19</f>
        <v>1</v>
      </c>
      <c r="O19" s="435"/>
      <c r="P19" s="458"/>
      <c r="Q19" s="457"/>
      <c r="R19" s="461"/>
      <c r="S19" s="464"/>
      <c r="T19" s="463"/>
      <c r="U19" s="457"/>
      <c r="X19" s="208">
        <f>X8/(X8+Y8)</f>
        <v>0.88756473025026528</v>
      </c>
      <c r="Y19" s="209">
        <f>Y8/(X8+Y8)</f>
        <v>0.11243526974973474</v>
      </c>
      <c r="Z19" s="307">
        <f>X19+Y19</f>
        <v>1</v>
      </c>
      <c r="AD19" s="435"/>
      <c r="AE19" s="458"/>
      <c r="AF19" s="457"/>
      <c r="AG19" s="461"/>
      <c r="AH19" s="464"/>
      <c r="AI19" s="463"/>
      <c r="AJ19" s="457"/>
      <c r="AM19" s="208">
        <f>AM8/(AM8+AN8)</f>
        <v>0.89513508280869192</v>
      </c>
      <c r="AN19" s="209">
        <f>AN8/(AM8+AN8)</f>
        <v>0.1048649171913081</v>
      </c>
      <c r="AO19" s="307">
        <f>AM19+AN19</f>
        <v>1</v>
      </c>
    </row>
    <row r="20" spans="1:41">
      <c r="A20" s="230" t="s">
        <v>56</v>
      </c>
      <c r="B20" s="233">
        <v>3042107</v>
      </c>
      <c r="C20" s="233">
        <v>3044635</v>
      </c>
      <c r="D20" s="233">
        <v>71091.591499999995</v>
      </c>
      <c r="E20" s="233">
        <v>27806.111000000001</v>
      </c>
      <c r="F20" s="233">
        <v>12325.520500000001</v>
      </c>
      <c r="G20" s="233">
        <v>1947.8335</v>
      </c>
      <c r="I20" s="5"/>
      <c r="J20" s="13"/>
      <c r="O20" s="431" t="s">
        <v>56</v>
      </c>
      <c r="P20" s="458">
        <v>3040940</v>
      </c>
      <c r="Q20" s="457">
        <v>3041681</v>
      </c>
      <c r="R20" s="461">
        <v>66261.888000000006</v>
      </c>
      <c r="S20" s="460">
        <v>25499.359</v>
      </c>
      <c r="T20" s="463">
        <v>10871.7945</v>
      </c>
      <c r="U20" s="462">
        <v>1873.9275</v>
      </c>
      <c r="AD20" s="431" t="s">
        <v>56</v>
      </c>
      <c r="AE20" s="458">
        <v>2938328</v>
      </c>
      <c r="AF20" s="457">
        <v>3012597</v>
      </c>
      <c r="AG20" s="461">
        <v>67731.048999999999</v>
      </c>
      <c r="AH20" s="460">
        <v>22891.074499999999</v>
      </c>
      <c r="AI20" s="463">
        <v>15030.177</v>
      </c>
      <c r="AJ20" s="462">
        <v>804.89800000000002</v>
      </c>
    </row>
    <row r="21" spans="1:41">
      <c r="A21" s="230" t="s">
        <v>102</v>
      </c>
      <c r="B21" s="233">
        <v>1367105</v>
      </c>
      <c r="C21" s="233">
        <v>1375739</v>
      </c>
      <c r="D21" s="233">
        <v>13231.0515</v>
      </c>
      <c r="E21" s="233">
        <v>22612.735499999999</v>
      </c>
      <c r="F21" s="233">
        <v>915.68050000000005</v>
      </c>
      <c r="G21" s="233">
        <v>5123.5884999999998</v>
      </c>
      <c r="I21" s="13"/>
      <c r="J21" s="570" t="s">
        <v>261</v>
      </c>
      <c r="K21" s="570"/>
      <c r="O21" s="431" t="s">
        <v>102</v>
      </c>
      <c r="P21" s="458">
        <v>1433788</v>
      </c>
      <c r="Q21" s="457">
        <v>1447048</v>
      </c>
      <c r="R21" s="461">
        <v>8640.4004999999997</v>
      </c>
      <c r="S21" s="460">
        <v>24350.732</v>
      </c>
      <c r="T21" s="463">
        <v>1111.18</v>
      </c>
      <c r="U21" s="462">
        <v>3534.2629999999999</v>
      </c>
      <c r="AD21" s="431" t="s">
        <v>102</v>
      </c>
      <c r="AE21" s="458">
        <v>1168487</v>
      </c>
      <c r="AF21" s="457">
        <v>1120655</v>
      </c>
      <c r="AG21" s="461">
        <v>8453.6275000000005</v>
      </c>
      <c r="AH21" s="460">
        <v>24160.717499999999</v>
      </c>
      <c r="AI21" s="463">
        <v>12.308999999999999</v>
      </c>
      <c r="AJ21" s="462">
        <v>5343.9655000000002</v>
      </c>
    </row>
    <row r="22" spans="1:41">
      <c r="A22" s="230" t="s">
        <v>104</v>
      </c>
      <c r="B22" s="233">
        <v>908215</v>
      </c>
      <c r="C22" s="233">
        <v>901089</v>
      </c>
      <c r="D22" s="233">
        <v>5617.9605000000001</v>
      </c>
      <c r="E22" s="233">
        <v>23078.037499999999</v>
      </c>
      <c r="F22" s="233">
        <v>325.61399999999998</v>
      </c>
      <c r="G22" s="233">
        <v>1061.2515000000001</v>
      </c>
      <c r="I22" s="13"/>
      <c r="J22" s="102" t="s">
        <v>98</v>
      </c>
      <c r="K22" s="19" t="s">
        <v>99</v>
      </c>
      <c r="L22" t="s">
        <v>100</v>
      </c>
      <c r="O22" s="431" t="s">
        <v>347</v>
      </c>
      <c r="P22" s="458">
        <v>880403</v>
      </c>
      <c r="Q22" s="457">
        <v>855680</v>
      </c>
      <c r="R22" s="461">
        <v>11399.789500000001</v>
      </c>
      <c r="S22" s="460">
        <v>21791.182499999999</v>
      </c>
      <c r="T22" s="463">
        <v>667.20650000000001</v>
      </c>
      <c r="U22" s="462">
        <v>3612.8519999999999</v>
      </c>
      <c r="AD22" s="431" t="s">
        <v>347</v>
      </c>
      <c r="AE22" s="458">
        <v>942969</v>
      </c>
      <c r="AF22" s="457">
        <v>924458</v>
      </c>
      <c r="AG22" s="461">
        <v>11353.267</v>
      </c>
      <c r="AH22" s="460">
        <v>22618.572499999998</v>
      </c>
      <c r="AI22" s="463">
        <v>593.81449999999995</v>
      </c>
      <c r="AJ22" s="462">
        <v>3305.6605</v>
      </c>
    </row>
    <row r="23" spans="1:41">
      <c r="A23" s="230" t="s">
        <v>105</v>
      </c>
      <c r="B23" s="233">
        <v>809084</v>
      </c>
      <c r="C23" s="233">
        <v>808003</v>
      </c>
      <c r="D23" s="233">
        <v>5441.2224999999999</v>
      </c>
      <c r="E23" s="233">
        <v>14321.7785</v>
      </c>
      <c r="F23" s="233">
        <v>242.35499999999999</v>
      </c>
      <c r="G23" s="233">
        <v>3324.1995000000002</v>
      </c>
      <c r="I23" s="13"/>
      <c r="J23" s="208">
        <f>(L8*J15+J19*C113)/SUM($C$113:$D$113)</f>
        <v>0.91117928875482013</v>
      </c>
      <c r="K23" s="208">
        <f>(L8*K15+K19*C113)/SUM($C$113:$D$113)</f>
        <v>8.8820711245179859E-2</v>
      </c>
      <c r="L23" s="307">
        <f>J23+K23</f>
        <v>1</v>
      </c>
      <c r="O23" s="431" t="s">
        <v>105</v>
      </c>
      <c r="P23" s="458">
        <v>838917</v>
      </c>
      <c r="Q23" s="457">
        <v>834341</v>
      </c>
      <c r="R23" s="461">
        <v>7717.6270000000004</v>
      </c>
      <c r="S23" s="460">
        <v>18692.145</v>
      </c>
      <c r="T23" s="463">
        <v>95.540999999999997</v>
      </c>
      <c r="U23" s="462">
        <v>3171.6759999999999</v>
      </c>
      <c r="AD23" s="431" t="s">
        <v>105</v>
      </c>
      <c r="AE23" s="458">
        <v>958199</v>
      </c>
      <c r="AF23" s="457">
        <v>943785</v>
      </c>
      <c r="AG23" s="461">
        <v>5464.7174999999997</v>
      </c>
      <c r="AH23" s="460">
        <v>20139.788</v>
      </c>
      <c r="AI23" s="463">
        <v>198.77449999999999</v>
      </c>
      <c r="AJ23" s="462">
        <v>2676.6410000000001</v>
      </c>
    </row>
    <row r="24" spans="1:41">
      <c r="A24" s="230" t="s">
        <v>106</v>
      </c>
      <c r="B24" s="233">
        <v>550637</v>
      </c>
      <c r="C24" s="233">
        <v>548053</v>
      </c>
      <c r="D24" s="233">
        <v>7122.2020000000002</v>
      </c>
      <c r="E24" s="233">
        <v>14138.868</v>
      </c>
      <c r="F24" s="233">
        <v>507.32749999999999</v>
      </c>
      <c r="G24" s="233">
        <v>2859.6244999999999</v>
      </c>
      <c r="I24" s="13"/>
      <c r="J24" s="13"/>
      <c r="O24" s="431" t="s">
        <v>106</v>
      </c>
      <c r="P24" s="458">
        <v>597726</v>
      </c>
      <c r="Q24" s="457">
        <v>608721</v>
      </c>
      <c r="R24" s="461">
        <v>7547.6450000000004</v>
      </c>
      <c r="S24" s="460">
        <v>10350.8905</v>
      </c>
      <c r="T24" s="454" t="s">
        <v>103</v>
      </c>
      <c r="U24" s="462">
        <v>553.00350000000003</v>
      </c>
      <c r="AD24" s="431" t="s">
        <v>106</v>
      </c>
      <c r="AE24" s="458">
        <v>683320</v>
      </c>
      <c r="AF24" s="457">
        <v>686902</v>
      </c>
      <c r="AG24" s="461">
        <v>6662.5045</v>
      </c>
      <c r="AH24" s="460">
        <v>9122.8909999999996</v>
      </c>
      <c r="AI24" s="454" t="s">
        <v>103</v>
      </c>
      <c r="AJ24" s="462">
        <v>3703.9110000000001</v>
      </c>
    </row>
    <row r="25" spans="1:41">
      <c r="A25" s="230" t="s">
        <v>108</v>
      </c>
      <c r="B25" s="233">
        <v>51251</v>
      </c>
      <c r="C25" s="233">
        <v>53159</v>
      </c>
      <c r="D25" s="233">
        <v>34.78</v>
      </c>
      <c r="E25" s="233">
        <v>168.89449999999999</v>
      </c>
      <c r="F25" s="234" t="s">
        <v>103</v>
      </c>
      <c r="G25" s="234" t="s">
        <v>103</v>
      </c>
      <c r="I25" s="13"/>
      <c r="J25" s="13"/>
      <c r="O25" s="431" t="s">
        <v>108</v>
      </c>
      <c r="P25" s="458">
        <v>98223</v>
      </c>
      <c r="Q25" s="457">
        <v>100641</v>
      </c>
      <c r="R25" s="461">
        <v>104.223</v>
      </c>
      <c r="S25" s="460">
        <v>361.57249999999999</v>
      </c>
      <c r="T25" s="454" t="s">
        <v>103</v>
      </c>
      <c r="U25" s="453" t="s">
        <v>103</v>
      </c>
      <c r="AD25" s="431" t="s">
        <v>108</v>
      </c>
      <c r="AE25" s="458">
        <v>85341</v>
      </c>
      <c r="AF25" s="457">
        <v>84736</v>
      </c>
      <c r="AG25" s="461">
        <v>108.373</v>
      </c>
      <c r="AH25" s="460">
        <v>408.45600000000002</v>
      </c>
      <c r="AI25" s="454" t="s">
        <v>103</v>
      </c>
      <c r="AJ25" s="453" t="s">
        <v>103</v>
      </c>
    </row>
    <row r="26" spans="1:41">
      <c r="A26" s="230" t="s">
        <v>109</v>
      </c>
      <c r="B26" s="233">
        <v>48535</v>
      </c>
      <c r="C26" s="233">
        <v>48868</v>
      </c>
      <c r="D26" s="233">
        <v>28.811499999999999</v>
      </c>
      <c r="E26" s="233">
        <v>106.756</v>
      </c>
      <c r="F26" s="234" t="s">
        <v>103</v>
      </c>
      <c r="G26" s="234" t="s">
        <v>103</v>
      </c>
      <c r="I26" s="13"/>
      <c r="J26" s="13"/>
      <c r="O26" s="431" t="s">
        <v>109</v>
      </c>
      <c r="P26" s="458">
        <v>37717</v>
      </c>
      <c r="Q26" s="457">
        <v>37348</v>
      </c>
      <c r="R26" s="461">
        <v>70.047499999999999</v>
      </c>
      <c r="S26" s="460">
        <v>213.90899999999999</v>
      </c>
      <c r="T26" s="454" t="s">
        <v>103</v>
      </c>
      <c r="U26" s="453" t="s">
        <v>103</v>
      </c>
      <c r="AD26" s="431" t="s">
        <v>109</v>
      </c>
      <c r="AE26" s="458">
        <v>34430</v>
      </c>
      <c r="AF26" s="457">
        <v>35801</v>
      </c>
      <c r="AG26" s="461">
        <v>59.660499999999999</v>
      </c>
      <c r="AH26" s="460">
        <v>214.20249999999999</v>
      </c>
      <c r="AI26" s="454" t="s">
        <v>103</v>
      </c>
      <c r="AJ26" s="453" t="s">
        <v>103</v>
      </c>
    </row>
    <row r="27" spans="1:41">
      <c r="A27" s="230" t="s">
        <v>110</v>
      </c>
      <c r="B27" s="233">
        <v>34102</v>
      </c>
      <c r="C27" s="233">
        <v>31422</v>
      </c>
      <c r="D27" s="233">
        <v>128.40049999999999</v>
      </c>
      <c r="E27" s="233">
        <v>462.839</v>
      </c>
      <c r="F27" s="234" t="s">
        <v>103</v>
      </c>
      <c r="G27" s="234" t="s">
        <v>103</v>
      </c>
      <c r="I27" s="13"/>
      <c r="J27" s="13"/>
      <c r="O27" s="431" t="s">
        <v>110</v>
      </c>
      <c r="P27" s="458">
        <v>8099</v>
      </c>
      <c r="Q27" s="457">
        <v>8780</v>
      </c>
      <c r="R27" s="461">
        <v>157.74600000000001</v>
      </c>
      <c r="S27" s="460">
        <v>639.57600000000002</v>
      </c>
      <c r="T27" s="454" t="s">
        <v>103</v>
      </c>
      <c r="U27" s="453" t="s">
        <v>103</v>
      </c>
      <c r="AD27" s="431" t="s">
        <v>110</v>
      </c>
      <c r="AE27" s="458">
        <v>3683</v>
      </c>
      <c r="AF27" s="457">
        <v>3484</v>
      </c>
      <c r="AG27" s="461">
        <v>117.43300000000001</v>
      </c>
      <c r="AH27" s="460">
        <v>394.93</v>
      </c>
      <c r="AI27" s="454" t="s">
        <v>103</v>
      </c>
      <c r="AJ27" s="453" t="s">
        <v>103</v>
      </c>
    </row>
    <row r="28" spans="1:41">
      <c r="A28" s="230" t="s">
        <v>111</v>
      </c>
      <c r="B28" s="233">
        <v>1830</v>
      </c>
      <c r="C28" s="233">
        <v>1835</v>
      </c>
      <c r="D28" s="234" t="s">
        <v>103</v>
      </c>
      <c r="E28" s="234" t="s">
        <v>103</v>
      </c>
      <c r="F28" s="234" t="s">
        <v>103</v>
      </c>
      <c r="G28" s="234" t="s">
        <v>103</v>
      </c>
      <c r="I28" s="13"/>
      <c r="J28" s="13"/>
      <c r="O28" s="431" t="s">
        <v>111</v>
      </c>
      <c r="P28" s="458">
        <v>4352</v>
      </c>
      <c r="Q28" s="457">
        <v>4321</v>
      </c>
      <c r="R28" s="456" t="s">
        <v>103</v>
      </c>
      <c r="S28" s="455" t="s">
        <v>103</v>
      </c>
      <c r="T28" s="454" t="s">
        <v>103</v>
      </c>
      <c r="U28" s="453" t="s">
        <v>103</v>
      </c>
      <c r="AD28" s="431" t="s">
        <v>111</v>
      </c>
      <c r="AE28" s="458">
        <v>3598</v>
      </c>
      <c r="AF28" s="457">
        <v>3568</v>
      </c>
      <c r="AG28" s="456" t="s">
        <v>103</v>
      </c>
      <c r="AH28" s="455" t="s">
        <v>103</v>
      </c>
      <c r="AI28" s="454" t="s">
        <v>103</v>
      </c>
      <c r="AJ28" s="453" t="s">
        <v>103</v>
      </c>
    </row>
    <row r="29" spans="1:41">
      <c r="A29" s="230" t="s">
        <v>112</v>
      </c>
      <c r="B29" s="233">
        <v>1101</v>
      </c>
      <c r="C29" s="233">
        <v>1233</v>
      </c>
      <c r="D29" s="234" t="s">
        <v>103</v>
      </c>
      <c r="E29" s="234" t="s">
        <v>103</v>
      </c>
      <c r="F29" s="234" t="s">
        <v>103</v>
      </c>
      <c r="G29" s="234" t="s">
        <v>103</v>
      </c>
      <c r="I29" s="13"/>
      <c r="J29" s="13"/>
      <c r="O29" s="431" t="s">
        <v>112</v>
      </c>
      <c r="P29" s="458">
        <v>6362</v>
      </c>
      <c r="Q29" s="457">
        <v>7987</v>
      </c>
      <c r="R29" s="456" t="s">
        <v>103</v>
      </c>
      <c r="S29" s="455" t="s">
        <v>103</v>
      </c>
      <c r="T29" s="454" t="s">
        <v>103</v>
      </c>
      <c r="U29" s="453" t="s">
        <v>103</v>
      </c>
      <c r="AD29" s="431" t="s">
        <v>112</v>
      </c>
      <c r="AE29" s="458">
        <v>3085</v>
      </c>
      <c r="AF29" s="457">
        <v>5270</v>
      </c>
      <c r="AG29" s="456" t="s">
        <v>103</v>
      </c>
      <c r="AH29" s="455" t="s">
        <v>103</v>
      </c>
      <c r="AI29" s="454" t="s">
        <v>103</v>
      </c>
      <c r="AJ29" s="453" t="s">
        <v>103</v>
      </c>
    </row>
    <row r="30" spans="1:41">
      <c r="A30" s="230" t="s">
        <v>113</v>
      </c>
      <c r="B30" s="234" t="s">
        <v>103</v>
      </c>
      <c r="C30" s="234" t="s">
        <v>103</v>
      </c>
      <c r="D30" s="234" t="s">
        <v>103</v>
      </c>
      <c r="E30" s="234" t="s">
        <v>103</v>
      </c>
      <c r="F30" s="234" t="s">
        <v>103</v>
      </c>
      <c r="G30" s="234" t="s">
        <v>103</v>
      </c>
      <c r="I30" s="13"/>
      <c r="J30" s="13"/>
      <c r="O30" s="431" t="s">
        <v>113</v>
      </c>
      <c r="P30" s="459" t="s">
        <v>103</v>
      </c>
      <c r="Q30" s="455" t="s">
        <v>103</v>
      </c>
      <c r="R30" s="456" t="s">
        <v>103</v>
      </c>
      <c r="S30" s="455" t="s">
        <v>103</v>
      </c>
      <c r="T30" s="454" t="s">
        <v>103</v>
      </c>
      <c r="U30" s="453" t="s">
        <v>103</v>
      </c>
      <c r="V30" s="26"/>
      <c r="W30" s="26"/>
      <c r="X30" s="26"/>
      <c r="Y30" s="26"/>
      <c r="Z30" s="26"/>
      <c r="AA30" s="26"/>
      <c r="AB30" s="26"/>
      <c r="AC30" s="26"/>
      <c r="AD30" s="431" t="s">
        <v>113</v>
      </c>
      <c r="AE30" s="459" t="s">
        <v>103</v>
      </c>
      <c r="AF30" s="455" t="s">
        <v>103</v>
      </c>
      <c r="AG30" s="456" t="s">
        <v>103</v>
      </c>
      <c r="AH30" s="455" t="s">
        <v>103</v>
      </c>
      <c r="AI30" s="454" t="s">
        <v>103</v>
      </c>
      <c r="AJ30" s="453" t="s">
        <v>103</v>
      </c>
      <c r="AK30" s="26"/>
    </row>
    <row r="31" spans="1:41">
      <c r="A31" s="230" t="s">
        <v>114</v>
      </c>
      <c r="B31" s="233">
        <v>1204</v>
      </c>
      <c r="C31" s="233">
        <v>1135</v>
      </c>
      <c r="D31" s="234" t="s">
        <v>103</v>
      </c>
      <c r="E31" s="234" t="s">
        <v>103</v>
      </c>
      <c r="F31" s="234" t="s">
        <v>103</v>
      </c>
      <c r="G31" s="234" t="s">
        <v>103</v>
      </c>
      <c r="I31" s="13"/>
      <c r="J31" s="13"/>
      <c r="O31" s="431" t="s">
        <v>114</v>
      </c>
      <c r="P31" s="458">
        <v>2562</v>
      </c>
      <c r="Q31" s="457">
        <v>2541</v>
      </c>
      <c r="R31" s="456" t="s">
        <v>103</v>
      </c>
      <c r="S31" s="455" t="s">
        <v>103</v>
      </c>
      <c r="T31" s="454" t="s">
        <v>103</v>
      </c>
      <c r="U31" s="453" t="s">
        <v>103</v>
      </c>
      <c r="V31" s="26"/>
      <c r="W31" s="26"/>
      <c r="X31" s="26"/>
      <c r="Y31" s="26"/>
      <c r="Z31" s="26"/>
      <c r="AA31" s="26"/>
      <c r="AB31" s="26"/>
      <c r="AC31" s="26"/>
      <c r="AD31" s="431" t="s">
        <v>114</v>
      </c>
      <c r="AE31" s="458">
        <v>2085</v>
      </c>
      <c r="AF31" s="457">
        <v>2272</v>
      </c>
      <c r="AG31" s="456" t="s">
        <v>103</v>
      </c>
      <c r="AH31" s="455" t="s">
        <v>103</v>
      </c>
      <c r="AI31" s="454" t="s">
        <v>103</v>
      </c>
      <c r="AJ31" s="453" t="s">
        <v>103</v>
      </c>
      <c r="AK31" s="26"/>
    </row>
    <row r="32" spans="1:41">
      <c r="A32" s="230"/>
      <c r="B32" s="230"/>
      <c r="C32" s="230"/>
      <c r="D32" s="230"/>
      <c r="E32" s="230"/>
      <c r="F32" s="230"/>
      <c r="G32" s="230"/>
      <c r="I32" s="13"/>
      <c r="J32" s="13"/>
      <c r="O32" s="445"/>
      <c r="P32" s="443"/>
      <c r="Q32" s="447"/>
      <c r="R32" s="444"/>
      <c r="S32" s="448"/>
      <c r="T32" s="445"/>
      <c r="U32" s="443"/>
      <c r="AD32" s="445"/>
      <c r="AE32" s="443"/>
      <c r="AF32" s="447"/>
      <c r="AG32" s="444"/>
      <c r="AH32" s="448"/>
      <c r="AI32" s="445"/>
      <c r="AJ32" s="443"/>
    </row>
    <row r="33" spans="1:37" s="26" customFormat="1">
      <c r="A33" s="226" t="s">
        <v>115</v>
      </c>
      <c r="O33"/>
      <c r="P33"/>
      <c r="Q33"/>
      <c r="R33"/>
      <c r="S33"/>
      <c r="T33"/>
      <c r="U33"/>
      <c r="V33"/>
      <c r="W33"/>
      <c r="X33"/>
      <c r="Y33"/>
      <c r="Z33"/>
      <c r="AA33"/>
      <c r="AB33"/>
      <c r="AC33"/>
      <c r="AD33"/>
      <c r="AE33"/>
      <c r="AF33"/>
      <c r="AG33"/>
      <c r="AH33"/>
      <c r="AI33"/>
      <c r="AJ33"/>
      <c r="AK33"/>
    </row>
    <row r="34" spans="1:37" s="26" customFormat="1">
      <c r="A34" s="227"/>
      <c r="O34" s="433" t="s">
        <v>116</v>
      </c>
      <c r="P34" s="431"/>
      <c r="Q34" s="431"/>
      <c r="R34" s="431"/>
      <c r="S34" s="431"/>
      <c r="T34" s="431"/>
      <c r="U34" s="431"/>
      <c r="V34"/>
      <c r="W34"/>
      <c r="X34"/>
      <c r="Y34"/>
      <c r="Z34"/>
      <c r="AA34"/>
      <c r="AB34"/>
      <c r="AC34"/>
      <c r="AD34" s="433" t="s">
        <v>116</v>
      </c>
      <c r="AE34" s="431"/>
      <c r="AF34" s="431"/>
      <c r="AG34" s="431"/>
      <c r="AH34" s="431"/>
      <c r="AI34" s="431"/>
      <c r="AJ34" s="431"/>
      <c r="AK34"/>
    </row>
    <row r="35" spans="1:37">
      <c r="A35" s="103" t="s">
        <v>116</v>
      </c>
      <c r="B35" s="100"/>
      <c r="C35" s="100"/>
      <c r="D35" s="100"/>
      <c r="E35" s="100"/>
      <c r="F35" s="100"/>
      <c r="G35" s="100"/>
      <c r="O35" s="433" t="s">
        <v>348</v>
      </c>
      <c r="P35" s="431"/>
      <c r="Q35" s="431"/>
      <c r="R35" s="431"/>
      <c r="S35" s="431"/>
      <c r="T35" s="431"/>
      <c r="U35" s="431"/>
      <c r="AD35" s="433" t="s">
        <v>348</v>
      </c>
      <c r="AE35" s="431"/>
      <c r="AF35" s="431"/>
      <c r="AG35" s="431"/>
      <c r="AH35" s="431"/>
      <c r="AI35" s="431"/>
      <c r="AJ35" s="431"/>
    </row>
    <row r="36" spans="1:37">
      <c r="A36" s="103" t="s">
        <v>117</v>
      </c>
      <c r="B36" s="100"/>
      <c r="C36" s="100"/>
      <c r="D36" s="100"/>
      <c r="E36" s="100"/>
      <c r="F36" s="100"/>
      <c r="G36" s="100"/>
      <c r="O36" s="446" t="s">
        <v>349</v>
      </c>
      <c r="P36" s="431"/>
      <c r="Q36" s="431"/>
      <c r="R36" s="431"/>
      <c r="S36" s="431"/>
      <c r="T36" s="431"/>
      <c r="U36" s="431"/>
      <c r="AD36" s="446" t="s">
        <v>349</v>
      </c>
      <c r="AE36" s="431"/>
      <c r="AF36" s="431"/>
      <c r="AG36" s="431"/>
      <c r="AH36" s="431"/>
      <c r="AI36" s="431"/>
      <c r="AJ36" s="431"/>
    </row>
    <row r="37" spans="1:37">
      <c r="A37" s="104" t="s">
        <v>118</v>
      </c>
      <c r="B37" s="100"/>
      <c r="C37" s="100"/>
      <c r="D37" s="100"/>
      <c r="E37" s="100"/>
      <c r="F37" s="100"/>
      <c r="G37" s="100"/>
      <c r="O37" s="446" t="s">
        <v>350</v>
      </c>
      <c r="P37" s="431"/>
      <c r="Q37" s="431"/>
      <c r="R37" s="431"/>
      <c r="S37" s="431"/>
      <c r="T37" s="431"/>
      <c r="U37" s="431"/>
      <c r="AD37" s="446" t="s">
        <v>350</v>
      </c>
      <c r="AE37" s="431"/>
      <c r="AF37" s="431"/>
      <c r="AG37" s="431"/>
      <c r="AH37" s="431"/>
      <c r="AI37" s="431"/>
      <c r="AJ37" s="431"/>
    </row>
    <row r="38" spans="1:37">
      <c r="A38" s="104" t="s">
        <v>119</v>
      </c>
      <c r="B38" s="100"/>
      <c r="C38" s="100"/>
      <c r="D38" s="100"/>
      <c r="E38" s="100"/>
      <c r="F38" s="100"/>
      <c r="G38" s="100"/>
      <c r="O38" s="452" t="s">
        <v>352</v>
      </c>
      <c r="P38" s="431"/>
      <c r="Q38" s="431"/>
      <c r="R38" s="431"/>
      <c r="S38" s="431"/>
      <c r="T38" s="431"/>
      <c r="U38" s="431"/>
      <c r="AD38" s="452" t="s">
        <v>351</v>
      </c>
      <c r="AE38" s="431"/>
      <c r="AF38" s="431"/>
      <c r="AG38" s="431"/>
      <c r="AH38" s="431"/>
      <c r="AI38" s="431"/>
      <c r="AJ38" s="431"/>
    </row>
    <row r="39" spans="1:37">
      <c r="A39" s="105" t="s">
        <v>120</v>
      </c>
      <c r="B39" s="100"/>
      <c r="C39" s="100"/>
      <c r="D39" s="100"/>
      <c r="E39" s="100"/>
      <c r="F39" s="100"/>
      <c r="G39" s="100"/>
    </row>
    <row r="40" spans="1:37">
      <c r="A40" s="104" t="s">
        <v>121</v>
      </c>
      <c r="B40" s="100"/>
      <c r="C40" s="100"/>
      <c r="D40" s="100"/>
      <c r="E40" s="100"/>
      <c r="F40" s="100"/>
      <c r="G40" s="100"/>
    </row>
    <row r="41" spans="1:37" ht="15.75" thickBot="1"/>
    <row r="42" spans="1:37">
      <c r="A42" s="106" t="s">
        <v>122</v>
      </c>
      <c r="B42" s="70"/>
      <c r="C42" s="70"/>
      <c r="D42" s="71"/>
    </row>
    <row r="43" spans="1:37">
      <c r="A43" s="107" t="s">
        <v>123</v>
      </c>
      <c r="D43" s="72"/>
    </row>
    <row r="44" spans="1:37">
      <c r="A44" s="108" t="s">
        <v>124</v>
      </c>
      <c r="C44">
        <v>351</v>
      </c>
      <c r="D44" s="72" t="s">
        <v>125</v>
      </c>
      <c r="E44" t="s">
        <v>126</v>
      </c>
    </row>
    <row r="45" spans="1:37">
      <c r="A45" s="108" t="s">
        <v>127</v>
      </c>
      <c r="C45">
        <v>58</v>
      </c>
      <c r="D45" s="72" t="s">
        <v>128</v>
      </c>
      <c r="E45" t="s">
        <v>126</v>
      </c>
    </row>
    <row r="46" spans="1:37">
      <c r="A46" s="108" t="s">
        <v>129</v>
      </c>
      <c r="C46" s="210">
        <f>0.5*(B8+C8)/C59</f>
        <v>0.87709680543467972</v>
      </c>
      <c r="E46" s="72" t="s">
        <v>130</v>
      </c>
    </row>
    <row r="47" spans="1:37">
      <c r="A47" s="108" t="s">
        <v>131</v>
      </c>
      <c r="C47" s="211">
        <f>C46*C44/C45</f>
        <v>5.3079479087512516</v>
      </c>
      <c r="D47" s="72" t="s">
        <v>132</v>
      </c>
      <c r="E47" s="23" t="s">
        <v>133</v>
      </c>
    </row>
    <row r="48" spans="1:37" ht="15.75" thickBot="1">
      <c r="A48" s="109" t="s">
        <v>134</v>
      </c>
      <c r="B48" s="73"/>
      <c r="C48" s="212">
        <v>5</v>
      </c>
      <c r="D48" s="74"/>
      <c r="L48" s="75"/>
    </row>
    <row r="49" spans="1:8" ht="48" customHeight="1">
      <c r="A49" s="566" t="s">
        <v>135</v>
      </c>
      <c r="B49" s="566"/>
      <c r="C49" s="566"/>
      <c r="D49" s="566"/>
      <c r="E49" s="566"/>
      <c r="F49" s="566"/>
      <c r="G49" s="566"/>
      <c r="H49" s="566"/>
    </row>
    <row r="50" spans="1:8" ht="17.100000000000001" customHeight="1">
      <c r="A50" s="566" t="s">
        <v>136</v>
      </c>
      <c r="B50" s="566"/>
      <c r="C50" s="566"/>
      <c r="D50" s="566"/>
      <c r="E50" s="566"/>
      <c r="F50" s="566"/>
      <c r="G50" s="566"/>
      <c r="H50" s="566"/>
    </row>
    <row r="52" spans="1:8">
      <c r="A52" s="110" t="s">
        <v>137</v>
      </c>
      <c r="B52" s="111"/>
      <c r="C52" s="111"/>
      <c r="D52" s="111"/>
    </row>
    <row r="53" spans="1:8">
      <c r="A53" s="110" t="s">
        <v>346</v>
      </c>
      <c r="B53" s="111"/>
      <c r="C53" s="111"/>
      <c r="D53" s="111"/>
    </row>
    <row r="54" spans="1:8">
      <c r="A54" s="110"/>
      <c r="B54" s="111"/>
      <c r="C54" s="111"/>
      <c r="D54" s="111"/>
    </row>
    <row r="55" spans="1:8">
      <c r="A55" s="112" t="s">
        <v>138</v>
      </c>
      <c r="B55" s="111"/>
      <c r="C55" s="111"/>
      <c r="D55" s="111"/>
    </row>
    <row r="56" spans="1:8" ht="15.75" thickBot="1">
      <c r="A56" s="113"/>
      <c r="B56" s="112"/>
      <c r="C56" s="112"/>
      <c r="D56" s="112"/>
    </row>
    <row r="57" spans="1:8" ht="15.75" thickTop="1">
      <c r="A57" s="114" t="s">
        <v>139</v>
      </c>
      <c r="B57" s="115">
        <v>2018</v>
      </c>
      <c r="C57" s="115">
        <v>2019</v>
      </c>
      <c r="D57" s="116">
        <v>2020</v>
      </c>
      <c r="E57" s="425">
        <v>2021</v>
      </c>
      <c r="F57" s="425">
        <v>2022</v>
      </c>
      <c r="G57" s="425">
        <v>2023</v>
      </c>
    </row>
    <row r="58" spans="1:8">
      <c r="A58" s="117"/>
      <c r="B58" s="118"/>
      <c r="C58" s="118"/>
      <c r="D58" s="119"/>
      <c r="E58" s="426"/>
      <c r="F58" s="426"/>
      <c r="G58" s="426"/>
    </row>
    <row r="59" spans="1:8">
      <c r="A59" s="120" t="s">
        <v>140</v>
      </c>
      <c r="B59" s="121">
        <v>13239175</v>
      </c>
      <c r="C59" s="121">
        <v>13619349</v>
      </c>
      <c r="D59" s="122">
        <v>5318667</v>
      </c>
      <c r="E59" s="427">
        <v>10735084</v>
      </c>
      <c r="F59" s="427">
        <v>12745630</v>
      </c>
      <c r="G59" s="427">
        <v>13118442</v>
      </c>
    </row>
    <row r="60" spans="1:8" ht="15.75" thickBot="1">
      <c r="A60" s="123"/>
      <c r="B60" s="124"/>
      <c r="C60" s="125"/>
      <c r="D60" s="126"/>
    </row>
    <row r="61" spans="1:8" ht="14.45" hidden="1" customHeight="1">
      <c r="A61" s="127" t="s">
        <v>141</v>
      </c>
      <c r="B61" s="128">
        <v>8277192</v>
      </c>
      <c r="C61" s="128">
        <v>8415431</v>
      </c>
      <c r="D61" s="128">
        <v>3370122</v>
      </c>
    </row>
    <row r="62" spans="1:8" ht="14.45" hidden="1" customHeight="1">
      <c r="A62" s="127" t="s">
        <v>142</v>
      </c>
      <c r="B62" s="128">
        <v>2626225</v>
      </c>
      <c r="C62" s="128">
        <v>2895680</v>
      </c>
      <c r="D62" s="128">
        <v>1102166</v>
      </c>
    </row>
    <row r="63" spans="1:8" ht="14.45" hidden="1" customHeight="1">
      <c r="A63" s="127" t="s">
        <v>143</v>
      </c>
      <c r="B63" s="128">
        <v>1280769</v>
      </c>
      <c r="C63" s="128">
        <v>1261731</v>
      </c>
      <c r="D63" s="128">
        <v>514422</v>
      </c>
    </row>
    <row r="64" spans="1:8" ht="14.45" hidden="1" customHeight="1">
      <c r="A64" s="127" t="s">
        <v>144</v>
      </c>
      <c r="B64" s="128">
        <v>54295</v>
      </c>
      <c r="C64" s="128">
        <v>47872</v>
      </c>
      <c r="D64" s="128">
        <v>8964</v>
      </c>
    </row>
    <row r="65" spans="1:13" ht="14.45" hidden="1" customHeight="1">
      <c r="A65" s="127" t="s">
        <v>145</v>
      </c>
      <c r="B65" s="128">
        <v>1000694</v>
      </c>
      <c r="C65" s="128">
        <v>998635</v>
      </c>
      <c r="D65" s="128">
        <v>322993</v>
      </c>
    </row>
    <row r="66" spans="1:13" ht="14.45" hidden="1" customHeight="1">
      <c r="A66" s="127"/>
      <c r="B66" s="128"/>
      <c r="C66" s="128"/>
      <c r="D66" s="128"/>
    </row>
    <row r="67" spans="1:13" ht="14.45" hidden="1" customHeight="1">
      <c r="A67" s="127" t="s">
        <v>146</v>
      </c>
      <c r="B67" s="128">
        <v>9288578</v>
      </c>
      <c r="C67" s="128">
        <v>9813531</v>
      </c>
      <c r="D67" s="128">
        <v>4293258</v>
      </c>
    </row>
    <row r="68" spans="1:13" ht="14.45" hidden="1" customHeight="1">
      <c r="A68" s="127" t="s">
        <v>147</v>
      </c>
      <c r="B68" s="128">
        <v>3950597</v>
      </c>
      <c r="C68" s="128">
        <v>3805818</v>
      </c>
      <c r="D68" s="128">
        <v>1025409</v>
      </c>
    </row>
    <row r="69" spans="1:13" ht="14.45" hidden="1" customHeight="1">
      <c r="A69" s="129"/>
      <c r="B69" s="130"/>
      <c r="C69" s="130"/>
      <c r="D69" s="131"/>
    </row>
    <row r="70" spans="1:13">
      <c r="A70" s="112" t="s">
        <v>345</v>
      </c>
      <c r="B70" s="112"/>
      <c r="C70" s="112"/>
      <c r="D70" s="112"/>
    </row>
    <row r="71" spans="1:13">
      <c r="A71" s="112" t="s">
        <v>148</v>
      </c>
      <c r="B71" s="112"/>
      <c r="C71" s="112"/>
      <c r="D71" s="112"/>
    </row>
    <row r="72" spans="1:13">
      <c r="A72" s="112" t="s">
        <v>149</v>
      </c>
      <c r="B72" s="112"/>
      <c r="C72" s="112"/>
      <c r="D72" s="112"/>
    </row>
    <row r="73" spans="1:13">
      <c r="A73" s="430" t="s">
        <v>344</v>
      </c>
      <c r="B73" s="112"/>
      <c r="C73" s="112"/>
      <c r="D73" s="112"/>
    </row>
    <row r="74" spans="1:13">
      <c r="A74" s="430" t="s">
        <v>342</v>
      </c>
      <c r="B74" s="112"/>
      <c r="C74" s="112"/>
      <c r="D74" s="112"/>
    </row>
    <row r="75" spans="1:13">
      <c r="A75" s="430" t="s">
        <v>343</v>
      </c>
    </row>
    <row r="76" spans="1:13">
      <c r="A76" s="430"/>
    </row>
    <row r="77" spans="1:13" ht="15.75" thickBot="1">
      <c r="A77" s="132" t="s">
        <v>340</v>
      </c>
    </row>
    <row r="78" spans="1:13">
      <c r="A78" s="567"/>
      <c r="B78" s="568"/>
      <c r="C78" s="568"/>
      <c r="D78" s="568"/>
      <c r="E78" s="568"/>
      <c r="F78" s="568"/>
      <c r="G78" s="568"/>
      <c r="H78" s="568"/>
      <c r="I78" s="568"/>
      <c r="J78" s="569"/>
      <c r="K78" s="76"/>
      <c r="L78" s="10" t="s">
        <v>151</v>
      </c>
      <c r="M78" s="71"/>
    </row>
    <row r="79" spans="1:13">
      <c r="A79" s="420"/>
      <c r="B79" s="77" t="s">
        <v>152</v>
      </c>
      <c r="C79" s="78" t="s">
        <v>153</v>
      </c>
      <c r="D79" s="78" t="s">
        <v>154</v>
      </c>
      <c r="E79" s="78" t="s">
        <v>155</v>
      </c>
      <c r="F79" s="78" t="s">
        <v>156</v>
      </c>
      <c r="G79" s="78" t="s">
        <v>157</v>
      </c>
      <c r="H79" s="78" t="s">
        <v>158</v>
      </c>
      <c r="I79" s="78" t="s">
        <v>159</v>
      </c>
      <c r="J79" s="78" t="s">
        <v>160</v>
      </c>
      <c r="K79" s="79" t="s">
        <v>161</v>
      </c>
      <c r="L79" s="419"/>
      <c r="M79" s="418"/>
    </row>
    <row r="80" spans="1:13" ht="15.75" thickBot="1">
      <c r="A80" s="402">
        <v>2019</v>
      </c>
      <c r="B80" s="133">
        <v>4595318.7629823964</v>
      </c>
      <c r="C80" s="134">
        <v>2276520.2763444758</v>
      </c>
      <c r="D80" s="134">
        <v>1576205.0991663542</v>
      </c>
      <c r="E80" s="134">
        <v>540103.41621942073</v>
      </c>
      <c r="F80" s="11">
        <f>E170</f>
        <v>137907.55097974587</v>
      </c>
      <c r="G80" s="11">
        <f>E166</f>
        <v>363551.30383330642</v>
      </c>
      <c r="H80" s="11">
        <f>E159</f>
        <v>354680.26900520234</v>
      </c>
      <c r="I80" s="11">
        <f>E177</f>
        <v>25344.442801762376</v>
      </c>
      <c r="J80" s="11">
        <f>E182</f>
        <v>373533.90263938089</v>
      </c>
      <c r="K80" s="135">
        <v>10243165.023968566</v>
      </c>
      <c r="L80" s="81"/>
      <c r="M80" s="417">
        <f>SUM(D80:J80)/K80</f>
        <v>0.32912932445747139</v>
      </c>
    </row>
    <row r="81" spans="1:13" ht="15.75" thickBot="1">
      <c r="A81" s="416">
        <v>2022</v>
      </c>
      <c r="B81" s="415">
        <v>5277349.2378135296</v>
      </c>
      <c r="C81" s="415">
        <v>2469128.4523557811</v>
      </c>
      <c r="D81" s="415">
        <v>192562.40718631056</v>
      </c>
      <c r="E81" s="415">
        <v>414249.60331711028</v>
      </c>
      <c r="F81" s="415">
        <v>114040.51531187727</v>
      </c>
      <c r="G81" s="415">
        <v>186551.49876041949</v>
      </c>
      <c r="H81" s="415">
        <v>137506.07746878453</v>
      </c>
      <c r="I81" s="415">
        <v>20750.039214690376</v>
      </c>
      <c r="J81" s="414">
        <v>326535.88205402542</v>
      </c>
      <c r="K81" s="413">
        <f>SUM(B81:J81)</f>
        <v>9138673.7134825289</v>
      </c>
      <c r="L81" s="412"/>
      <c r="M81" s="417">
        <f>SUM(D81:J81)/K81</f>
        <v>0.15234114565872658</v>
      </c>
    </row>
    <row r="82" spans="1:13" ht="15.75" thickBot="1">
      <c r="A82" s="13">
        <v>2023</v>
      </c>
      <c r="B82" s="411">
        <v>5000098.5474042967</v>
      </c>
      <c r="C82" s="411">
        <v>2427143.8530776673</v>
      </c>
      <c r="D82" s="411">
        <v>589172.19611382019</v>
      </c>
      <c r="E82" s="411">
        <v>474726.5816590109</v>
      </c>
      <c r="F82" s="411">
        <v>117241.38871337191</v>
      </c>
      <c r="G82" s="411">
        <v>236127.23927563001</v>
      </c>
      <c r="H82" s="411">
        <v>214608.60379217713</v>
      </c>
      <c r="I82" s="411">
        <v>28121.092695768504</v>
      </c>
      <c r="J82" s="411">
        <v>412755.4291406874</v>
      </c>
      <c r="K82" s="410">
        <v>9499994.9318724293</v>
      </c>
      <c r="M82" s="417">
        <f>SUM(D82:J82)/K82</f>
        <v>0.21818459338713886</v>
      </c>
    </row>
    <row r="83" spans="1:13">
      <c r="A83" s="136" t="s">
        <v>162</v>
      </c>
    </row>
    <row r="84" spans="1:13">
      <c r="A84" s="137" t="s">
        <v>163</v>
      </c>
    </row>
    <row r="85" spans="1:13">
      <c r="A85" s="112" t="s">
        <v>164</v>
      </c>
    </row>
    <row r="86" spans="1:13">
      <c r="A86" t="s">
        <v>341</v>
      </c>
      <c r="F86" s="136"/>
    </row>
    <row r="87" spans="1:13">
      <c r="F87" s="136"/>
    </row>
    <row r="88" spans="1:13">
      <c r="A88" t="s">
        <v>165</v>
      </c>
      <c r="C88" s="213">
        <f>K80/(0.5*(B8+C8))</f>
        <v>0.85749242330784459</v>
      </c>
    </row>
    <row r="89" spans="1:13">
      <c r="A89" t="s">
        <v>166</v>
      </c>
      <c r="C89" s="214">
        <v>0.5</v>
      </c>
    </row>
    <row r="90" spans="1:13">
      <c r="A90" t="s">
        <v>167</v>
      </c>
    </row>
    <row r="92" spans="1:13">
      <c r="A92" s="132" t="s">
        <v>168</v>
      </c>
      <c r="B92" s="138"/>
      <c r="C92" s="138"/>
      <c r="D92" s="138"/>
      <c r="E92" s="138"/>
      <c r="F92" s="138"/>
      <c r="G92" s="138"/>
    </row>
    <row r="93" spans="1:13">
      <c r="A93" s="132" t="s">
        <v>169</v>
      </c>
      <c r="B93" s="138"/>
      <c r="C93" s="138"/>
      <c r="D93" s="138"/>
      <c r="E93" s="138"/>
      <c r="F93" s="138"/>
      <c r="G93" s="138"/>
    </row>
    <row r="94" spans="1:13" ht="15.75" thickBot="1">
      <c r="A94" s="139"/>
      <c r="B94" s="140"/>
      <c r="C94" s="140"/>
      <c r="D94" s="140"/>
      <c r="E94" s="140"/>
      <c r="F94" s="140"/>
      <c r="G94" s="141"/>
    </row>
    <row r="95" spans="1:13" ht="15.75" thickTop="1">
      <c r="A95" s="142"/>
      <c r="B95" s="143" t="s">
        <v>170</v>
      </c>
      <c r="C95" s="144"/>
      <c r="D95" s="145"/>
      <c r="E95" s="143" t="s">
        <v>171</v>
      </c>
      <c r="F95" s="145"/>
      <c r="G95" s="146"/>
    </row>
    <row r="96" spans="1:13" ht="30">
      <c r="A96" s="147" t="s">
        <v>51</v>
      </c>
      <c r="B96" s="148" t="s">
        <v>68</v>
      </c>
      <c r="C96" s="147" t="s">
        <v>146</v>
      </c>
      <c r="D96" s="149" t="s">
        <v>172</v>
      </c>
      <c r="E96" s="150" t="s">
        <v>68</v>
      </c>
      <c r="F96" s="147" t="s">
        <v>146</v>
      </c>
      <c r="G96" s="149" t="s">
        <v>172</v>
      </c>
    </row>
    <row r="97" spans="1:11" ht="14.45" hidden="1" customHeight="1">
      <c r="A97" s="151">
        <v>2015</v>
      </c>
      <c r="B97" s="152">
        <v>1294903.545315925</v>
      </c>
      <c r="C97" s="153">
        <v>1184981.5453159253</v>
      </c>
      <c r="D97" s="153">
        <v>109922</v>
      </c>
      <c r="E97" s="152">
        <v>62388.608715253722</v>
      </c>
      <c r="F97" s="153">
        <v>56695.474852217449</v>
      </c>
      <c r="G97" s="154">
        <v>5693.133863036277</v>
      </c>
    </row>
    <row r="98" spans="1:11" ht="14.45" hidden="1" customHeight="1">
      <c r="A98" s="151">
        <v>2016</v>
      </c>
      <c r="B98" s="152">
        <v>1358083.0411264854</v>
      </c>
      <c r="C98" s="153">
        <v>1210099.0411264882</v>
      </c>
      <c r="D98" s="153">
        <v>147983.99999999724</v>
      </c>
      <c r="E98" s="152">
        <v>63092.825003412741</v>
      </c>
      <c r="F98" s="153">
        <v>56240.023943904082</v>
      </c>
      <c r="G98" s="154">
        <v>6852.8010595086589</v>
      </c>
    </row>
    <row r="99" spans="1:11" ht="14.45" hidden="1" customHeight="1">
      <c r="A99" s="151">
        <v>2017</v>
      </c>
      <c r="B99" s="152">
        <v>1367024.3499508337</v>
      </c>
      <c r="C99" s="153">
        <v>1225194.6433936122</v>
      </c>
      <c r="D99" s="153">
        <v>141829.70655722142</v>
      </c>
      <c r="E99" s="152">
        <v>62685.295052547495</v>
      </c>
      <c r="F99" s="153">
        <v>56204.491721113751</v>
      </c>
      <c r="G99" s="154">
        <v>6480.8033314337454</v>
      </c>
    </row>
    <row r="100" spans="1:11" ht="14.45" hidden="1" customHeight="1">
      <c r="A100" s="151">
        <v>2018</v>
      </c>
      <c r="B100" s="152">
        <v>1443526.8052913402</v>
      </c>
      <c r="C100" s="153">
        <v>1288212.8052913402</v>
      </c>
      <c r="D100" s="153">
        <v>155313.99999999988</v>
      </c>
      <c r="E100" s="152">
        <v>65654.69728750475</v>
      </c>
      <c r="F100" s="153">
        <v>57910.208256794198</v>
      </c>
      <c r="G100" s="154">
        <v>7744.4890307105552</v>
      </c>
    </row>
    <row r="101" spans="1:11">
      <c r="A101" s="151">
        <v>2019</v>
      </c>
      <c r="B101" s="152">
        <v>1522669.0412237602</v>
      </c>
      <c r="C101" s="153">
        <v>1370066.0412237595</v>
      </c>
      <c r="D101" s="153">
        <v>152603.00000000058</v>
      </c>
      <c r="E101" s="152">
        <v>69349.22295877662</v>
      </c>
      <c r="F101" s="153">
        <v>61422.258455690993</v>
      </c>
      <c r="G101" s="154">
        <v>7926.9645030856263</v>
      </c>
    </row>
    <row r="102" spans="1:11">
      <c r="A102" s="421">
        <v>2022</v>
      </c>
      <c r="B102" s="423">
        <v>1485744.1758318315</v>
      </c>
      <c r="C102" s="424">
        <v>1432238.1758318315</v>
      </c>
      <c r="D102" s="424">
        <v>53506</v>
      </c>
      <c r="E102" s="423">
        <v>74700.387485544503</v>
      </c>
      <c r="F102" s="424">
        <v>70095.401169332254</v>
      </c>
      <c r="G102" s="422">
        <v>4604.9863162122556</v>
      </c>
    </row>
    <row r="103" spans="1:11">
      <c r="A103" s="112"/>
      <c r="B103" s="112"/>
      <c r="C103" s="112"/>
      <c r="D103" s="112"/>
      <c r="E103" s="112"/>
      <c r="F103" s="112"/>
      <c r="G103" s="112"/>
    </row>
    <row r="104" spans="1:11">
      <c r="A104" s="155" t="s">
        <v>173</v>
      </c>
      <c r="B104" s="112"/>
      <c r="C104" s="112"/>
      <c r="D104" s="112"/>
      <c r="E104" s="112"/>
      <c r="F104" s="112"/>
      <c r="G104" s="112"/>
    </row>
    <row r="105" spans="1:11">
      <c r="A105" s="155" t="s">
        <v>174</v>
      </c>
      <c r="B105" s="112"/>
      <c r="C105" s="112"/>
      <c r="D105" s="112"/>
      <c r="E105" s="112"/>
      <c r="F105" s="112"/>
      <c r="G105" s="112"/>
    </row>
    <row r="106" spans="1:11">
      <c r="A106" s="155" t="s">
        <v>175</v>
      </c>
      <c r="B106" s="112"/>
      <c r="C106" s="112"/>
      <c r="D106" s="112"/>
      <c r="E106" s="112"/>
      <c r="F106" s="112"/>
      <c r="G106" s="112"/>
    </row>
    <row r="107" spans="1:11">
      <c r="A107" s="155" t="s">
        <v>176</v>
      </c>
      <c r="B107" s="112"/>
      <c r="C107" s="112"/>
      <c r="D107" s="112"/>
      <c r="E107" s="112"/>
      <c r="F107" s="112"/>
      <c r="G107" s="112"/>
    </row>
    <row r="108" spans="1:11">
      <c r="A108" s="155" t="s">
        <v>339</v>
      </c>
    </row>
    <row r="109" spans="1:11">
      <c r="A109" s="155"/>
    </row>
    <row r="110" spans="1:11" ht="15.75" thickBot="1">
      <c r="A110" s="156" t="s">
        <v>177</v>
      </c>
    </row>
    <row r="111" spans="1:11">
      <c r="A111" s="12" t="s">
        <v>178</v>
      </c>
      <c r="B111" s="70"/>
      <c r="C111" s="70"/>
      <c r="D111" s="71"/>
      <c r="E111" s="70"/>
      <c r="F111" s="70"/>
      <c r="G111" s="70"/>
      <c r="H111" s="71"/>
      <c r="J111" s="2"/>
      <c r="K111" s="302">
        <v>2019</v>
      </c>
    </row>
    <row r="112" spans="1:11">
      <c r="A112" s="80" t="s">
        <v>179</v>
      </c>
      <c r="B112" t="s">
        <v>180</v>
      </c>
      <c r="C112" t="s">
        <v>181</v>
      </c>
      <c r="D112" t="s">
        <v>24</v>
      </c>
      <c r="E112" s="72" t="s">
        <v>100</v>
      </c>
      <c r="H112" s="72"/>
      <c r="J112" s="299" t="s">
        <v>39</v>
      </c>
      <c r="K112" s="300" t="s">
        <v>40</v>
      </c>
    </row>
    <row r="113" spans="1:12" ht="15.75" thickBot="1">
      <c r="A113" s="215">
        <f>C88*J8</f>
        <v>0.67961551870355408</v>
      </c>
      <c r="B113" s="216">
        <f>$C$89*K8</f>
        <v>4.5217429997275745E-2</v>
      </c>
      <c r="C113" s="217">
        <f>(1-C88)*J8+K8*$C$89</f>
        <v>0.15816345496530732</v>
      </c>
      <c r="D113" s="217">
        <f>L8</f>
        <v>0.11700359633386266</v>
      </c>
      <c r="E113" s="218">
        <f>SUM(A113:D113)</f>
        <v>0.99999999999999978</v>
      </c>
      <c r="H113" s="72"/>
      <c r="J113" s="297" t="s">
        <v>45</v>
      </c>
      <c r="K113" s="301">
        <v>7.52</v>
      </c>
    </row>
    <row r="114" spans="1:12" ht="15.75" thickBot="1">
      <c r="A114" s="80"/>
      <c r="H114" s="72"/>
      <c r="J114" s="298" t="s">
        <v>46</v>
      </c>
      <c r="K114" s="303">
        <v>4.9521410170063129</v>
      </c>
    </row>
    <row r="115" spans="1:12">
      <c r="A115" s="76" t="s">
        <v>182</v>
      </c>
      <c r="B115" s="70"/>
      <c r="C115" s="70"/>
      <c r="D115" s="70"/>
      <c r="E115" s="70"/>
      <c r="F115" s="70"/>
      <c r="G115" s="70"/>
      <c r="H115" s="71"/>
      <c r="J115" s="298" t="s">
        <v>183</v>
      </c>
      <c r="K115" s="303">
        <v>1.5282191754287708</v>
      </c>
    </row>
    <row r="116" spans="1:12">
      <c r="A116" s="572" t="s">
        <v>184</v>
      </c>
      <c r="B116" s="573"/>
      <c r="C116" s="573" t="s">
        <v>181</v>
      </c>
      <c r="D116" s="573"/>
      <c r="E116" s="573"/>
      <c r="F116" s="13"/>
      <c r="G116" s="13" t="s">
        <v>185</v>
      </c>
      <c r="H116" s="82"/>
      <c r="J116" s="277" t="s">
        <v>47</v>
      </c>
      <c r="K116" s="301">
        <v>0.88</v>
      </c>
    </row>
    <row r="117" spans="1:12">
      <c r="A117" s="83" t="s">
        <v>147</v>
      </c>
      <c r="B117" s="13" t="s">
        <v>146</v>
      </c>
      <c r="C117" s="13" t="s">
        <v>147</v>
      </c>
      <c r="D117" s="13" t="s">
        <v>146</v>
      </c>
      <c r="E117" s="13" t="s">
        <v>24</v>
      </c>
      <c r="F117" s="13" t="s">
        <v>100</v>
      </c>
      <c r="G117" s="13" t="s">
        <v>186</v>
      </c>
      <c r="H117" s="82" t="s">
        <v>187</v>
      </c>
      <c r="J117" s="296" t="s">
        <v>48</v>
      </c>
      <c r="K117" s="301">
        <v>0.16</v>
      </c>
    </row>
    <row r="118" spans="1:12" ht="15.75" thickBot="1">
      <c r="A118" s="219">
        <f>M80*(A113)</f>
        <v>0.22368139656171476</v>
      </c>
      <c r="B118" s="220">
        <f>(1-M80)*(A113)+B113</f>
        <v>0.50115155213911511</v>
      </c>
      <c r="C118" s="220">
        <f>C113*D101/B101</f>
        <v>1.5851256618885971E-2</v>
      </c>
      <c r="D118" s="220">
        <f>C113*C101/B101</f>
        <v>0.14231219834642134</v>
      </c>
      <c r="E118" s="221">
        <f>D113</f>
        <v>0.11700359633386266</v>
      </c>
      <c r="F118" s="221">
        <f>SUM(A118:E118)</f>
        <v>0.99999999999999978</v>
      </c>
      <c r="G118" s="221">
        <f>B118+E118+D118</f>
        <v>0.7604673468193992</v>
      </c>
      <c r="H118" s="222">
        <f>A118+C118</f>
        <v>0.23953265318060074</v>
      </c>
      <c r="L118" s="1"/>
    </row>
    <row r="119" spans="1:12">
      <c r="A119" s="14"/>
      <c r="B119" s="15"/>
      <c r="C119" s="15"/>
      <c r="D119" s="15"/>
      <c r="E119" s="84"/>
      <c r="F119" s="84"/>
      <c r="G119" s="84"/>
      <c r="H119" s="85"/>
      <c r="L119" s="1"/>
    </row>
    <row r="120" spans="1:12">
      <c r="A120" s="14"/>
      <c r="B120" s="15"/>
      <c r="C120" s="15"/>
      <c r="D120" s="15"/>
      <c r="E120" s="84"/>
      <c r="F120" s="84"/>
      <c r="G120" s="84"/>
      <c r="H120" s="85"/>
      <c r="I120" s="9"/>
      <c r="J120" s="75"/>
      <c r="L120" s="1"/>
    </row>
    <row r="121" spans="1:12" ht="15.75" thickBot="1">
      <c r="A121" s="83"/>
      <c r="B121" s="13"/>
      <c r="C121" s="13"/>
      <c r="D121" s="13"/>
      <c r="E121" s="13"/>
      <c r="F121" s="13"/>
      <c r="G121" s="13"/>
      <c r="H121" s="82"/>
    </row>
    <row r="122" spans="1:12">
      <c r="A122" s="83"/>
      <c r="B122" s="574" t="s">
        <v>188</v>
      </c>
      <c r="C122" s="575"/>
      <c r="D122" s="13"/>
      <c r="E122" s="574" t="s">
        <v>189</v>
      </c>
      <c r="F122" s="575"/>
      <c r="G122" s="13"/>
      <c r="H122" s="82"/>
    </row>
    <row r="123" spans="1:12">
      <c r="A123" s="83" t="s">
        <v>190</v>
      </c>
      <c r="B123" s="83" t="s">
        <v>191</v>
      </c>
      <c r="C123" s="82" t="s">
        <v>192</v>
      </c>
      <c r="D123" s="13"/>
      <c r="E123" s="83" t="s">
        <v>191</v>
      </c>
      <c r="F123" s="82" t="s">
        <v>25</v>
      </c>
      <c r="G123" s="13"/>
      <c r="H123" s="82"/>
    </row>
    <row r="124" spans="1:12" ht="15.75" thickBot="1">
      <c r="A124" s="225">
        <f>K114/(K114+K115)</f>
        <v>0.76417681578675922</v>
      </c>
      <c r="B124" s="219">
        <f>B118/(B118+D118+A124*E118)</f>
        <v>0.68381569140006859</v>
      </c>
      <c r="C124" s="223">
        <f>(D118+A124*E118)/(B118+D118+E118*A124)</f>
        <v>0.31618430859993135</v>
      </c>
      <c r="D124" s="86"/>
      <c r="E124" s="219">
        <f>A118/(A118+(1-A124)*E118)</f>
        <v>0.89019075083813715</v>
      </c>
      <c r="F124" s="223">
        <f>(1-A124)*E118/(A118+(1-A124)*E118)</f>
        <v>0.1098092491618628</v>
      </c>
      <c r="G124" s="86"/>
      <c r="H124" s="87"/>
    </row>
    <row r="125" spans="1:12">
      <c r="A125" t="s">
        <v>193</v>
      </c>
    </row>
    <row r="127" spans="1:12" ht="15" hidden="1" customHeight="1" thickTop="1">
      <c r="A127" s="157"/>
      <c r="B127" s="158" t="s">
        <v>97</v>
      </c>
      <c r="C127" s="159"/>
      <c r="D127" s="160" t="s">
        <v>88</v>
      </c>
      <c r="E127" s="161"/>
      <c r="F127" s="158" t="s">
        <v>89</v>
      </c>
      <c r="G127" s="162"/>
    </row>
    <row r="128" spans="1:12" ht="14.45" hidden="1" customHeight="1">
      <c r="A128" s="163" t="s">
        <v>194</v>
      </c>
      <c r="B128" s="163" t="s">
        <v>91</v>
      </c>
      <c r="C128" s="164" t="s">
        <v>92</v>
      </c>
      <c r="D128" s="165" t="s">
        <v>93</v>
      </c>
      <c r="E128" s="166" t="s">
        <v>94</v>
      </c>
      <c r="F128" s="163" t="s">
        <v>93</v>
      </c>
      <c r="G128" s="167" t="s">
        <v>94</v>
      </c>
    </row>
    <row r="129" spans="1:10" ht="14.45" hidden="1" customHeight="1">
      <c r="A129" s="88" t="s">
        <v>195</v>
      </c>
      <c r="B129" s="89">
        <v>10241737</v>
      </c>
      <c r="C129" s="90">
        <v>10223372</v>
      </c>
      <c r="D129" s="91">
        <v>113961.09849999999</v>
      </c>
      <c r="E129" s="92">
        <v>191058.02349999998</v>
      </c>
      <c r="F129" s="93">
        <f>21296.856+(10940/2000)</f>
        <v>21302.326000000001</v>
      </c>
      <c r="G129" s="94">
        <f>57798.079+(11971/2000)</f>
        <v>57804.0645</v>
      </c>
    </row>
    <row r="130" spans="1:10" ht="14.45" hidden="1" customHeight="1">
      <c r="A130" s="168" t="s">
        <v>196</v>
      </c>
      <c r="B130" s="95"/>
      <c r="C130" s="95"/>
      <c r="D130" s="96"/>
      <c r="E130" s="96"/>
      <c r="F130" s="96"/>
      <c r="G130" s="96"/>
    </row>
    <row r="131" spans="1:10" ht="14.45" hidden="1" customHeight="1"/>
    <row r="132" spans="1:10" ht="14.45" hidden="1" customHeight="1">
      <c r="A132" s="169" t="s">
        <v>197</v>
      </c>
    </row>
    <row r="133" spans="1:10" ht="14.45" hidden="1" customHeight="1">
      <c r="A133" s="571">
        <v>2016</v>
      </c>
      <c r="B133" s="571"/>
      <c r="C133" s="571"/>
      <c r="D133" s="571"/>
      <c r="E133" s="571"/>
      <c r="F133" s="571"/>
      <c r="G133" s="571"/>
      <c r="H133" s="571"/>
      <c r="I133" s="571"/>
      <c r="J133" s="571"/>
    </row>
    <row r="134" spans="1:10" ht="14.45" hidden="1" customHeight="1">
      <c r="A134" s="78" t="s">
        <v>152</v>
      </c>
      <c r="B134" s="78" t="s">
        <v>153</v>
      </c>
      <c r="C134" s="78" t="s">
        <v>154</v>
      </c>
      <c r="D134" s="78" t="s">
        <v>155</v>
      </c>
      <c r="E134" s="78" t="s">
        <v>156</v>
      </c>
      <c r="F134" s="78" t="s">
        <v>157</v>
      </c>
      <c r="G134" s="78" t="s">
        <v>158</v>
      </c>
      <c r="H134" s="78" t="s">
        <v>159</v>
      </c>
      <c r="I134" s="78" t="s">
        <v>160</v>
      </c>
      <c r="J134" s="78" t="s">
        <v>161</v>
      </c>
    </row>
    <row r="135" spans="1:10" ht="14.45" hidden="1" customHeight="1">
      <c r="A135" s="3">
        <v>3664149.5379564557</v>
      </c>
      <c r="B135" s="3">
        <v>1892767.5666404821</v>
      </c>
      <c r="C135" s="3">
        <v>1487979.0251456518</v>
      </c>
      <c r="D135" s="3">
        <v>469313.64051535539</v>
      </c>
      <c r="E135" s="3">
        <v>143922.06026501593</v>
      </c>
      <c r="F135" s="3">
        <v>390364.19661626779</v>
      </c>
      <c r="G135" s="3">
        <v>448413.56842362485</v>
      </c>
      <c r="H135" s="3">
        <v>26075.346909417349</v>
      </c>
      <c r="I135" s="3">
        <v>298817.47628700419</v>
      </c>
      <c r="J135" s="3">
        <v>8821802.418756742</v>
      </c>
    </row>
    <row r="136" spans="1:10" ht="14.45" hidden="1" customHeight="1">
      <c r="A136" s="6"/>
      <c r="B136" s="6"/>
      <c r="C136" s="6"/>
      <c r="D136" s="6"/>
      <c r="E136" s="6"/>
      <c r="F136" s="6"/>
      <c r="G136" s="6"/>
      <c r="H136" s="6"/>
      <c r="I136" s="6"/>
      <c r="J136" s="6"/>
    </row>
    <row r="137" spans="1:10" ht="14.45" hidden="1" customHeight="1">
      <c r="A137" t="s">
        <v>198</v>
      </c>
      <c r="B137" t="s">
        <v>199</v>
      </c>
      <c r="C137" t="s">
        <v>200</v>
      </c>
      <c r="D137" t="s">
        <v>201</v>
      </c>
      <c r="E137" t="s">
        <v>202</v>
      </c>
      <c r="F137" t="s">
        <v>68</v>
      </c>
    </row>
    <row r="138" spans="1:10" ht="14.45" hidden="1" customHeight="1">
      <c r="A138" s="97">
        <f>A135+B135+D135</f>
        <v>6026230.7451122934</v>
      </c>
      <c r="B138" s="97">
        <f>C135+G135</f>
        <v>1936392.5935692766</v>
      </c>
      <c r="C138" s="97">
        <f>E135</f>
        <v>143922.06026501593</v>
      </c>
      <c r="D138" s="97">
        <f>F135</f>
        <v>390364.19661626779</v>
      </c>
      <c r="E138" s="97">
        <f>I135+H135</f>
        <v>324892.82319642155</v>
      </c>
      <c r="F138" s="97">
        <f>SUM(A138:E138)</f>
        <v>8821802.4187592752</v>
      </c>
    </row>
    <row r="139" spans="1:10" ht="14.45" hidden="1" customHeight="1">
      <c r="A139" t="s">
        <v>203</v>
      </c>
    </row>
    <row r="140" spans="1:10" ht="14.45" hidden="1" customHeight="1"/>
    <row r="141" spans="1:10" ht="14.45" hidden="1" customHeight="1"/>
    <row r="142" spans="1:10" ht="14.45" hidden="1" customHeight="1">
      <c r="A142" s="132" t="s">
        <v>150</v>
      </c>
      <c r="B142" s="170"/>
      <c r="C142" s="170"/>
      <c r="D142" s="170"/>
      <c r="E142" s="170"/>
      <c r="F142" s="170"/>
      <c r="G142" s="170"/>
    </row>
    <row r="143" spans="1:10" ht="14.45" hidden="1" customHeight="1">
      <c r="A143" s="171"/>
      <c r="B143" s="170"/>
      <c r="C143" s="170"/>
      <c r="D143" s="170"/>
      <c r="E143" s="170"/>
      <c r="F143" s="170"/>
      <c r="G143" s="170"/>
    </row>
    <row r="144" spans="1:10" ht="14.45" hidden="1" customHeight="1">
      <c r="A144" s="172" t="s">
        <v>204</v>
      </c>
      <c r="B144" s="170"/>
      <c r="C144" s="170"/>
      <c r="D144" s="170"/>
      <c r="E144" s="170"/>
      <c r="F144" s="170"/>
      <c r="G144" s="170"/>
    </row>
    <row r="145" spans="1:7" ht="14.45" hidden="1" customHeight="1">
      <c r="A145" s="172" t="s">
        <v>205</v>
      </c>
      <c r="B145" s="170"/>
      <c r="C145" s="170"/>
      <c r="D145" s="170"/>
      <c r="E145" s="170"/>
      <c r="F145" s="170"/>
      <c r="G145" s="170"/>
    </row>
    <row r="146" spans="1:7" ht="14.45" hidden="1" customHeight="1">
      <c r="A146" s="172" t="s">
        <v>206</v>
      </c>
      <c r="B146" s="170"/>
      <c r="C146" s="170"/>
      <c r="D146" s="170"/>
      <c r="E146" s="170"/>
      <c r="F146" s="170"/>
      <c r="G146" s="170"/>
    </row>
    <row r="147" spans="1:7" ht="14.45" hidden="1" customHeight="1">
      <c r="A147" s="173"/>
      <c r="B147" s="170"/>
      <c r="C147" s="170"/>
      <c r="D147" s="170"/>
      <c r="E147" s="170"/>
      <c r="F147" s="170"/>
      <c r="G147" s="170"/>
    </row>
    <row r="148" spans="1:7" ht="15" hidden="1" customHeight="1" thickBot="1">
      <c r="A148" s="139"/>
      <c r="B148" s="174"/>
      <c r="C148" s="112"/>
      <c r="D148" s="175"/>
      <c r="E148" s="174"/>
      <c r="F148" s="112"/>
      <c r="G148" s="175"/>
    </row>
    <row r="149" spans="1:7" ht="15" hidden="1" customHeight="1" thickTop="1">
      <c r="A149" s="176"/>
      <c r="B149" s="177"/>
      <c r="C149" s="178">
        <v>2018</v>
      </c>
      <c r="D149" s="179"/>
      <c r="E149" s="177"/>
      <c r="F149" s="178">
        <v>2019</v>
      </c>
      <c r="G149" s="179"/>
    </row>
    <row r="150" spans="1:7" ht="28.7" hidden="1" customHeight="1">
      <c r="A150" s="180" t="s">
        <v>207</v>
      </c>
      <c r="B150" s="181" t="s">
        <v>68</v>
      </c>
      <c r="C150" s="182" t="s">
        <v>146</v>
      </c>
      <c r="D150" s="183" t="s">
        <v>208</v>
      </c>
      <c r="E150" s="181" t="s">
        <v>68</v>
      </c>
      <c r="F150" s="182" t="s">
        <v>146</v>
      </c>
      <c r="G150" s="183" t="s">
        <v>208</v>
      </c>
    </row>
    <row r="151" spans="1:7" ht="14.45" hidden="1" customHeight="1">
      <c r="A151" s="184"/>
      <c r="B151" s="185"/>
      <c r="C151" s="186"/>
      <c r="D151" s="187"/>
      <c r="E151" s="185"/>
      <c r="F151" s="186"/>
      <c r="G151" s="187"/>
    </row>
    <row r="152" spans="1:7" ht="14.45" hidden="1" customHeight="1">
      <c r="A152" s="188" t="s">
        <v>209</v>
      </c>
      <c r="B152" s="189">
        <v>9761448.0559895597</v>
      </c>
      <c r="C152" s="190">
        <v>6736736.0559894713</v>
      </c>
      <c r="D152" s="191">
        <v>3024712.0000000894</v>
      </c>
      <c r="E152" s="189">
        <v>10243165.023968566</v>
      </c>
      <c r="F152" s="190">
        <v>7253806.0239685504</v>
      </c>
      <c r="G152" s="191">
        <v>2989359.0000000154</v>
      </c>
    </row>
    <row r="153" spans="1:7" ht="14.45" hidden="1" customHeight="1">
      <c r="A153" s="184"/>
      <c r="B153" s="192"/>
      <c r="C153" s="193"/>
      <c r="D153" s="194"/>
      <c r="E153" s="192"/>
      <c r="F153" s="193"/>
      <c r="G153" s="194"/>
    </row>
    <row r="154" spans="1:7" ht="14.45" hidden="1" customHeight="1">
      <c r="A154" s="184" t="s">
        <v>210</v>
      </c>
      <c r="B154" s="194">
        <v>4203893.8995508896</v>
      </c>
      <c r="C154" s="195">
        <v>4095914.8995508906</v>
      </c>
      <c r="D154" s="194">
        <v>107979</v>
      </c>
      <c r="E154" s="194">
        <v>4595318.7629823964</v>
      </c>
      <c r="F154" s="195">
        <v>4517995.7629823964</v>
      </c>
      <c r="G154" s="194">
        <v>77322.999999999985</v>
      </c>
    </row>
    <row r="155" spans="1:7" ht="14.45" hidden="1" customHeight="1">
      <c r="A155" s="184" t="s">
        <v>211</v>
      </c>
      <c r="B155" s="194">
        <v>2173457.7187291509</v>
      </c>
      <c r="C155" s="195">
        <v>2055287.7187291509</v>
      </c>
      <c r="D155" s="194">
        <v>118170</v>
      </c>
      <c r="E155" s="194">
        <v>2276520.2763444758</v>
      </c>
      <c r="F155" s="195">
        <v>2167472.2763444758</v>
      </c>
      <c r="G155" s="194">
        <v>109048</v>
      </c>
    </row>
    <row r="156" spans="1:7" ht="14.45" hidden="1" customHeight="1">
      <c r="A156" s="184" t="s">
        <v>212</v>
      </c>
      <c r="B156" s="194">
        <v>1489778.3549425991</v>
      </c>
      <c r="C156" s="195">
        <v>8782.3549426059926</v>
      </c>
      <c r="D156" s="194">
        <v>1480995.999999993</v>
      </c>
      <c r="E156" s="194">
        <v>1576205.0991663542</v>
      </c>
      <c r="F156" s="195">
        <v>8376.0991663739642</v>
      </c>
      <c r="G156" s="194">
        <v>1567828.9999999802</v>
      </c>
    </row>
    <row r="157" spans="1:7" ht="14.45" hidden="1" customHeight="1">
      <c r="A157" s="184" t="s">
        <v>213</v>
      </c>
      <c r="B157" s="194">
        <v>548702.22289376671</v>
      </c>
      <c r="C157" s="195">
        <v>136302.22289377011</v>
      </c>
      <c r="D157" s="194">
        <v>412399.99999999662</v>
      </c>
      <c r="E157" s="194">
        <v>540103.41621942073</v>
      </c>
      <c r="F157" s="195">
        <v>135213.41621942283</v>
      </c>
      <c r="G157" s="194">
        <v>404889.9999999979</v>
      </c>
    </row>
    <row r="158" spans="1:7" ht="14.45" hidden="1" customHeight="1">
      <c r="A158" s="184"/>
      <c r="B158" s="194"/>
      <c r="C158" s="195"/>
      <c r="D158" s="194"/>
      <c r="E158" s="194"/>
      <c r="F158" s="195"/>
      <c r="G158" s="194"/>
    </row>
    <row r="159" spans="1:7" ht="14.45" hidden="1" customHeight="1">
      <c r="A159" s="184" t="s">
        <v>214</v>
      </c>
      <c r="B159" s="194">
        <v>379925.21423877892</v>
      </c>
      <c r="C159" s="195">
        <v>35762.214238778222</v>
      </c>
      <c r="D159" s="194">
        <v>344163.0000000007</v>
      </c>
      <c r="E159" s="194">
        <v>354680.26900520234</v>
      </c>
      <c r="F159" s="195">
        <v>31548.26900520303</v>
      </c>
      <c r="G159" s="194">
        <v>323131.9999999993</v>
      </c>
    </row>
    <row r="160" spans="1:7" ht="14.45" hidden="1" customHeight="1">
      <c r="A160" s="196" t="s">
        <v>215</v>
      </c>
      <c r="B160" s="194">
        <v>123245.94772776248</v>
      </c>
      <c r="C160" s="195">
        <v>25021.947727762516</v>
      </c>
      <c r="D160" s="194">
        <v>98223.999999999971</v>
      </c>
      <c r="E160" s="194">
        <v>92082.028546449437</v>
      </c>
      <c r="F160" s="195">
        <v>20069.028546449488</v>
      </c>
      <c r="G160" s="194">
        <v>72012.999999999942</v>
      </c>
    </row>
    <row r="161" spans="1:7" ht="14.45" hidden="1" customHeight="1">
      <c r="A161" s="196" t="s">
        <v>216</v>
      </c>
      <c r="B161" s="194">
        <v>4800.6694122580757</v>
      </c>
      <c r="C161" s="195">
        <v>1802.6694122580752</v>
      </c>
      <c r="D161" s="194">
        <v>2998</v>
      </c>
      <c r="E161" s="194">
        <v>4116.398474631661</v>
      </c>
      <c r="F161" s="195">
        <v>1892.398474631661</v>
      </c>
      <c r="G161" s="194">
        <v>2224</v>
      </c>
    </row>
    <row r="162" spans="1:7" ht="14.45" hidden="1" customHeight="1">
      <c r="A162" s="196" t="s">
        <v>217</v>
      </c>
      <c r="B162" s="194">
        <v>228349.92930937221</v>
      </c>
      <c r="C162" s="195">
        <v>6196.9293093719798</v>
      </c>
      <c r="D162" s="194">
        <v>222153.00000000023</v>
      </c>
      <c r="E162" s="194">
        <v>229055.77702899071</v>
      </c>
      <c r="F162" s="195">
        <v>6557.7770289906312</v>
      </c>
      <c r="G162" s="194">
        <v>222498.00000000009</v>
      </c>
    </row>
    <row r="163" spans="1:7" ht="14.45" hidden="1" customHeight="1">
      <c r="A163" s="196" t="s">
        <v>218</v>
      </c>
      <c r="B163" s="194">
        <v>6006.0173726756766</v>
      </c>
      <c r="C163" s="195">
        <v>1195.0173726756768</v>
      </c>
      <c r="D163" s="194">
        <v>4811</v>
      </c>
      <c r="E163" s="194">
        <v>5183.8421069387532</v>
      </c>
      <c r="F163" s="195">
        <v>1322.8421069387537</v>
      </c>
      <c r="G163" s="194">
        <v>3861</v>
      </c>
    </row>
    <row r="164" spans="1:7" ht="14.45" hidden="1" customHeight="1">
      <c r="A164" s="196" t="s">
        <v>219</v>
      </c>
      <c r="B164" s="194">
        <v>17522.650416709952</v>
      </c>
      <c r="C164" s="195">
        <v>1545.650416709954</v>
      </c>
      <c r="D164" s="194">
        <v>15976.999999999998</v>
      </c>
      <c r="E164" s="194">
        <v>24242.222848192545</v>
      </c>
      <c r="F164" s="195">
        <v>1706.2228481925597</v>
      </c>
      <c r="G164" s="194">
        <v>22535.999999999985</v>
      </c>
    </row>
    <row r="165" spans="1:7" ht="14.45" hidden="1" customHeight="1">
      <c r="A165" s="184"/>
      <c r="B165" s="194"/>
      <c r="C165" s="195"/>
      <c r="D165" s="194"/>
      <c r="E165" s="194"/>
      <c r="F165" s="195"/>
      <c r="G165" s="194"/>
    </row>
    <row r="166" spans="1:7" ht="14.45" hidden="1" customHeight="1">
      <c r="A166" s="184" t="s">
        <v>220</v>
      </c>
      <c r="B166" s="194">
        <v>415763.99663963332</v>
      </c>
      <c r="C166" s="195">
        <v>55596.99663963358</v>
      </c>
      <c r="D166" s="194">
        <v>360166.99999999971</v>
      </c>
      <c r="E166" s="194">
        <v>363551.30383330642</v>
      </c>
      <c r="F166" s="195">
        <v>50033.303833306156</v>
      </c>
      <c r="G166" s="194">
        <v>313518.00000000029</v>
      </c>
    </row>
    <row r="167" spans="1:7" ht="14.45" hidden="1" customHeight="1">
      <c r="A167" s="196" t="s">
        <v>221</v>
      </c>
      <c r="B167" s="194">
        <v>325049.55832238356</v>
      </c>
      <c r="C167" s="195">
        <v>44624.558322383411</v>
      </c>
      <c r="D167" s="194">
        <v>280425.00000000012</v>
      </c>
      <c r="E167" s="194">
        <v>287995.12164983852</v>
      </c>
      <c r="F167" s="195">
        <v>39485.12164983814</v>
      </c>
      <c r="G167" s="194">
        <v>248510.00000000041</v>
      </c>
    </row>
    <row r="168" spans="1:7" ht="14.45" hidden="1" customHeight="1">
      <c r="A168" s="196" t="s">
        <v>222</v>
      </c>
      <c r="B168" s="194">
        <v>90714.438317250184</v>
      </c>
      <c r="C168" s="195">
        <v>10972.43831725018</v>
      </c>
      <c r="D168" s="194">
        <v>79742</v>
      </c>
      <c r="E168" s="194">
        <v>75556.182183468249</v>
      </c>
      <c r="F168" s="195">
        <v>10548.182183468252</v>
      </c>
      <c r="G168" s="194">
        <v>65007.999999999993</v>
      </c>
    </row>
    <row r="169" spans="1:7" ht="14.45" hidden="1" customHeight="1">
      <c r="A169" s="184"/>
      <c r="B169" s="194"/>
      <c r="C169" s="195"/>
      <c r="D169" s="194"/>
      <c r="E169" s="194"/>
      <c r="F169" s="195"/>
      <c r="G169" s="194"/>
    </row>
    <row r="170" spans="1:7" ht="14.45" hidden="1" customHeight="1">
      <c r="A170" s="184" t="s">
        <v>223</v>
      </c>
      <c r="B170" s="194">
        <v>144953.05296019107</v>
      </c>
      <c r="C170" s="195">
        <v>111279.05296019107</v>
      </c>
      <c r="D170" s="194">
        <v>33674</v>
      </c>
      <c r="E170" s="194">
        <v>137907.55097974587</v>
      </c>
      <c r="F170" s="195">
        <v>107234.55097974585</v>
      </c>
      <c r="G170" s="194">
        <v>30673</v>
      </c>
    </row>
    <row r="171" spans="1:7" ht="14.45" hidden="1" customHeight="1">
      <c r="A171" s="196" t="s">
        <v>224</v>
      </c>
      <c r="B171" s="194">
        <v>46522.952725245093</v>
      </c>
      <c r="C171" s="195">
        <v>36361.952725245093</v>
      </c>
      <c r="D171" s="194">
        <v>10161</v>
      </c>
      <c r="E171" s="194">
        <v>41219.362177294199</v>
      </c>
      <c r="F171" s="195">
        <v>32751.362177294202</v>
      </c>
      <c r="G171" s="194">
        <v>8468</v>
      </c>
    </row>
    <row r="172" spans="1:7" ht="14.45" hidden="1" customHeight="1">
      <c r="A172" s="196" t="s">
        <v>225</v>
      </c>
      <c r="B172" s="194">
        <v>25454.295972795928</v>
      </c>
      <c r="C172" s="195">
        <v>13958.295972795928</v>
      </c>
      <c r="D172" s="194">
        <v>11496</v>
      </c>
      <c r="E172" s="194">
        <v>23923.432012460104</v>
      </c>
      <c r="F172" s="195">
        <v>12861.432012460104</v>
      </c>
      <c r="G172" s="194">
        <v>11062</v>
      </c>
    </row>
    <row r="173" spans="1:7" ht="14.45" hidden="1" customHeight="1">
      <c r="A173" s="196" t="s">
        <v>226</v>
      </c>
      <c r="B173" s="194">
        <v>45819.204353860274</v>
      </c>
      <c r="C173" s="195">
        <v>37809.204353860274</v>
      </c>
      <c r="D173" s="194">
        <v>8010</v>
      </c>
      <c r="E173" s="194">
        <v>46298.593048240029</v>
      </c>
      <c r="F173" s="195">
        <v>38843.593048240029</v>
      </c>
      <c r="G173" s="194">
        <v>7455</v>
      </c>
    </row>
    <row r="174" spans="1:7" ht="14.45" hidden="1" customHeight="1">
      <c r="A174" s="196" t="s">
        <v>227</v>
      </c>
      <c r="B174" s="194">
        <v>11325.591703026239</v>
      </c>
      <c r="C174" s="195">
        <v>9539.591703026239</v>
      </c>
      <c r="D174" s="194">
        <v>1786</v>
      </c>
      <c r="E174" s="194">
        <v>11522.693909122048</v>
      </c>
      <c r="F174" s="195">
        <v>9961.6939091220484</v>
      </c>
      <c r="G174" s="194">
        <v>1561</v>
      </c>
    </row>
    <row r="175" spans="1:7" ht="14.45" hidden="1" customHeight="1">
      <c r="A175" s="196" t="s">
        <v>228</v>
      </c>
      <c r="B175" s="194">
        <v>15831.008205262866</v>
      </c>
      <c r="C175" s="195">
        <v>13610.008205262866</v>
      </c>
      <c r="D175" s="194">
        <v>2221</v>
      </c>
      <c r="E175" s="194">
        <v>14943.469832631048</v>
      </c>
      <c r="F175" s="195">
        <v>12816.469832631048</v>
      </c>
      <c r="G175" s="194">
        <v>2127</v>
      </c>
    </row>
    <row r="176" spans="1:7" ht="14.45" hidden="1" customHeight="1">
      <c r="A176" s="184"/>
      <c r="B176" s="194"/>
      <c r="C176" s="195"/>
      <c r="D176" s="194"/>
      <c r="E176" s="194"/>
      <c r="F176" s="195"/>
      <c r="G176" s="194"/>
    </row>
    <row r="177" spans="1:7" ht="14.45" hidden="1" customHeight="1">
      <c r="A177" s="184" t="s">
        <v>229</v>
      </c>
      <c r="B177" s="194">
        <v>27777.551398866461</v>
      </c>
      <c r="C177" s="195">
        <v>24436.551398866461</v>
      </c>
      <c r="D177" s="194">
        <v>3341</v>
      </c>
      <c r="E177" s="194">
        <v>25344.442801762376</v>
      </c>
      <c r="F177" s="195">
        <v>23041.442801762376</v>
      </c>
      <c r="G177" s="194">
        <v>2303</v>
      </c>
    </row>
    <row r="178" spans="1:7" ht="14.45" hidden="1" customHeight="1">
      <c r="A178" s="196" t="s">
        <v>230</v>
      </c>
      <c r="B178" s="194">
        <v>6814.1198604435922</v>
      </c>
      <c r="C178" s="195">
        <v>6151.1198604435922</v>
      </c>
      <c r="D178" s="194">
        <v>663</v>
      </c>
      <c r="E178" s="194">
        <v>4734.2338604633132</v>
      </c>
      <c r="F178" s="195">
        <v>4386.2338604633132</v>
      </c>
      <c r="G178" s="194">
        <v>348</v>
      </c>
    </row>
    <row r="179" spans="1:7" ht="14.45" hidden="1" customHeight="1">
      <c r="A179" s="196" t="s">
        <v>231</v>
      </c>
      <c r="B179" s="194">
        <v>10847.220905874379</v>
      </c>
      <c r="C179" s="195">
        <v>9233.2209058743792</v>
      </c>
      <c r="D179" s="194">
        <v>1614</v>
      </c>
      <c r="E179" s="194">
        <v>10317.485870327804</v>
      </c>
      <c r="F179" s="195">
        <v>9141.4858703278042</v>
      </c>
      <c r="G179" s="194">
        <v>1176</v>
      </c>
    </row>
    <row r="180" spans="1:7" ht="14.45" hidden="1" customHeight="1">
      <c r="A180" s="196" t="s">
        <v>232</v>
      </c>
      <c r="B180" s="194">
        <v>10116.21063254856</v>
      </c>
      <c r="C180" s="195">
        <v>9052.2106325485602</v>
      </c>
      <c r="D180" s="194">
        <v>1064</v>
      </c>
      <c r="E180" s="194">
        <v>10292.723070971257</v>
      </c>
      <c r="F180" s="195">
        <v>9513.7230709712567</v>
      </c>
      <c r="G180" s="194">
        <v>779</v>
      </c>
    </row>
    <row r="181" spans="1:7" ht="14.45" hidden="1" customHeight="1">
      <c r="A181" s="184"/>
      <c r="B181" s="192"/>
      <c r="C181" s="197"/>
      <c r="D181" s="194"/>
      <c r="E181" s="192"/>
      <c r="F181" s="197"/>
      <c r="G181" s="194"/>
    </row>
    <row r="182" spans="1:7" ht="14.45" hidden="1" customHeight="1">
      <c r="A182" s="184" t="s">
        <v>233</v>
      </c>
      <c r="B182" s="192">
        <v>377196.04463654256</v>
      </c>
      <c r="C182" s="198">
        <v>213374.04463654253</v>
      </c>
      <c r="D182" s="194">
        <v>163822</v>
      </c>
      <c r="E182" s="192">
        <v>373533.90263938089</v>
      </c>
      <c r="F182" s="198">
        <v>212890.90263938089</v>
      </c>
      <c r="G182" s="194">
        <v>160643</v>
      </c>
    </row>
    <row r="183" spans="1:7" ht="14.45" hidden="1" customHeight="1">
      <c r="A183" s="199"/>
      <c r="B183" s="200"/>
      <c r="C183" s="201"/>
      <c r="D183" s="202"/>
      <c r="E183" s="200"/>
      <c r="F183" s="201"/>
      <c r="G183" s="202"/>
    </row>
    <row r="184" spans="1:7" ht="14.45" hidden="1" customHeight="1">
      <c r="A184" s="112"/>
      <c r="B184" s="112"/>
      <c r="C184" s="112"/>
      <c r="D184" s="112"/>
      <c r="E184" s="112"/>
      <c r="F184" s="112"/>
      <c r="G184" s="203"/>
    </row>
    <row r="185" spans="1:7" ht="14.45" hidden="1" customHeight="1">
      <c r="A185" s="204" t="s">
        <v>234</v>
      </c>
      <c r="B185" s="205"/>
      <c r="C185" s="205"/>
      <c r="D185" s="205"/>
      <c r="E185" s="205"/>
      <c r="F185" s="205"/>
      <c r="G185" s="205"/>
    </row>
    <row r="186" spans="1:7" ht="14.45" hidden="1" customHeight="1">
      <c r="A186" s="204" t="s">
        <v>235</v>
      </c>
      <c r="B186" s="205"/>
      <c r="C186" s="205"/>
      <c r="D186" s="205"/>
      <c r="E186" s="205"/>
      <c r="F186" s="205"/>
      <c r="G186" s="205"/>
    </row>
    <row r="187" spans="1:7" ht="14.45" hidden="1" customHeight="1">
      <c r="A187" s="204" t="s">
        <v>236</v>
      </c>
      <c r="B187" s="205"/>
      <c r="C187" s="205"/>
      <c r="D187" s="205"/>
      <c r="E187" s="205"/>
      <c r="F187" s="205"/>
      <c r="G187" s="205"/>
    </row>
    <row r="188" spans="1:7" ht="14.45" hidden="1" customHeight="1">
      <c r="A188" s="204" t="s">
        <v>237</v>
      </c>
      <c r="B188" s="205"/>
      <c r="C188" s="205"/>
      <c r="D188" s="205"/>
      <c r="E188" s="205"/>
      <c r="F188" s="205"/>
      <c r="G188" s="205"/>
    </row>
    <row r="189" spans="1:7" ht="14.45" hidden="1" customHeight="1">
      <c r="A189" s="204" t="s">
        <v>238</v>
      </c>
      <c r="B189" s="205"/>
      <c r="C189" s="205"/>
      <c r="D189" s="205"/>
      <c r="E189" s="205"/>
      <c r="F189" s="205"/>
      <c r="G189" s="205"/>
    </row>
    <row r="190" spans="1:7" ht="14.45" hidden="1" customHeight="1">
      <c r="A190" s="204" t="s">
        <v>239</v>
      </c>
      <c r="B190" s="205"/>
      <c r="C190" s="205"/>
      <c r="D190" s="205"/>
      <c r="E190" s="205"/>
      <c r="F190" s="205"/>
      <c r="G190" s="205"/>
    </row>
    <row r="191" spans="1:7" ht="14.45" hidden="1" customHeight="1">
      <c r="A191" s="204" t="s">
        <v>240</v>
      </c>
      <c r="B191" s="205"/>
      <c r="C191" s="205"/>
      <c r="D191" s="205"/>
      <c r="E191" s="205"/>
      <c r="F191" s="205"/>
      <c r="G191" s="205"/>
    </row>
    <row r="192" spans="1:7" ht="14.45" hidden="1" customHeight="1">
      <c r="A192" s="204" t="s">
        <v>241</v>
      </c>
      <c r="B192" s="205"/>
      <c r="C192" s="205"/>
      <c r="D192" s="205"/>
      <c r="E192" s="205"/>
      <c r="F192" s="205"/>
      <c r="G192" s="205"/>
    </row>
    <row r="193" spans="1:7" ht="14.45" hidden="1" customHeight="1">
      <c r="A193" s="206" t="s">
        <v>242</v>
      </c>
      <c r="B193" s="205"/>
      <c r="C193" s="205"/>
      <c r="D193" s="205"/>
      <c r="E193" s="205"/>
      <c r="F193" s="205"/>
      <c r="G193" s="205"/>
    </row>
    <row r="194" spans="1:7" ht="14.45" hidden="1" customHeight="1">
      <c r="A194" s="136" t="s">
        <v>162</v>
      </c>
      <c r="B194" s="112"/>
      <c r="C194" s="112"/>
      <c r="D194" s="112"/>
      <c r="E194" s="112"/>
      <c r="F194" s="112"/>
      <c r="G194" s="112"/>
    </row>
    <row r="195" spans="1:7" ht="14.45" hidden="1" customHeight="1">
      <c r="A195" s="137" t="s">
        <v>163</v>
      </c>
      <c r="B195" s="112"/>
      <c r="C195" s="112"/>
      <c r="D195" s="112"/>
      <c r="E195" s="112"/>
      <c r="F195" s="112"/>
      <c r="G195" s="112"/>
    </row>
    <row r="196" spans="1:7" ht="14.45" hidden="1" customHeight="1">
      <c r="A196" s="112" t="s">
        <v>164</v>
      </c>
      <c r="B196" s="205"/>
      <c r="C196" s="205"/>
      <c r="D196" s="205"/>
      <c r="E196" s="112"/>
      <c r="F196" s="112"/>
      <c r="G196" s="112"/>
    </row>
    <row r="197" spans="1:7">
      <c r="A197" s="20" t="s">
        <v>243</v>
      </c>
    </row>
    <row r="198" spans="1:7">
      <c r="A198" s="98" t="s">
        <v>244</v>
      </c>
    </row>
    <row r="199" spans="1:7">
      <c r="A199" s="224" t="s">
        <v>245</v>
      </c>
    </row>
    <row r="201" spans="1:7">
      <c r="A201" s="20" t="s">
        <v>356</v>
      </c>
    </row>
    <row r="214" spans="1:7">
      <c r="A214" s="207"/>
      <c r="B214" s="112"/>
      <c r="C214" s="112"/>
      <c r="D214" s="112"/>
      <c r="E214" s="112"/>
      <c r="F214" s="112"/>
      <c r="G214" s="112"/>
    </row>
  </sheetData>
  <mergeCells count="21">
    <mergeCell ref="A133:J133"/>
    <mergeCell ref="A116:B116"/>
    <mergeCell ref="C116:E116"/>
    <mergeCell ref="B122:C122"/>
    <mergeCell ref="E122:F122"/>
    <mergeCell ref="A50:H50"/>
    <mergeCell ref="A49:H49"/>
    <mergeCell ref="A78:J78"/>
    <mergeCell ref="J13:K13"/>
    <mergeCell ref="J21:K21"/>
    <mergeCell ref="X13:Y13"/>
    <mergeCell ref="AM13:AN13"/>
    <mergeCell ref="A2:G2"/>
    <mergeCell ref="O2:U2"/>
    <mergeCell ref="AD2:AJ2"/>
    <mergeCell ref="AM5:AO5"/>
    <mergeCell ref="AM6:AN6"/>
    <mergeCell ref="X5:Z5"/>
    <mergeCell ref="X6:Y6"/>
    <mergeCell ref="J6:K6"/>
    <mergeCell ref="J5:L5"/>
  </mergeCells>
  <hyperlinks>
    <hyperlink ref="A72" r:id="rId1" display="https://www.hawaiitourismauthority.org/research/monthly-visitor-statistics/" xr:uid="{73F11DA6-3E61-41F6-BE25-FA4AEC474A5E}"/>
    <hyperlink ref="A75" r:id="rId2" display="https://www.hawaiitourismauthority.org/research/monthly-visitor-statistics/" xr:uid="{652C2318-8541-441C-AB1C-F599C677E3CC}"/>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E5BCB-A13E-4BCE-87EC-ED46B8F283E4}">
  <dimension ref="A2:E15"/>
  <sheetViews>
    <sheetView workbookViewId="0">
      <selection activeCell="A14" sqref="A14"/>
    </sheetView>
  </sheetViews>
  <sheetFormatPr defaultRowHeight="15"/>
  <sheetData>
    <row r="2" spans="1:5" ht="17.25">
      <c r="A2" t="s">
        <v>286</v>
      </c>
    </row>
    <row r="3" spans="1:5">
      <c r="A3" t="s">
        <v>287</v>
      </c>
    </row>
    <row r="4" spans="1:5">
      <c r="A4" t="s">
        <v>288</v>
      </c>
    </row>
    <row r="6" spans="1:5">
      <c r="A6" t="s">
        <v>289</v>
      </c>
    </row>
    <row r="8" spans="1:5">
      <c r="A8" t="s">
        <v>290</v>
      </c>
    </row>
    <row r="10" spans="1:5">
      <c r="A10" t="s">
        <v>291</v>
      </c>
    </row>
    <row r="11" spans="1:5">
      <c r="A11" t="s">
        <v>292</v>
      </c>
      <c r="D11" t="s">
        <v>293</v>
      </c>
    </row>
    <row r="12" spans="1:5">
      <c r="A12" t="s">
        <v>294</v>
      </c>
      <c r="D12" t="s">
        <v>295</v>
      </c>
      <c r="E12" t="s">
        <v>296</v>
      </c>
    </row>
    <row r="13" spans="1:5">
      <c r="A13" t="s">
        <v>297</v>
      </c>
    </row>
    <row r="15" spans="1:5">
      <c r="A15" t="s">
        <v>298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883A6B-806C-458F-A456-C306774F2D1B}">
  <sheetPr>
    <tabColor rgb="FF00B0F0"/>
  </sheetPr>
  <dimension ref="A1:E33"/>
  <sheetViews>
    <sheetView workbookViewId="0">
      <selection activeCell="D5" sqref="D5"/>
    </sheetView>
  </sheetViews>
  <sheetFormatPr defaultRowHeight="15"/>
  <cols>
    <col min="3" max="3" width="14.5703125" customWidth="1"/>
    <col min="4" max="5" width="14.85546875" customWidth="1"/>
  </cols>
  <sheetData>
    <row r="1" spans="1:5">
      <c r="A1" s="51" t="s">
        <v>299</v>
      </c>
      <c r="B1" s="51"/>
      <c r="C1" s="51"/>
      <c r="D1" s="41"/>
      <c r="E1" s="41"/>
    </row>
    <row r="2" spans="1:5">
      <c r="A2" s="576"/>
      <c r="B2" s="53" t="s">
        <v>300</v>
      </c>
      <c r="C2" s="53" t="s">
        <v>301</v>
      </c>
      <c r="D2" s="577" t="s">
        <v>40</v>
      </c>
      <c r="E2" s="578"/>
    </row>
    <row r="3" spans="1:5">
      <c r="A3" s="576"/>
      <c r="B3" s="328"/>
      <c r="C3" s="329"/>
      <c r="D3" t="s">
        <v>302</v>
      </c>
      <c r="E3" t="s">
        <v>303</v>
      </c>
    </row>
    <row r="4" spans="1:5">
      <c r="A4" s="576"/>
      <c r="B4" s="546" t="s">
        <v>327</v>
      </c>
      <c r="C4" s="579"/>
      <c r="D4" s="580" t="s">
        <v>304</v>
      </c>
      <c r="E4" s="581"/>
    </row>
    <row r="5" spans="1:5">
      <c r="A5" s="52">
        <v>2019</v>
      </c>
      <c r="B5" s="45">
        <f>Forecasts!G8</f>
        <v>1.0202997966377045</v>
      </c>
      <c r="C5" s="330">
        <f>Input_Forecasts!H4</f>
        <v>1.0014254061347934</v>
      </c>
      <c r="D5" s="45">
        <f>Base_Year!B7</f>
        <v>0.64904134400951563</v>
      </c>
      <c r="E5" s="331">
        <f>$D$5*(1-Input_Forecasts!C4)</f>
        <v>0.64904134400951563</v>
      </c>
    </row>
    <row r="6" spans="1:5">
      <c r="A6" s="52">
        <f t="shared" ref="A6:A31" si="0">A5+1</f>
        <v>2020</v>
      </c>
      <c r="B6" s="45">
        <f>Forecasts!G9</f>
        <v>0.91011699590399564</v>
      </c>
      <c r="C6" s="330">
        <f>Input_Forecasts!H5</f>
        <v>0.9955113218613949</v>
      </c>
      <c r="D6" s="45">
        <f>D$5*B6*C6</f>
        <v>0.58805208007922039</v>
      </c>
      <c r="E6" s="331">
        <f>D6</f>
        <v>0.58805208007922039</v>
      </c>
    </row>
    <row r="7" spans="1:5">
      <c r="A7" s="52">
        <f t="shared" si="0"/>
        <v>2021</v>
      </c>
      <c r="B7" s="45">
        <f>Forecasts!G10</f>
        <v>0.96065814634230207</v>
      </c>
      <c r="C7" s="330">
        <f>Input_Forecasts!H6</f>
        <v>0.98963193577302433</v>
      </c>
      <c r="D7" s="45">
        <f t="shared" ref="D7:D31" si="1">D$5*B7*C7</f>
        <v>0.61704229532294874</v>
      </c>
      <c r="E7" s="331">
        <f>D7</f>
        <v>0.61704229532294874</v>
      </c>
    </row>
    <row r="8" spans="1:5">
      <c r="A8" s="52">
        <f t="shared" si="0"/>
        <v>2022</v>
      </c>
      <c r="B8" s="45">
        <f>Forecasts!G11</f>
        <v>1</v>
      </c>
      <c r="C8" s="330">
        <f>Input_Forecasts!H7</f>
        <v>1</v>
      </c>
      <c r="D8" s="45">
        <f t="shared" si="1"/>
        <v>0.64904134400951563</v>
      </c>
      <c r="E8" s="331">
        <f>D8</f>
        <v>0.64904134400951563</v>
      </c>
    </row>
    <row r="9" spans="1:5">
      <c r="A9" s="52">
        <f t="shared" si="0"/>
        <v>2023</v>
      </c>
      <c r="B9" s="45">
        <f>Forecasts!G12</f>
        <v>1.0196805576744787</v>
      </c>
      <c r="C9" s="330">
        <f>Input_Forecasts!H8</f>
        <v>0.99612727181798755</v>
      </c>
      <c r="D9" s="45">
        <f t="shared" si="1"/>
        <v>0.65925181063277116</v>
      </c>
      <c r="E9" s="331">
        <f>D9</f>
        <v>0.65925181063277116</v>
      </c>
    </row>
    <row r="10" spans="1:5">
      <c r="A10" s="52">
        <f>A9+1</f>
        <v>2024</v>
      </c>
      <c r="B10" s="45">
        <f>Forecasts!G13</f>
        <v>1.0329886986421941</v>
      </c>
      <c r="C10" s="330">
        <f>Input_Forecasts!H9</f>
        <v>0.99226951246649964</v>
      </c>
      <c r="D10" s="45">
        <f t="shared" si="1"/>
        <v>0.66526944959966539</v>
      </c>
      <c r="E10" s="331">
        <f>$D$5*Input_Forecasts!C9</f>
        <v>0.64904134400951563</v>
      </c>
    </row>
    <row r="11" spans="1:5">
      <c r="A11" s="52">
        <f t="shared" si="0"/>
        <v>2025</v>
      </c>
      <c r="B11" s="45">
        <f>Forecasts!G14</f>
        <v>1.0540305829059626</v>
      </c>
      <c r="C11" s="330">
        <f>Input_Forecasts!H10</f>
        <v>0.9884267219503492</v>
      </c>
      <c r="D11" s="45">
        <f t="shared" si="1"/>
        <v>0.67619203755112389</v>
      </c>
      <c r="E11" s="331">
        <f>$D$5*Input_Forecasts!C10</f>
        <v>0.62251233723292265</v>
      </c>
    </row>
    <row r="12" spans="1:5">
      <c r="A12" s="52">
        <f t="shared" si="0"/>
        <v>2026</v>
      </c>
      <c r="B12" s="45">
        <f>Forecasts!G15</f>
        <v>1.0682272826881669</v>
      </c>
      <c r="C12" s="330">
        <f>Input_Forecasts!H11</f>
        <v>0.98459889893504893</v>
      </c>
      <c r="D12" s="45">
        <f t="shared" si="1"/>
        <v>0.68264572333170759</v>
      </c>
      <c r="E12" s="331">
        <f>$D$5*Input_Forecasts!C11</f>
        <v>0.60924783384462633</v>
      </c>
    </row>
    <row r="13" spans="1:5">
      <c r="A13" s="52">
        <f t="shared" si="0"/>
        <v>2027</v>
      </c>
      <c r="B13" s="45">
        <f>Forecasts!G16</f>
        <v>1.0826363279045692</v>
      </c>
      <c r="C13" s="330">
        <f>Input_Forecasts!H12</f>
        <v>0.98078584120926438</v>
      </c>
      <c r="D13" s="45">
        <f t="shared" si="1"/>
        <v>0.68917441414112357</v>
      </c>
      <c r="E13" s="331">
        <f>$D$5*Input_Forecasts!C12</f>
        <v>0.59598333045632979</v>
      </c>
    </row>
    <row r="14" spans="1:5">
      <c r="A14" s="52">
        <f t="shared" si="0"/>
        <v>2028</v>
      </c>
      <c r="B14" s="45">
        <f>Forecasts!G17</f>
        <v>1.0972612488184954</v>
      </c>
      <c r="C14" s="330">
        <f>Input_Forecasts!H13</f>
        <v>0.97698754946527633</v>
      </c>
      <c r="D14" s="45">
        <f t="shared" si="1"/>
        <v>0.69577918673111028</v>
      </c>
      <c r="E14" s="331">
        <f>$D$5*Input_Forecasts!C13</f>
        <v>0.58271882706803335</v>
      </c>
    </row>
    <row r="15" spans="1:5">
      <c r="A15" s="52">
        <f t="shared" si="0"/>
        <v>2029</v>
      </c>
      <c r="B15" s="45">
        <f>Forecasts!G18</f>
        <v>1.1121056397367235</v>
      </c>
      <c r="C15" s="330">
        <f>Input_Forecasts!H14</f>
        <v>0.97320402306102738</v>
      </c>
      <c r="D15" s="45">
        <f t="shared" si="1"/>
        <v>0.70246113490319606</v>
      </c>
      <c r="E15" s="331">
        <f>$D$5*Input_Forecasts!C14</f>
        <v>0.56945432367973681</v>
      </c>
    </row>
    <row r="16" spans="1:5">
      <c r="A16" s="52">
        <f t="shared" si="0"/>
        <v>2030</v>
      </c>
      <c r="B16" s="45">
        <f>Forecasts!G19</f>
        <v>1.1271731602442665</v>
      </c>
      <c r="C16" s="330">
        <f>Input_Forecasts!H15</f>
        <v>0.9694352600458549</v>
      </c>
      <c r="D16" s="45">
        <f t="shared" si="1"/>
        <v>0.70922136979524841</v>
      </c>
      <c r="E16" s="331">
        <f>$D$5*Input_Forecasts!C15</f>
        <v>0.55618982029144048</v>
      </c>
    </row>
    <row r="17" spans="1:5">
      <c r="A17" s="52">
        <f t="shared" si="0"/>
        <v>2031</v>
      </c>
      <c r="B17" s="45">
        <f>Forecasts!G20</f>
        <v>1.1433177782559028</v>
      </c>
      <c r="C17" s="330">
        <f>Input_Forecasts!H16</f>
        <v>0.96568087025804306</v>
      </c>
      <c r="D17" s="45">
        <f t="shared" si="1"/>
        <v>0.71659363659833997</v>
      </c>
      <c r="E17" s="331">
        <f>$D$5*Input_Forecasts!C16</f>
        <v>0.51838729895196267</v>
      </c>
    </row>
    <row r="18" spans="1:5">
      <c r="A18" s="52">
        <f t="shared" si="0"/>
        <v>2032</v>
      </c>
      <c r="B18" s="45">
        <f>Forecasts!G21</f>
        <v>1.1596945714025966</v>
      </c>
      <c r="C18" s="330">
        <f>Input_Forecasts!H17</f>
        <v>0.96194105014690856</v>
      </c>
      <c r="D18" s="45">
        <f t="shared" si="1"/>
        <v>0.72404314283105076</v>
      </c>
      <c r="E18" s="331">
        <f>$D$5*Input_Forecasts!C17</f>
        <v>0.48058477761248497</v>
      </c>
    </row>
    <row r="19" spans="1:5">
      <c r="A19" s="52">
        <f t="shared" si="0"/>
        <v>2033</v>
      </c>
      <c r="B19" s="45">
        <f>Forecasts!G22</f>
        <v>1.1763068937239309</v>
      </c>
      <c r="C19" s="330">
        <f>Input_Forecasts!H18</f>
        <v>0.95821579836904203</v>
      </c>
      <c r="D19" s="45">
        <f t="shared" si="1"/>
        <v>0.73157074733570704</v>
      </c>
      <c r="E19" s="331">
        <f>$D$5*Input_Forecasts!C18</f>
        <v>0.44278225627300721</v>
      </c>
    </row>
    <row r="20" spans="1:5">
      <c r="A20" s="52">
        <f t="shared" si="0"/>
        <v>2034</v>
      </c>
      <c r="B20" s="45">
        <f>Forecasts!G23</f>
        <v>1.1931581479571149</v>
      </c>
      <c r="C20" s="330">
        <f>Input_Forecasts!H19</f>
        <v>0.95450492329169945</v>
      </c>
      <c r="D20" s="45">
        <f t="shared" si="1"/>
        <v>0.73917717256478177</v>
      </c>
      <c r="E20" s="331">
        <f>$D$5*Input_Forecasts!C19</f>
        <v>0.40497973493352946</v>
      </c>
    </row>
    <row r="21" spans="1:5">
      <c r="A21" s="52">
        <f t="shared" si="0"/>
        <v>2035</v>
      </c>
      <c r="B21" s="45">
        <f>Forecasts!G24</f>
        <v>1.2102517862479687</v>
      </c>
      <c r="C21" s="330">
        <f>Input_Forecasts!H20</f>
        <v>0.95080842542460886</v>
      </c>
      <c r="D21" s="45">
        <f t="shared" si="1"/>
        <v>0.74686329459629641</v>
      </c>
      <c r="E21" s="331">
        <f>$D$5*Input_Forecasts!C20</f>
        <v>0.36717721359405175</v>
      </c>
    </row>
    <row r="22" spans="1:5">
      <c r="A22" s="52">
        <f t="shared" si="0"/>
        <v>2036</v>
      </c>
      <c r="B22" s="45">
        <f>Forecasts!G25</f>
        <v>1.2275913108723551</v>
      </c>
      <c r="C22" s="330">
        <f>Input_Forecasts!H21</f>
        <v>0.94712630398145758</v>
      </c>
      <c r="D22" s="45">
        <f t="shared" si="1"/>
        <v>0.75462999969125033</v>
      </c>
      <c r="E22" s="331">
        <f>$D$5*Input_Forecasts!C21</f>
        <v>0.32937469225457405</v>
      </c>
    </row>
    <row r="23" spans="1:5">
      <c r="A23" s="52">
        <f t="shared" si="0"/>
        <v>2037</v>
      </c>
      <c r="B23" s="45">
        <f>Forecasts!G26</f>
        <v>1.2451802749682024</v>
      </c>
      <c r="C23" s="330">
        <f>Input_Forecasts!H22</f>
        <v>0.94345837224264217</v>
      </c>
      <c r="D23" s="45">
        <f t="shared" si="1"/>
        <v>0.76247803517523338</v>
      </c>
      <c r="E23" s="331">
        <f>$D$5*Input_Forecasts!C22</f>
        <v>0.2915721709150963</v>
      </c>
    </row>
    <row r="24" spans="1:5">
      <c r="A24" s="52">
        <f t="shared" si="0"/>
        <v>2038</v>
      </c>
      <c r="B24" s="45">
        <f>Forecasts!G27</f>
        <v>1.2630222832782885</v>
      </c>
      <c r="C24" s="330">
        <f>Input_Forecasts!H23</f>
        <v>0.93980463118687074</v>
      </c>
      <c r="D24" s="45">
        <f t="shared" si="1"/>
        <v>0.7704083051341637</v>
      </c>
      <c r="E24" s="331">
        <f>$D$5*Input_Forecasts!C23</f>
        <v>0.25376964957561859</v>
      </c>
    </row>
    <row r="25" spans="1:5">
      <c r="A25" s="52">
        <f t="shared" si="0"/>
        <v>2039</v>
      </c>
      <c r="B25" s="45">
        <f>Forecasts!G28</f>
        <v>1.2811209929039351</v>
      </c>
      <c r="C25" s="330">
        <f>Input_Forecasts!H24</f>
        <v>0.93616508050447989</v>
      </c>
      <c r="D25" s="45">
        <f t="shared" si="1"/>
        <v>0.77842172416503352</v>
      </c>
      <c r="E25" s="331">
        <f>$D$5*Input_Forecasts!C24</f>
        <v>0.21596712823614081</v>
      </c>
    </row>
    <row r="26" spans="1:5">
      <c r="A26" s="52">
        <f t="shared" si="0"/>
        <v>2040</v>
      </c>
      <c r="B26" s="45">
        <f>Forecasts!G29</f>
        <v>1.2994801140697796</v>
      </c>
      <c r="C26" s="330">
        <f>Input_Forecasts!H25</f>
        <v>0.93253971862223517</v>
      </c>
      <c r="D26" s="45">
        <f t="shared" si="1"/>
        <v>0.78651921750058906</v>
      </c>
      <c r="E26" s="331">
        <f>$D$5*Input_Forecasts!C25</f>
        <v>0.17816460689666311</v>
      </c>
    </row>
    <row r="27" spans="1:5">
      <c r="A27" s="52">
        <f t="shared" si="0"/>
        <v>2041</v>
      </c>
      <c r="B27" s="45">
        <f>Forecasts!G30</f>
        <v>1.3165312290755611</v>
      </c>
      <c r="C27" s="330">
        <f>Input_Forecasts!H26</f>
        <v>0.92892818469155725</v>
      </c>
      <c r="D27" s="45">
        <f t="shared" si="1"/>
        <v>0.79375352629242424</v>
      </c>
      <c r="E27" s="331">
        <f>$D$5*Input_Forecasts!C26</f>
        <v>0.16034814620699678</v>
      </c>
    </row>
    <row r="28" spans="1:5">
      <c r="A28" s="52">
        <f t="shared" si="0"/>
        <v>2042</v>
      </c>
      <c r="B28" s="45">
        <f>Forecasts!G31</f>
        <v>1.3338065346896915</v>
      </c>
      <c r="C28" s="330">
        <f>Input_Forecasts!H27</f>
        <v>0.92533083825668161</v>
      </c>
      <c r="D28" s="45">
        <f t="shared" si="1"/>
        <v>0.80105482219786062</v>
      </c>
      <c r="E28" s="331">
        <f>$D$5*Input_Forecasts!C27</f>
        <v>0.14253168551733048</v>
      </c>
    </row>
    <row r="29" spans="1:5">
      <c r="A29" s="52">
        <f t="shared" si="0"/>
        <v>2043</v>
      </c>
      <c r="B29" s="45">
        <f>Forecasts!G32</f>
        <v>1.3513089850686739</v>
      </c>
      <c r="C29" s="330">
        <f>Input_Forecasts!H28</f>
        <v>0.92174714525155155</v>
      </c>
      <c r="D29" s="45">
        <f t="shared" si="1"/>
        <v>0.80842331103099807</v>
      </c>
      <c r="E29" s="331">
        <f>$D$5*Input_Forecasts!C28</f>
        <v>0.12471522482766416</v>
      </c>
    </row>
    <row r="30" spans="1:5">
      <c r="A30" s="52">
        <f t="shared" si="0"/>
        <v>2044</v>
      </c>
      <c r="B30" s="45">
        <f>Forecasts!G33</f>
        <v>1.3690415733876737</v>
      </c>
      <c r="C30" s="330">
        <f>Input_Forecasts!H29</f>
        <v>0.91817763618440795</v>
      </c>
      <c r="D30" s="45">
        <f t="shared" si="1"/>
        <v>0.81586012822921783</v>
      </c>
      <c r="E30" s="331">
        <f>$D$5*Input_Forecasts!C29</f>
        <v>0.10689876413799787</v>
      </c>
    </row>
    <row r="31" spans="1:5">
      <c r="A31" s="52">
        <f t="shared" si="0"/>
        <v>2045</v>
      </c>
      <c r="B31" s="45">
        <f>Forecasts!G34</f>
        <v>1.3870073323571812</v>
      </c>
      <c r="C31" s="330">
        <f>Input_Forecasts!H30</f>
        <v>0.9146217827267924</v>
      </c>
      <c r="D31" s="45">
        <f t="shared" si="1"/>
        <v>0.82336548869312021</v>
      </c>
      <c r="E31" s="331">
        <f>$D$5*Input_Forecasts!C30</f>
        <v>8.9082303448331554E-2</v>
      </c>
    </row>
    <row r="33" spans="1:1">
      <c r="A33" t="s">
        <v>305</v>
      </c>
    </row>
  </sheetData>
  <mergeCells count="4">
    <mergeCell ref="A2:A4"/>
    <mergeCell ref="D2:E2"/>
    <mergeCell ref="B4:C4"/>
    <mergeCell ref="D4:E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981C8-B31C-4CD6-BED9-CC694DEA77B5}">
  <sheetPr>
    <tabColor rgb="FF00B0F0"/>
  </sheetPr>
  <dimension ref="A1:E9"/>
  <sheetViews>
    <sheetView workbookViewId="0">
      <selection activeCell="K21" sqref="K21"/>
    </sheetView>
  </sheetViews>
  <sheetFormatPr defaultRowHeight="15"/>
  <sheetData>
    <row r="1" spans="1:5">
      <c r="A1" t="s">
        <v>335</v>
      </c>
    </row>
    <row r="3" spans="1:5">
      <c r="B3" t="s">
        <v>304</v>
      </c>
    </row>
    <row r="4" spans="1:5">
      <c r="A4" t="s">
        <v>59</v>
      </c>
      <c r="B4" s="331">
        <v>0.64122784525988252</v>
      </c>
      <c r="E4" s="331"/>
    </row>
    <row r="5" spans="1:5">
      <c r="A5" t="s">
        <v>60</v>
      </c>
      <c r="B5" s="331">
        <v>1.9119354658852128E-3</v>
      </c>
    </row>
    <row r="6" spans="1:5">
      <c r="A6" t="s">
        <v>61</v>
      </c>
      <c r="B6" s="331">
        <v>5.90156328374791E-3</v>
      </c>
    </row>
    <row r="7" spans="1:5">
      <c r="A7" t="s">
        <v>68</v>
      </c>
      <c r="B7" s="331">
        <f>SUM(B4:B6)</f>
        <v>0.64904134400951563</v>
      </c>
    </row>
    <row r="9" spans="1:5">
      <c r="A9" t="s">
        <v>336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a6a9aea-fb0f-4ddd-aff8-712634b7d5fe" xsi:nil="true"/>
    <lcf76f155ced4ddcb4097134ff3c332f xmlns="da57bf1e-e8be-428a-98f6-61d2e91c4cae">
      <Terms xmlns="http://schemas.microsoft.com/office/infopath/2007/PartnerControls"/>
    </lcf76f155ced4ddcb4097134ff3c332f>
    <CheckInNotes xmlns="da57bf1e-e8be-428a-98f6-61d2e91c4ca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65377373E491046B04AA9A0BA7018B0" ma:contentTypeVersion="18" ma:contentTypeDescription="Create a new document." ma:contentTypeScope="" ma:versionID="b5c01bbb21b88f2d539c95bf5c38e841">
  <xsd:schema xmlns:xsd="http://www.w3.org/2001/XMLSchema" xmlns:xs="http://www.w3.org/2001/XMLSchema" xmlns:p="http://schemas.microsoft.com/office/2006/metadata/properties" xmlns:ns2="a9672bf0-41c1-4df4-be61-4b34b4fa2006" xmlns:ns3="da57bf1e-e8be-428a-98f6-61d2e91c4cae" xmlns:ns4="fa6a9aea-fb0f-4ddd-aff8-712634b7d5fe" targetNamespace="http://schemas.microsoft.com/office/2006/metadata/properties" ma:root="true" ma:fieldsID="d06e3518728ed02a84fab0480b064d34" ns2:_="" ns3:_="" ns4:_="">
    <xsd:import namespace="a9672bf0-41c1-4df4-be61-4b34b4fa2006"/>
    <xsd:import namespace="da57bf1e-e8be-428a-98f6-61d2e91c4cae"/>
    <xsd:import namespace="fa6a9aea-fb0f-4ddd-aff8-712634b7d5f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AutoKeyPoints" minOccurs="0"/>
                <xsd:element ref="ns3:MediaServiceKeyPoints" minOccurs="0"/>
                <xsd:element ref="ns3:MediaServiceGenerationTime" minOccurs="0"/>
                <xsd:element ref="ns3:MediaServiceEventHashCode" minOccurs="0"/>
                <xsd:element ref="ns3:lcf76f155ced4ddcb4097134ff3c332f" minOccurs="0"/>
                <xsd:element ref="ns4:TaxCatchAll" minOccurs="0"/>
                <xsd:element ref="ns3:MediaServiceDateTaken" minOccurs="0"/>
                <xsd:element ref="ns3:CheckInNotes" minOccurs="0"/>
                <xsd:element ref="ns3:MediaServiceObjectDetectorVersions"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672bf0-41c1-4df4-be61-4b34b4fa2006"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a57bf1e-e8be-428a-98f6-61d2e91c4ca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6856f2ee-118d-42e8-91de-064c9a66b685"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element name="CheckInNotes" ma:index="22" nillable="true" ma:displayName="Check In Notes" ma:format="Dropdown" ma:internalName="CheckInNotes">
      <xsd:simpleType>
        <xsd:restriction base="dms:Text">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6a9aea-fb0f-4ddd-aff8-712634b7d5fe"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57c43ba3-e373-4401-a0fd-b5ce433444d0}" ma:internalName="TaxCatchAll" ma:showField="CatchAllData" ma:web="a9672bf0-41c1-4df4-be61-4b34b4fa20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6212B0-06DD-4F46-B7B7-358020A15C10}">
  <ds:schemaRefs>
    <ds:schemaRef ds:uri="http://purl.org/dc/terms/"/>
    <ds:schemaRef ds:uri="http://schemas.microsoft.com/office/2006/documentManagement/types"/>
    <ds:schemaRef ds:uri="fa6a9aea-fb0f-4ddd-aff8-712634b7d5fe"/>
    <ds:schemaRef ds:uri="http://schemas.openxmlformats.org/package/2006/metadata/core-properties"/>
    <ds:schemaRef ds:uri="http://schemas.microsoft.com/office/infopath/2007/PartnerControls"/>
    <ds:schemaRef ds:uri="http://purl.org/dc/elements/1.1/"/>
    <ds:schemaRef ds:uri="da57bf1e-e8be-428a-98f6-61d2e91c4cae"/>
    <ds:schemaRef ds:uri="a9672bf0-41c1-4df4-be61-4b34b4fa2006"/>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6B97BF3A-2768-409C-BFB4-26E4ED4AD2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672bf0-41c1-4df4-be61-4b34b4fa2006"/>
    <ds:schemaRef ds:uri="da57bf1e-e8be-428a-98f6-61d2e91c4cae"/>
    <ds:schemaRef ds:uri="fa6a9aea-fb0f-4ddd-aff8-712634b7d5f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0B55DB0-11D1-4AE9-97E0-E7A0E2266A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Notes</vt:lpstr>
      <vt:lpstr>Summary_Format</vt:lpstr>
      <vt:lpstr>Domestic Air</vt:lpstr>
      <vt:lpstr>ICF Data</vt:lpstr>
      <vt:lpstr>Forecasts</vt:lpstr>
      <vt:lpstr>ShrVisitorComputations</vt:lpstr>
      <vt:lpstr>Notes_Marine</vt:lpstr>
      <vt:lpstr>Marine_Forecast</vt:lpstr>
      <vt:lpstr>Base_Year</vt:lpstr>
      <vt:lpstr>Historicals</vt:lpstr>
      <vt:lpstr>Input_Forecasts</vt:lpstr>
      <vt:lpstr>ShrAirByVis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Pintz</dc:creator>
  <cp:keywords/>
  <dc:description/>
  <cp:lastModifiedBy>Cliche, Anna</cp:lastModifiedBy>
  <cp:revision/>
  <dcterms:created xsi:type="dcterms:W3CDTF">2012-03-04T20:35:26Z</dcterms:created>
  <dcterms:modified xsi:type="dcterms:W3CDTF">2025-01-21T16:11:40Z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0x010100265377373E491046B04AA9A0BA7018B0</vt:lpwstr>
  </property>
  <property fmtid="{D5CDD505-2E9C-101B-9397-08002B2CF9AE}" pid="3" name="MediaServiceImageTags">
    <vt:lpwstr/>
  </property>
</Properties>
</file>