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0.xml" ContentType="application/vnd.openxmlformats-officedocument.drawing+xml"/>
  <Override PartName="/xl/drawings/drawing9.xml" ContentType="application/vnd.openxmlformats-officedocument.drawing+xml"/>
  <Override PartName="/xl/charts/colors12.xml" ContentType="application/vnd.ms-office.chartcolorstyle+xml"/>
  <Override PartName="/xl/charts/style12.xml" ContentType="application/vnd.ms-office.chartstyle+xml"/>
  <Override PartName="/xl/charts/colors10.xml" ContentType="application/vnd.ms-office.chartcolorstyle+xml"/>
  <Override PartName="/xl/charts/style10.xml" ContentType="application/vnd.ms-office.chartstyle+xml"/>
  <Override PartName="/xl/charts/chart10.xml" ContentType="application/vnd.openxmlformats-officedocument.drawingml.chart+xml"/>
  <Override PartName="/xl/worksheets/sheet1.xml" ContentType="application/vnd.openxmlformats-officedocument.spreadsheetml.worksheet+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colors9.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style9.xml" ContentType="application/vnd.ms-office.chartstyle+xml"/>
  <Override PartName="/xl/charts/chart2.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charts/style2.xml" ContentType="application/vnd.ms-office.chartstyle+xml"/>
  <Override PartName="/xl/drawings/drawing4.xml" ContentType="application/vnd.openxmlformats-officedocument.drawing+xml"/>
  <Override PartName="/xl/charts/chart3.xml" ContentType="application/vnd.openxmlformats-officedocument.drawingml.chart+xml"/>
  <Override PartName="/xl/charts/style6.xml" ContentType="application/vnd.ms-office.chartstyle+xml"/>
  <Override PartName="/xl/charts/chart6.xml" ContentType="application/vnd.openxmlformats-officedocument.drawingml.chart+xml"/>
  <Override PartName="/xl/drawings/drawing5.xml" ContentType="application/vnd.openxmlformats-officedocument.drawing+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hart8.xml" ContentType="application/vnd.openxmlformats-officedocument.drawingml.chart+xml"/>
  <Override PartName="/xl/charts/colors7.xml" ContentType="application/vnd.ms-office.chartcolorstyle+xml"/>
  <Override PartName="/xl/charts/chart5.xml" ContentType="application/vnd.openxmlformats-officedocument.drawingml.chart+xml"/>
  <Override PartName="/xl/charts/colors2.xml" ContentType="application/vnd.ms-office.chartcolorstyle+xml"/>
  <Override PartName="/xl/charts/chart4.xml" ContentType="application/vnd.openxmlformats-officedocument.drawingml.chart+xml"/>
  <Override PartName="/xl/charts/colors3.xml" ContentType="application/vnd.ms-office.chartcolorstyle+xml"/>
  <Override PartName="/xl/charts/style4.xml" ContentType="application/vnd.ms-office.chartstyle+xml"/>
  <Override PartName="/xl/charts/colors4.xml" ContentType="application/vnd.ms-office.chartcolorstyle+xml"/>
  <Override PartName="/xl/charts/style3.xml" ContentType="application/vnd.ms-office.chartstyle+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S:\Risk\3751812 HDR\Secured Files\DELIVERABLES\2043\Appendix C - Supporting Engineering Analysis\"/>
    </mc:Choice>
  </mc:AlternateContent>
  <xr:revisionPtr revIDLastSave="0" documentId="13_ncr:8001_{6473220F-42D4-4E07-8A4F-0D64B74B84ED}" xr6:coauthVersionLast="37" xr6:coauthVersionMax="37" xr10:uidLastSave="{00000000-0000-0000-0000-000000000000}"/>
  <workbookProtection workbookAlgorithmName="SHA-512" workbookHashValue="pJ5/3egavhvhR0GwJW7bh8TaBahGq9ENNi45vakbehTeH9Lo+SBkcRlajmIkTEV8LMekHs6X6HXehBcRMGXBwg==" workbookSaltValue="Esu5LdKIAKCiCuP57k4p4g==" workbookSpinCount="100000" lockStructure="1"/>
  <bookViews>
    <workbookView xWindow="0" yWindow="0" windowWidth="15765" windowHeight="6315" tabRatio="904" xr2:uid="{00000000-000D-0000-FFFF-FFFF00000000}"/>
  </bookViews>
  <sheets>
    <sheet name="SummaryAllTanks" sheetId="25" r:id="rId1"/>
    <sheet name="NonInformativeGamma" sheetId="35" r:id="rId2"/>
    <sheet name="Navy UST Grid" sheetId="39" r:id="rId3"/>
    <sheet name="Navy UST Grid Large" sheetId="40" r:id="rId4"/>
    <sheet name="RedHill Release Incidents" sheetId="1" r:id="rId5"/>
    <sheet name="All_Tanks_RH" sheetId="31" r:id="rId6"/>
    <sheet name="ALL_Trend" sheetId="2" r:id="rId7"/>
    <sheet name="Trend_Operational" sheetId="41" r:id="rId8"/>
    <sheet name="RTS_Trend" sheetId="36" r:id="rId9"/>
    <sheet name="TT_Trend" sheetId="37" r:id="rId10"/>
    <sheet name="OP_Trend" sheetId="38" r:id="rId11"/>
    <sheet name="NavyBulkTank_SpillReleaseData" sheetId="23" r:id="rId12"/>
    <sheet name="OGP" sheetId="32" r:id="rId13"/>
    <sheet name="Verified Reports" sheetId="34" r:id="rId14"/>
    <sheet name="NUREG_OGP_Navy_RH" sheetId="33" r:id="rId15"/>
  </sheets>
  <definedNames>
    <definedName name="_xlnm._FilterDatabase" localSheetId="11" hidden="1">NavyBulkTank_SpillReleaseData!$A$1:$W$204</definedName>
    <definedName name="_xlnm._FilterDatabase" localSheetId="4" hidden="1">'RedHill Release Incidents'!$A$1:$AB$66</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83" i="1" l="1"/>
  <c r="I7" i="31" l="1"/>
  <c r="D17" i="40" l="1"/>
  <c r="D17" i="39"/>
  <c r="C17" i="39"/>
  <c r="K22" i="35"/>
  <c r="K21" i="35"/>
  <c r="H16" i="25"/>
  <c r="H15" i="25"/>
  <c r="D79" i="1" l="1"/>
  <c r="B42" i="31" l="1"/>
  <c r="F49" i="39" l="1"/>
  <c r="F25" i="39"/>
  <c r="I51" i="35"/>
  <c r="C6" i="41" l="1"/>
  <c r="C7" i="41"/>
  <c r="C8" i="41"/>
  <c r="C9" i="41"/>
  <c r="C10" i="41"/>
  <c r="C11" i="41"/>
  <c r="C12" i="41"/>
  <c r="C13" i="41"/>
  <c r="C14" i="41"/>
  <c r="C15" i="41"/>
  <c r="C16" i="41"/>
  <c r="C17" i="41"/>
  <c r="C18" i="41"/>
  <c r="C19" i="41"/>
  <c r="C20" i="41"/>
  <c r="C21" i="41"/>
  <c r="C22" i="41"/>
  <c r="C23" i="41"/>
  <c r="C24" i="41"/>
  <c r="C25" i="41"/>
  <c r="C26" i="41"/>
  <c r="C27" i="41"/>
  <c r="C28" i="41"/>
  <c r="C29" i="41"/>
  <c r="C30" i="41"/>
  <c r="C31" i="41"/>
  <c r="C32" i="41"/>
  <c r="C33" i="41"/>
  <c r="C34" i="41"/>
  <c r="C35" i="41"/>
  <c r="C36" i="41"/>
  <c r="C37" i="41"/>
  <c r="C38" i="41"/>
  <c r="C39" i="41"/>
  <c r="C40" i="41"/>
  <c r="C41" i="41"/>
  <c r="C42" i="41"/>
  <c r="C43" i="41"/>
  <c r="C44" i="41"/>
  <c r="C45" i="41"/>
  <c r="C46" i="41"/>
  <c r="C47" i="41"/>
  <c r="C48" i="41"/>
  <c r="C49" i="41"/>
  <c r="C50" i="41"/>
  <c r="C51" i="41"/>
  <c r="C52" i="41"/>
  <c r="C53" i="41"/>
  <c r="C54" i="41"/>
  <c r="C55" i="41"/>
  <c r="C56" i="41"/>
  <c r="C57" i="41"/>
  <c r="C58" i="41"/>
  <c r="C59" i="41"/>
  <c r="C60" i="41"/>
  <c r="C61" i="41"/>
  <c r="C62" i="41"/>
  <c r="C63" i="41"/>
  <c r="C64" i="41"/>
  <c r="C65" i="41"/>
  <c r="C66" i="41"/>
  <c r="C67" i="41"/>
  <c r="C68" i="41"/>
  <c r="C69" i="41"/>
  <c r="C70" i="41"/>
  <c r="C71" i="41"/>
  <c r="C72" i="41"/>
  <c r="C73" i="41"/>
  <c r="C74" i="41"/>
  <c r="C75" i="41"/>
  <c r="C5" i="41"/>
  <c r="K24" i="40"/>
  <c r="E61" i="41" l="1"/>
  <c r="H15" i="41" s="1"/>
  <c r="F51" i="41"/>
  <c r="H20" i="41" s="1"/>
  <c r="E31" i="41"/>
  <c r="H13" i="41" s="1"/>
  <c r="D75" i="41"/>
  <c r="H9" i="41" s="1"/>
  <c r="F75" i="41"/>
  <c r="H21" i="41" s="1"/>
  <c r="C76" i="41"/>
  <c r="D21" i="41"/>
  <c r="H3" i="41" s="1"/>
  <c r="D31" i="41"/>
  <c r="H4" i="41" s="1"/>
  <c r="E46" i="41"/>
  <c r="H14" i="41" s="1"/>
  <c r="D51" i="41"/>
  <c r="H6" i="41" s="1"/>
  <c r="D61" i="41"/>
  <c r="H7" i="41" s="1"/>
  <c r="E75" i="41"/>
  <c r="H16" i="41" s="1"/>
  <c r="D11" i="41"/>
  <c r="H2" i="41" s="1"/>
  <c r="E16" i="41"/>
  <c r="H12" i="41" s="1"/>
  <c r="F26" i="41"/>
  <c r="H19" i="41" s="1"/>
  <c r="D41" i="41"/>
  <c r="H5" i="41" s="1"/>
  <c r="D71" i="41"/>
  <c r="H8" i="41" s="1"/>
  <c r="H26" i="31" l="1"/>
  <c r="H25" i="31"/>
  <c r="H24" i="31"/>
  <c r="H23" i="31"/>
  <c r="H22" i="31"/>
  <c r="H21" i="31"/>
  <c r="H19" i="31"/>
  <c r="H18" i="31"/>
  <c r="H16" i="31"/>
  <c r="H15" i="31"/>
  <c r="H14" i="31"/>
  <c r="H13" i="31"/>
  <c r="H12" i="31"/>
  <c r="H11" i="31"/>
  <c r="H8" i="31"/>
  <c r="H7" i="31"/>
  <c r="I10" i="31"/>
  <c r="I12" i="31"/>
  <c r="I14" i="31"/>
  <c r="I16" i="31"/>
  <c r="I18" i="31"/>
  <c r="I20" i="31"/>
  <c r="I22" i="31"/>
  <c r="I24" i="31"/>
  <c r="I26" i="31"/>
  <c r="I25" i="31"/>
  <c r="I23" i="31"/>
  <c r="I21" i="31"/>
  <c r="I19" i="31"/>
  <c r="I17" i="31"/>
  <c r="I15" i="31"/>
  <c r="I13" i="31"/>
  <c r="I11" i="31"/>
  <c r="I9" i="31"/>
  <c r="I8" i="31"/>
  <c r="H27" i="31" l="1"/>
  <c r="C42" i="31" s="1"/>
  <c r="K24" i="39" l="1"/>
  <c r="K48" i="39" l="1"/>
  <c r="K47" i="39"/>
  <c r="K46" i="39"/>
  <c r="K45" i="39"/>
  <c r="K44" i="39"/>
  <c r="K43" i="39"/>
  <c r="K42" i="39"/>
  <c r="K41" i="39"/>
  <c r="K40" i="39"/>
  <c r="K39" i="39"/>
  <c r="K38" i="39"/>
  <c r="K37" i="39"/>
  <c r="K36" i="39"/>
  <c r="K35" i="39"/>
  <c r="K34" i="39"/>
  <c r="K33" i="39"/>
  <c r="K32" i="39"/>
  <c r="K31" i="39"/>
  <c r="K30" i="39"/>
  <c r="K29" i="39"/>
  <c r="B218" i="23"/>
  <c r="B219" i="23"/>
  <c r="B220" i="23"/>
  <c r="B221" i="23"/>
  <c r="B222" i="23"/>
  <c r="B223" i="23"/>
  <c r="B224" i="23"/>
  <c r="B217" i="23"/>
  <c r="N47" i="35"/>
  <c r="N33" i="35"/>
  <c r="N45" i="35"/>
  <c r="N39" i="35"/>
  <c r="N50" i="35"/>
  <c r="N49" i="35"/>
  <c r="N48" i="35"/>
  <c r="N46" i="35"/>
  <c r="N44" i="35"/>
  <c r="N43" i="35"/>
  <c r="N42" i="35"/>
  <c r="N41" i="35"/>
  <c r="N40" i="35"/>
  <c r="N38" i="35"/>
  <c r="N37" i="35"/>
  <c r="N36" i="35"/>
  <c r="N35" i="35"/>
  <c r="N34" i="35"/>
  <c r="N32" i="35"/>
  <c r="N31" i="35"/>
  <c r="C3" i="38" l="1"/>
  <c r="C4" i="38"/>
  <c r="C5" i="38"/>
  <c r="C6" i="38"/>
  <c r="C7" i="38"/>
  <c r="C8" i="38"/>
  <c r="C9" i="38"/>
  <c r="C10" i="38"/>
  <c r="C11" i="38"/>
  <c r="C12" i="38"/>
  <c r="C13" i="38"/>
  <c r="C14" i="38"/>
  <c r="C15" i="38"/>
  <c r="C16" i="38"/>
  <c r="C17" i="38"/>
  <c r="C18" i="38"/>
  <c r="C19" i="38"/>
  <c r="C20" i="38"/>
  <c r="C21" i="38"/>
  <c r="C22" i="38"/>
  <c r="C23" i="38"/>
  <c r="C24" i="38"/>
  <c r="C25" i="38"/>
  <c r="C26" i="38"/>
  <c r="C27" i="38"/>
  <c r="C28" i="38"/>
  <c r="C29" i="38"/>
  <c r="C30" i="38"/>
  <c r="C31" i="38"/>
  <c r="C32" i="38"/>
  <c r="C33" i="38"/>
  <c r="C34" i="38"/>
  <c r="C35" i="38"/>
  <c r="C36" i="38"/>
  <c r="C37" i="38"/>
  <c r="C38" i="38"/>
  <c r="C39" i="38"/>
  <c r="C40" i="38"/>
  <c r="C41" i="38"/>
  <c r="C42" i="38"/>
  <c r="C43" i="38"/>
  <c r="C44" i="38"/>
  <c r="C45" i="38"/>
  <c r="C46" i="38"/>
  <c r="C47" i="38"/>
  <c r="C48" i="38"/>
  <c r="C49" i="38"/>
  <c r="C50" i="38"/>
  <c r="C51" i="38"/>
  <c r="C52" i="38"/>
  <c r="C53" i="38"/>
  <c r="C54" i="38"/>
  <c r="C55" i="38"/>
  <c r="C56" i="38"/>
  <c r="C57" i="38"/>
  <c r="C58" i="38"/>
  <c r="C59" i="38"/>
  <c r="C60" i="38"/>
  <c r="C61" i="38"/>
  <c r="C62" i="38"/>
  <c r="C63" i="38"/>
  <c r="C64" i="38"/>
  <c r="C65" i="38"/>
  <c r="C66" i="38"/>
  <c r="C67" i="38"/>
  <c r="C68" i="38"/>
  <c r="C69" i="38"/>
  <c r="C70" i="38"/>
  <c r="C71" i="38"/>
  <c r="C72" i="38"/>
  <c r="C73" i="38"/>
  <c r="C74" i="38"/>
  <c r="C75" i="38"/>
  <c r="C2" i="38"/>
  <c r="C3" i="37"/>
  <c r="C4" i="37"/>
  <c r="C5" i="37"/>
  <c r="C6" i="37"/>
  <c r="C7" i="37"/>
  <c r="C8" i="37"/>
  <c r="C9" i="37"/>
  <c r="C10" i="37"/>
  <c r="C11" i="37"/>
  <c r="C12" i="37"/>
  <c r="C13" i="37"/>
  <c r="C14" i="37"/>
  <c r="C15" i="37"/>
  <c r="C16" i="37"/>
  <c r="C17" i="37"/>
  <c r="C18" i="37"/>
  <c r="C19" i="37"/>
  <c r="C20" i="37"/>
  <c r="C21" i="37"/>
  <c r="C22" i="37"/>
  <c r="C23" i="37"/>
  <c r="C24" i="37"/>
  <c r="C25" i="37"/>
  <c r="C26" i="37"/>
  <c r="C27" i="37"/>
  <c r="C28" i="37"/>
  <c r="C29" i="37"/>
  <c r="C30" i="37"/>
  <c r="C31" i="37"/>
  <c r="C32" i="37"/>
  <c r="C33" i="37"/>
  <c r="C34" i="37"/>
  <c r="C35" i="37"/>
  <c r="C36" i="37"/>
  <c r="C37" i="37"/>
  <c r="C38" i="37"/>
  <c r="C39" i="37"/>
  <c r="C40" i="37"/>
  <c r="C41" i="37"/>
  <c r="C42" i="37"/>
  <c r="C43" i="37"/>
  <c r="C44" i="37"/>
  <c r="C45" i="37"/>
  <c r="C46" i="37"/>
  <c r="C47" i="37"/>
  <c r="C48" i="37"/>
  <c r="C49" i="37"/>
  <c r="C50" i="37"/>
  <c r="C51" i="37"/>
  <c r="C52" i="37"/>
  <c r="C53" i="37"/>
  <c r="C54" i="37"/>
  <c r="C55" i="37"/>
  <c r="C56" i="37"/>
  <c r="C57" i="37"/>
  <c r="C58" i="37"/>
  <c r="C59" i="37"/>
  <c r="C60" i="37"/>
  <c r="C61" i="37"/>
  <c r="C62" i="37"/>
  <c r="C63" i="37"/>
  <c r="C64" i="37"/>
  <c r="C65" i="37"/>
  <c r="C66" i="37"/>
  <c r="C67" i="37"/>
  <c r="C68" i="37"/>
  <c r="C69" i="37"/>
  <c r="C70" i="37"/>
  <c r="C71" i="37"/>
  <c r="C72" i="37"/>
  <c r="C73" i="37"/>
  <c r="C74" i="37"/>
  <c r="C75" i="37"/>
  <c r="C2" i="37"/>
  <c r="C4" i="36"/>
  <c r="C3" i="36"/>
  <c r="C2"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5" i="36"/>
  <c r="H37" i="31"/>
  <c r="H36" i="31"/>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7" i="25"/>
  <c r="H36" i="25"/>
  <c r="H35" i="25"/>
  <c r="H34" i="25"/>
  <c r="H33" i="25"/>
  <c r="H32" i="25"/>
  <c r="H31" i="25"/>
  <c r="H30" i="25"/>
  <c r="H29" i="25"/>
  <c r="H28" i="25"/>
  <c r="H23" i="25"/>
  <c r="H22" i="25"/>
  <c r="H11" i="25"/>
  <c r="H10" i="25"/>
  <c r="AE89" i="1"/>
  <c r="AH84" i="1"/>
  <c r="AM82" i="1"/>
  <c r="AM81" i="1"/>
  <c r="AN76" i="1"/>
  <c r="AL76" i="1"/>
  <c r="AN78" i="1" s="1"/>
  <c r="AG76" i="1"/>
  <c r="AN75" i="1"/>
  <c r="AM75" i="1"/>
  <c r="AG75" i="1"/>
  <c r="AN74" i="1"/>
  <c r="AM74" i="1"/>
  <c r="AG74" i="1"/>
  <c r="AN73" i="1"/>
  <c r="AM73" i="1"/>
  <c r="AG73" i="1"/>
  <c r="AN72" i="1"/>
  <c r="AM72" i="1"/>
  <c r="AG72" i="1"/>
  <c r="AN71" i="1"/>
  <c r="AM71" i="1"/>
  <c r="AG71" i="1"/>
  <c r="AN70" i="1"/>
  <c r="AM70" i="1"/>
  <c r="AG70" i="1"/>
  <c r="AH90" i="1" l="1"/>
  <c r="AG77" i="1"/>
  <c r="C76" i="38"/>
  <c r="C76" i="36"/>
  <c r="C76" i="37"/>
  <c r="AM76" i="1"/>
  <c r="AM77" i="1" s="1"/>
  <c r="C117" i="34" l="1"/>
  <c r="P106" i="34"/>
  <c r="C105" i="34"/>
  <c r="O103" i="34"/>
  <c r="P100" i="34"/>
  <c r="O91" i="34"/>
  <c r="C73" i="34"/>
  <c r="O73" i="34" s="1"/>
  <c r="C67" i="34"/>
  <c r="O67" i="34" s="1"/>
  <c r="P64" i="34"/>
  <c r="C61" i="34"/>
  <c r="O61" i="34" s="1"/>
  <c r="P58" i="34"/>
  <c r="O55" i="34"/>
  <c r="C54" i="34"/>
  <c r="P46" i="34"/>
  <c r="O43" i="34"/>
  <c r="D34" i="34"/>
  <c r="P34" i="34" s="1"/>
  <c r="C33" i="34"/>
  <c r="O31" i="34"/>
  <c r="O19" i="34"/>
  <c r="D16" i="34"/>
  <c r="E15" i="34"/>
  <c r="D15" i="34"/>
  <c r="P10" i="34"/>
  <c r="F9" i="34"/>
  <c r="E9" i="34"/>
  <c r="C9" i="34"/>
  <c r="O7" i="34"/>
  <c r="O125" i="34" l="1"/>
  <c r="P125" i="34"/>
  <c r="G5" i="25"/>
  <c r="H5" i="25" s="1"/>
  <c r="G4" i="25"/>
  <c r="H4" i="25" s="1"/>
  <c r="B3" i="25"/>
  <c r="B5" i="25"/>
  <c r="C11" i="25" s="1"/>
  <c r="B4" i="25"/>
  <c r="C10" i="25" s="1"/>
  <c r="P8" i="1"/>
  <c r="D81" i="1"/>
  <c r="D75" i="1"/>
  <c r="L10" i="31"/>
  <c r="L14" i="31"/>
  <c r="L20" i="31"/>
  <c r="L24" i="31"/>
  <c r="L26" i="31"/>
  <c r="J10" i="31"/>
  <c r="J14" i="31"/>
  <c r="J20" i="31"/>
  <c r="J24" i="31"/>
  <c r="J26" i="31"/>
  <c r="D22" i="35" s="1"/>
  <c r="I23" i="1"/>
  <c r="D77" i="1"/>
  <c r="D50" i="35" l="1"/>
  <c r="D48" i="39"/>
  <c r="D44" i="35"/>
  <c r="D42" i="39"/>
  <c r="D34" i="35"/>
  <c r="D32" i="39"/>
  <c r="D48" i="35"/>
  <c r="D46" i="39"/>
  <c r="D38" i="35"/>
  <c r="D36" i="39"/>
  <c r="E66" i="25"/>
  <c r="E54" i="25"/>
  <c r="E34" i="25"/>
  <c r="E62" i="25"/>
  <c r="E42" i="25"/>
  <c r="F69" i="1"/>
  <c r="H69" i="1"/>
  <c r="P58" i="1"/>
  <c r="P57" i="1"/>
  <c r="P50" i="1"/>
  <c r="S50" i="1"/>
  <c r="L21" i="31" s="1"/>
  <c r="J21" i="31" l="1"/>
  <c r="D4" i="33"/>
  <c r="D3" i="33"/>
  <c r="D21" i="33"/>
  <c r="D20" i="33"/>
  <c r="E11" i="33"/>
  <c r="E10" i="33"/>
  <c r="E9" i="33"/>
  <c r="E8" i="33"/>
  <c r="E4" i="32"/>
  <c r="E5" i="32"/>
  <c r="J207" i="23"/>
  <c r="E23" i="25" s="1"/>
  <c r="J206" i="23"/>
  <c r="F207" i="23"/>
  <c r="F206" i="23"/>
  <c r="E22" i="25" l="1"/>
  <c r="D43" i="39"/>
  <c r="D45" i="35"/>
  <c r="E56" i="25"/>
  <c r="Q75" i="1"/>
  <c r="O76" i="1"/>
  <c r="O75" i="1"/>
  <c r="I40" i="1"/>
  <c r="I39" i="1"/>
  <c r="I38" i="1"/>
  <c r="I29" i="1"/>
  <c r="I24" i="1"/>
  <c r="I18" i="1"/>
  <c r="I16" i="1"/>
  <c r="I15" i="1"/>
  <c r="I14" i="1"/>
  <c r="I11" i="1"/>
  <c r="I10" i="1"/>
  <c r="I7" i="1"/>
  <c r="I4" i="1"/>
  <c r="I2" i="1"/>
  <c r="G60" i="1"/>
  <c r="G58" i="1"/>
  <c r="G57" i="1"/>
  <c r="G56" i="1"/>
  <c r="G55" i="1"/>
  <c r="G54" i="1"/>
  <c r="G49" i="1"/>
  <c r="G44" i="1"/>
  <c r="G45" i="1"/>
  <c r="G43" i="1"/>
  <c r="G35" i="1"/>
  <c r="G28" i="1"/>
  <c r="G27" i="1"/>
  <c r="G26" i="1"/>
  <c r="G25" i="1"/>
  <c r="G6" i="1"/>
  <c r="G5" i="1"/>
  <c r="C6" i="2" l="1"/>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D75" i="2" s="1"/>
  <c r="H9" i="2" s="1"/>
  <c r="C5" i="2"/>
  <c r="E75" i="2" l="1"/>
  <c r="H16" i="2" s="1"/>
  <c r="E46" i="2"/>
  <c r="H14" i="2" s="1"/>
  <c r="E16" i="2"/>
  <c r="H12" i="2" s="1"/>
  <c r="F26" i="2"/>
  <c r="F75" i="2"/>
  <c r="H21" i="2" s="1"/>
  <c r="E61" i="2"/>
  <c r="H15" i="2" s="1"/>
  <c r="F51" i="2"/>
  <c r="H20" i="2" s="1"/>
  <c r="E31" i="2"/>
  <c r="H13" i="2" s="1"/>
  <c r="D71" i="2"/>
  <c r="D61" i="2"/>
  <c r="D51" i="2"/>
  <c r="D41" i="2"/>
  <c r="D31" i="2"/>
  <c r="D21" i="2"/>
  <c r="D11" i="2"/>
  <c r="H2" i="2" s="1"/>
  <c r="H19" i="2"/>
  <c r="H8" i="2"/>
  <c r="H7" i="2"/>
  <c r="H6" i="2"/>
  <c r="H5" i="2"/>
  <c r="H4" i="2"/>
  <c r="H3" i="2"/>
  <c r="P3" i="1"/>
  <c r="P4" i="1"/>
  <c r="P5" i="1"/>
  <c r="P6" i="1"/>
  <c r="P7" i="1"/>
  <c r="P9" i="1"/>
  <c r="P10" i="1"/>
  <c r="P11" i="1"/>
  <c r="P12" i="1"/>
  <c r="P14" i="1"/>
  <c r="P15" i="1"/>
  <c r="P16" i="1"/>
  <c r="P17" i="1"/>
  <c r="P18" i="1"/>
  <c r="P19" i="1"/>
  <c r="P20" i="1"/>
  <c r="P21" i="1"/>
  <c r="P22" i="1"/>
  <c r="P23" i="1"/>
  <c r="P24" i="1"/>
  <c r="P25" i="1"/>
  <c r="P26" i="1"/>
  <c r="P27" i="1"/>
  <c r="P28" i="1"/>
  <c r="P29" i="1"/>
  <c r="P30" i="1"/>
  <c r="P31" i="1"/>
  <c r="P32" i="1"/>
  <c r="P33" i="1"/>
  <c r="P34" i="1"/>
  <c r="P35" i="1"/>
  <c r="P38" i="1"/>
  <c r="P39" i="1"/>
  <c r="P40" i="1"/>
  <c r="P36" i="1"/>
  <c r="P37" i="1"/>
  <c r="P41" i="1"/>
  <c r="P42" i="1"/>
  <c r="P46" i="1"/>
  <c r="P43" i="1"/>
  <c r="P45" i="1"/>
  <c r="P47" i="1"/>
  <c r="P44" i="1"/>
  <c r="P48" i="1"/>
  <c r="P49" i="1"/>
  <c r="P52" i="1"/>
  <c r="P54" i="1"/>
  <c r="P55" i="1"/>
  <c r="P56" i="1"/>
  <c r="P60" i="1"/>
  <c r="P61" i="1"/>
  <c r="P62" i="1"/>
  <c r="P66" i="1"/>
  <c r="P2" i="1"/>
  <c r="D76" i="1"/>
  <c r="S3" i="1"/>
  <c r="S4" i="1"/>
  <c r="S7" i="1"/>
  <c r="S9" i="1"/>
  <c r="S10" i="1"/>
  <c r="S11" i="1"/>
  <c r="S12" i="1"/>
  <c r="S14" i="1"/>
  <c r="L25" i="31" s="1"/>
  <c r="S15" i="1"/>
  <c r="S16" i="1"/>
  <c r="S17" i="1"/>
  <c r="S18" i="1"/>
  <c r="S19" i="1"/>
  <c r="S20" i="1"/>
  <c r="S21" i="1"/>
  <c r="S22" i="1"/>
  <c r="S23" i="1"/>
  <c r="S24" i="1"/>
  <c r="S29" i="1"/>
  <c r="S30" i="1"/>
  <c r="S31" i="1"/>
  <c r="S32" i="1"/>
  <c r="S33" i="1"/>
  <c r="S34" i="1"/>
  <c r="S38" i="1"/>
  <c r="S39" i="1"/>
  <c r="S40" i="1"/>
  <c r="S36" i="1"/>
  <c r="S37" i="1"/>
  <c r="L19" i="31" s="1"/>
  <c r="S41" i="1"/>
  <c r="S42" i="1"/>
  <c r="S46" i="1"/>
  <c r="S47" i="1"/>
  <c r="S48" i="1"/>
  <c r="S52" i="1"/>
  <c r="S61" i="1"/>
  <c r="S62" i="1"/>
  <c r="L12" i="31" s="1"/>
  <c r="S66" i="1"/>
  <c r="S2" i="1"/>
  <c r="S5" i="1"/>
  <c r="S60" i="1"/>
  <c r="S49" i="1"/>
  <c r="S45" i="1"/>
  <c r="L17" i="31" s="1"/>
  <c r="S44" i="1"/>
  <c r="S43" i="1"/>
  <c r="S6" i="1"/>
  <c r="L9" i="31" s="1"/>
  <c r="S56" i="1"/>
  <c r="S55" i="1"/>
  <c r="S54" i="1"/>
  <c r="S35" i="1"/>
  <c r="S28" i="1"/>
  <c r="S27" i="1"/>
  <c r="S26" i="1"/>
  <c r="S25" i="1"/>
  <c r="D82" i="1" l="1"/>
  <c r="L23" i="31"/>
  <c r="L22" i="31"/>
  <c r="L18" i="31"/>
  <c r="L16" i="31"/>
  <c r="L11" i="31"/>
  <c r="L7" i="31"/>
  <c r="L13" i="31"/>
  <c r="L15" i="31"/>
  <c r="L8" i="31"/>
  <c r="J9" i="31"/>
  <c r="J23" i="31"/>
  <c r="J18" i="31"/>
  <c r="J16" i="31"/>
  <c r="J25" i="31"/>
  <c r="J22" i="31"/>
  <c r="J17" i="31"/>
  <c r="J7" i="31"/>
  <c r="J12" i="31"/>
  <c r="J19" i="31"/>
  <c r="J13" i="31"/>
  <c r="J15" i="31"/>
  <c r="P75" i="1"/>
  <c r="D32" i="35" l="1"/>
  <c r="D30" i="39"/>
  <c r="D35" i="39"/>
  <c r="D37" i="35"/>
  <c r="D36" i="35"/>
  <c r="D34" i="39"/>
  <c r="D39" i="39"/>
  <c r="D41" i="35"/>
  <c r="D47" i="39"/>
  <c r="D49" i="35"/>
  <c r="D40" i="35"/>
  <c r="D38" i="39"/>
  <c r="D45" i="39"/>
  <c r="D47" i="35"/>
  <c r="D37" i="39"/>
  <c r="D39" i="35"/>
  <c r="D41" i="39"/>
  <c r="D43" i="35"/>
  <c r="D29" i="39"/>
  <c r="D31" i="35"/>
  <c r="D46" i="35"/>
  <c r="D44" i="39"/>
  <c r="D33" i="39"/>
  <c r="D35" i="35"/>
  <c r="D42" i="35"/>
  <c r="D40" i="39"/>
  <c r="D31" i="39"/>
  <c r="D33" i="35"/>
  <c r="E52" i="25"/>
  <c r="E28" i="25"/>
  <c r="E58" i="25"/>
  <c r="E50" i="25"/>
  <c r="E32" i="25"/>
  <c r="E44" i="25"/>
  <c r="E40" i="25"/>
  <c r="E38" i="25"/>
  <c r="E48" i="25"/>
  <c r="E64" i="25"/>
  <c r="E46" i="25"/>
  <c r="E60" i="25"/>
  <c r="J27" i="31"/>
  <c r="D24" i="39" l="1"/>
  <c r="D4" i="35"/>
  <c r="C1" i="31"/>
  <c r="E48" i="39" l="1"/>
  <c r="E50" i="35"/>
  <c r="H50" i="35" s="1"/>
  <c r="E47" i="39"/>
  <c r="E49" i="35"/>
  <c r="H49" i="35" s="1"/>
  <c r="E48" i="35"/>
  <c r="H48" i="35" s="1"/>
  <c r="E46" i="39"/>
  <c r="E45" i="39"/>
  <c r="E47" i="35"/>
  <c r="H47" i="35" s="1"/>
  <c r="E44" i="39"/>
  <c r="E46" i="35"/>
  <c r="H46" i="35" s="1"/>
  <c r="E45" i="35"/>
  <c r="H45" i="35" s="1"/>
  <c r="E43" i="39"/>
  <c r="E42" i="39"/>
  <c r="E44" i="35"/>
  <c r="H44" i="35" s="1"/>
  <c r="E41" i="39"/>
  <c r="E43" i="35"/>
  <c r="H43" i="35" s="1"/>
  <c r="E40" i="39"/>
  <c r="E42" i="35"/>
  <c r="H42" i="35" s="1"/>
  <c r="E41" i="35"/>
  <c r="H41" i="35" s="1"/>
  <c r="E39" i="39"/>
  <c r="E38" i="39"/>
  <c r="E40" i="35"/>
  <c r="H40" i="35" s="1"/>
  <c r="E39" i="35"/>
  <c r="H39" i="35" s="1"/>
  <c r="E37" i="39"/>
  <c r="E36" i="39"/>
  <c r="E38" i="35"/>
  <c r="H38" i="35" s="1"/>
  <c r="E35" i="39"/>
  <c r="E37" i="35"/>
  <c r="H37" i="35" s="1"/>
  <c r="E34" i="39"/>
  <c r="E36" i="35"/>
  <c r="H36" i="35" s="1"/>
  <c r="E35" i="35"/>
  <c r="H35" i="35" s="1"/>
  <c r="E33" i="39"/>
  <c r="E32" i="39"/>
  <c r="E34" i="35"/>
  <c r="H34" i="35" s="1"/>
  <c r="E31" i="39"/>
  <c r="E33" i="35"/>
  <c r="H33" i="35" s="1"/>
  <c r="E32" i="35"/>
  <c r="H32" i="35" s="1"/>
  <c r="E30" i="39"/>
  <c r="E29" i="39"/>
  <c r="E31" i="35"/>
  <c r="H31" i="35" s="1"/>
  <c r="K7" i="31"/>
  <c r="M7" i="31"/>
  <c r="M25" i="31"/>
  <c r="K25" i="31"/>
  <c r="M23" i="31"/>
  <c r="K23" i="31"/>
  <c r="M21" i="31"/>
  <c r="K21" i="31"/>
  <c r="M19" i="31"/>
  <c r="K19" i="31"/>
  <c r="M17" i="31"/>
  <c r="K17" i="31"/>
  <c r="M15" i="31"/>
  <c r="K15" i="31"/>
  <c r="K13" i="31"/>
  <c r="M13" i="31"/>
  <c r="K11" i="31"/>
  <c r="M11" i="31"/>
  <c r="M9" i="31"/>
  <c r="K9" i="31"/>
  <c r="K26" i="31"/>
  <c r="M26" i="31"/>
  <c r="M24" i="31"/>
  <c r="K24" i="31"/>
  <c r="K22" i="31"/>
  <c r="M22" i="31"/>
  <c r="K20" i="31"/>
  <c r="M20" i="31"/>
  <c r="M18" i="31"/>
  <c r="K18" i="31"/>
  <c r="M16" i="31"/>
  <c r="K16" i="31"/>
  <c r="M14" i="31"/>
  <c r="K14" i="31"/>
  <c r="M12" i="31"/>
  <c r="K12" i="31"/>
  <c r="M10" i="31"/>
  <c r="K10" i="31"/>
  <c r="K8" i="31"/>
  <c r="M8" i="31"/>
  <c r="F28" i="25"/>
  <c r="F60" i="25"/>
  <c r="F56" i="25"/>
  <c r="F48" i="25"/>
  <c r="F44" i="25"/>
  <c r="F36" i="25"/>
  <c r="F32" i="25"/>
  <c r="F66" i="25"/>
  <c r="F62" i="25"/>
  <c r="F58" i="25"/>
  <c r="F54" i="25"/>
  <c r="F50" i="25"/>
  <c r="F46" i="25"/>
  <c r="F42" i="25"/>
  <c r="F38" i="25"/>
  <c r="F34" i="25"/>
  <c r="F30" i="25"/>
  <c r="F64" i="25"/>
  <c r="F52" i="25"/>
  <c r="F40" i="25"/>
  <c r="D42" i="31"/>
  <c r="I27" i="31"/>
  <c r="J28" i="31" s="1"/>
  <c r="E24" i="40" l="1"/>
  <c r="H26" i="35"/>
  <c r="E24" i="39"/>
  <c r="E8" i="35"/>
  <c r="E4" i="35"/>
  <c r="G4" i="35" s="1"/>
  <c r="J29" i="31"/>
  <c r="F36" i="31"/>
  <c r="K27" i="31"/>
  <c r="K28" i="31" s="1"/>
  <c r="K29" i="31" s="1"/>
  <c r="M27" i="31"/>
  <c r="M28" i="31" s="1"/>
  <c r="M29" i="31" s="1"/>
  <c r="L27" i="31"/>
  <c r="L28" i="31" s="1"/>
  <c r="L29" i="31" s="1"/>
  <c r="W69" i="1" l="1"/>
  <c r="W68" i="1"/>
  <c r="M204" i="23"/>
  <c r="M203" i="23"/>
  <c r="H3" i="23"/>
  <c r="H4" i="23"/>
  <c r="H5" i="23"/>
  <c r="H6" i="23"/>
  <c r="H7" i="23"/>
  <c r="H8" i="23"/>
  <c r="H9" i="23"/>
  <c r="H10" i="23"/>
  <c r="H11" i="23"/>
  <c r="H12" i="23"/>
  <c r="H13" i="23"/>
  <c r="H14" i="23"/>
  <c r="H15" i="23"/>
  <c r="H16" i="23"/>
  <c r="C218" i="23" s="1"/>
  <c r="H17" i="23"/>
  <c r="H18" i="23"/>
  <c r="H19" i="23"/>
  <c r="H20" i="23"/>
  <c r="H21" i="23"/>
  <c r="H22" i="23"/>
  <c r="H23" i="23"/>
  <c r="H24" i="23"/>
  <c r="H25" i="23"/>
  <c r="H26" i="23"/>
  <c r="H27" i="23"/>
  <c r="H28" i="23"/>
  <c r="H29" i="23"/>
  <c r="H30" i="23"/>
  <c r="H31" i="23"/>
  <c r="H32" i="23"/>
  <c r="H33" i="23"/>
  <c r="H34" i="23"/>
  <c r="H35" i="23"/>
  <c r="H36" i="23"/>
  <c r="H37" i="23"/>
  <c r="H38" i="23"/>
  <c r="H39" i="23"/>
  <c r="H40" i="23"/>
  <c r="H41" i="23"/>
  <c r="H42" i="23"/>
  <c r="H43" i="23"/>
  <c r="H44" i="23"/>
  <c r="H45" i="23"/>
  <c r="H46" i="23"/>
  <c r="H47" i="23"/>
  <c r="H48" i="23"/>
  <c r="H49" i="23"/>
  <c r="H50" i="23"/>
  <c r="H51" i="23"/>
  <c r="H52" i="23"/>
  <c r="H53" i="23"/>
  <c r="H54" i="23"/>
  <c r="H55" i="23"/>
  <c r="H56" i="23"/>
  <c r="H57" i="23"/>
  <c r="H58" i="23"/>
  <c r="H59" i="23"/>
  <c r="H60" i="23"/>
  <c r="H61" i="23"/>
  <c r="H62" i="23"/>
  <c r="H63" i="23"/>
  <c r="H64" i="23"/>
  <c r="H65" i="23"/>
  <c r="H66" i="23"/>
  <c r="H67" i="23"/>
  <c r="H68" i="23"/>
  <c r="H69" i="23"/>
  <c r="H70" i="23"/>
  <c r="H71" i="23"/>
  <c r="H72" i="23"/>
  <c r="H73" i="23"/>
  <c r="H74" i="23"/>
  <c r="H75" i="23"/>
  <c r="H76" i="23"/>
  <c r="H77" i="23"/>
  <c r="H78" i="23"/>
  <c r="H79" i="23"/>
  <c r="H80" i="23"/>
  <c r="H81" i="23"/>
  <c r="H82" i="23"/>
  <c r="H83" i="23"/>
  <c r="H84" i="23"/>
  <c r="H85" i="23"/>
  <c r="H86" i="23"/>
  <c r="H87" i="23"/>
  <c r="H88" i="23"/>
  <c r="H89" i="23"/>
  <c r="H90" i="23"/>
  <c r="H91" i="23"/>
  <c r="H92" i="23"/>
  <c r="H93" i="23"/>
  <c r="H94" i="23"/>
  <c r="H95" i="23"/>
  <c r="H96" i="23"/>
  <c r="H97" i="23"/>
  <c r="H98" i="23"/>
  <c r="H99" i="23"/>
  <c r="H100" i="23"/>
  <c r="H101" i="23"/>
  <c r="H102" i="23"/>
  <c r="H103" i="23"/>
  <c r="H104" i="23"/>
  <c r="H105" i="23"/>
  <c r="H106" i="23"/>
  <c r="H107" i="23"/>
  <c r="H108" i="23"/>
  <c r="H109" i="23"/>
  <c r="H110" i="23"/>
  <c r="H111" i="23"/>
  <c r="H112" i="23"/>
  <c r="H113" i="23"/>
  <c r="H114" i="23"/>
  <c r="H115" i="23"/>
  <c r="H116" i="23"/>
  <c r="H117" i="23"/>
  <c r="H118" i="23"/>
  <c r="H119" i="23"/>
  <c r="H120" i="23"/>
  <c r="H121" i="23"/>
  <c r="H122" i="23"/>
  <c r="H123" i="23"/>
  <c r="H124" i="23"/>
  <c r="H125" i="23"/>
  <c r="H126" i="23"/>
  <c r="H127" i="23"/>
  <c r="H128" i="23"/>
  <c r="H129" i="23"/>
  <c r="H130" i="23"/>
  <c r="H131" i="23"/>
  <c r="H132" i="23"/>
  <c r="H133" i="23"/>
  <c r="H134" i="23"/>
  <c r="H135" i="23"/>
  <c r="H136" i="23"/>
  <c r="H137" i="23"/>
  <c r="H138" i="23"/>
  <c r="H139" i="23"/>
  <c r="H140" i="23"/>
  <c r="H141" i="23"/>
  <c r="H142" i="23"/>
  <c r="H143" i="23"/>
  <c r="H144" i="23"/>
  <c r="H145" i="23"/>
  <c r="H146" i="23"/>
  <c r="H147" i="23"/>
  <c r="H148" i="23"/>
  <c r="H149" i="23"/>
  <c r="H150" i="23"/>
  <c r="H151" i="23"/>
  <c r="H152" i="23"/>
  <c r="H153" i="23"/>
  <c r="H154" i="23"/>
  <c r="H155" i="23"/>
  <c r="H156" i="23"/>
  <c r="H157" i="23"/>
  <c r="H158" i="23"/>
  <c r="H159" i="23"/>
  <c r="H160" i="23"/>
  <c r="C223" i="23" s="1"/>
  <c r="H161" i="23"/>
  <c r="H162" i="23"/>
  <c r="H163" i="23"/>
  <c r="H164" i="23"/>
  <c r="H165" i="23"/>
  <c r="H166" i="23"/>
  <c r="H167" i="23"/>
  <c r="H168" i="23"/>
  <c r="H169" i="23"/>
  <c r="H170" i="23"/>
  <c r="H171" i="23"/>
  <c r="H172" i="23"/>
  <c r="H173" i="23"/>
  <c r="H174" i="23"/>
  <c r="H175" i="23"/>
  <c r="H176" i="23"/>
  <c r="H177" i="23"/>
  <c r="H178" i="23"/>
  <c r="H179" i="23"/>
  <c r="H180" i="23"/>
  <c r="H181" i="23"/>
  <c r="H182" i="23"/>
  <c r="H183" i="23"/>
  <c r="H184" i="23"/>
  <c r="H185" i="23"/>
  <c r="H186" i="23"/>
  <c r="H187" i="23"/>
  <c r="H188" i="23"/>
  <c r="H189" i="23"/>
  <c r="H190" i="23"/>
  <c r="H191" i="23"/>
  <c r="H192" i="23"/>
  <c r="H193" i="23"/>
  <c r="C224" i="23" s="1"/>
  <c r="H194" i="23"/>
  <c r="H195" i="23"/>
  <c r="H196" i="23"/>
  <c r="H197" i="23"/>
  <c r="H198" i="23"/>
  <c r="H199" i="23"/>
  <c r="H200" i="23"/>
  <c r="H201" i="23"/>
  <c r="H202" i="23"/>
  <c r="H2" i="23"/>
  <c r="H207" i="23" s="1"/>
  <c r="C219" i="23" l="1"/>
  <c r="C221" i="23"/>
  <c r="C217" i="23"/>
  <c r="C222" i="23"/>
  <c r="C220" i="23"/>
  <c r="H206" i="23"/>
  <c r="H203" i="23"/>
  <c r="H204" i="23" s="1"/>
  <c r="E9" i="35" l="1"/>
  <c r="J211" i="23"/>
  <c r="F23" i="25"/>
  <c r="F22" i="25"/>
  <c r="F37" i="31"/>
  <c r="J210" i="23"/>
  <c r="J209" i="23"/>
  <c r="J212" i="23"/>
  <c r="C105" i="1" l="1"/>
  <c r="C104" i="1"/>
  <c r="C103" i="1"/>
  <c r="C102" i="1"/>
  <c r="C101" i="1"/>
  <c r="C100" i="1"/>
  <c r="C99" i="1"/>
  <c r="C98" i="1"/>
  <c r="C97" i="1"/>
  <c r="C96" i="1"/>
  <c r="C95" i="1"/>
  <c r="C94" i="1"/>
  <c r="C93" i="1"/>
  <c r="C92" i="1"/>
  <c r="C91" i="1"/>
  <c r="C90" i="1"/>
  <c r="C89" i="1"/>
  <c r="C88" i="1"/>
  <c r="C87" i="1"/>
  <c r="C86" i="1"/>
  <c r="C106" i="1" l="1"/>
  <c r="C76" i="2"/>
  <c r="U69" i="1"/>
  <c r="U70" i="1" s="1"/>
  <c r="C69" i="1"/>
  <c r="C70" i="1" s="1"/>
</calcChain>
</file>

<file path=xl/sharedStrings.xml><?xml version="1.0" encoding="utf-8"?>
<sst xmlns="http://schemas.openxmlformats.org/spreadsheetml/2006/main" count="3305" uniqueCount="970">
  <si>
    <t>Date</t>
  </si>
  <si>
    <t>Tank</t>
  </si>
  <si>
    <t>Type</t>
  </si>
  <si>
    <t>Data Source</t>
  </si>
  <si>
    <t>Detection Method</t>
  </si>
  <si>
    <t>EPA-R09-UST-2015-0441-0559 (1).pdf</t>
  </si>
  <si>
    <t>telltale</t>
  </si>
  <si>
    <t>0.625 gallons / minute</t>
  </si>
  <si>
    <t xml:space="preserve">Telltale </t>
  </si>
  <si>
    <t>Mitigation</t>
  </si>
  <si>
    <t>1947 Oct.</t>
  </si>
  <si>
    <t>tank emptied</t>
  </si>
  <si>
    <t>1949 Dec.</t>
  </si>
  <si>
    <t>1953 Aug.</t>
  </si>
  <si>
    <t>Cause</t>
  </si>
  <si>
    <t>crack found in tank</t>
  </si>
  <si>
    <t>1954 May</t>
  </si>
  <si>
    <t>10 gallons in 7 hours</t>
  </si>
  <si>
    <t>1958 Apr.</t>
  </si>
  <si>
    <t>1964 Jan.</t>
  </si>
  <si>
    <t>dome section leak identified</t>
  </si>
  <si>
    <t>1964 Jun.</t>
  </si>
  <si>
    <t>weld leak discovered,</t>
  </si>
  <si>
    <t>5 mL/hr.</t>
  </si>
  <si>
    <t>1964 Aug.</t>
  </si>
  <si>
    <t>1 quart per 2.5 minutes</t>
  </si>
  <si>
    <t>1965 Mar.</t>
  </si>
  <si>
    <t>1 gallon per 1.25 hours</t>
  </si>
  <si>
    <t>1969 Jun.</t>
  </si>
  <si>
    <t>gallon per 1.5 minutes</t>
  </si>
  <si>
    <t>1970 Aug.</t>
  </si>
  <si>
    <t>over(Aug. 1970 and Apr. 1972)</t>
  </si>
  <si>
    <t>unexplained fuel drops</t>
  </si>
  <si>
    <t>1972 Feb.</t>
  </si>
  <si>
    <t>2 quarts per day</t>
  </si>
  <si>
    <t>1973 Jan.</t>
  </si>
  <si>
    <t>leak suspected</t>
  </si>
  <si>
    <t>1973 May</t>
  </si>
  <si>
    <t>1 drop per 20 seconds</t>
  </si>
  <si>
    <t>1973 Mar.</t>
  </si>
  <si>
    <t>suspected leak</t>
  </si>
  <si>
    <t>1973 Nov.</t>
  </si>
  <si>
    <t>1975 Jan.</t>
  </si>
  <si>
    <t>1975 May</t>
  </si>
  <si>
    <t>over(May 1975 and Aug. 1978)</t>
  </si>
  <si>
    <t>1976 Apr.</t>
  </si>
  <si>
    <t>1976 May</t>
  </si>
  <si>
    <t>reported as leaking</t>
  </si>
  <si>
    <t>1978 May</t>
  </si>
  <si>
    <t>significant telltale leak</t>
  </si>
  <si>
    <t>1978 Jul.</t>
  </si>
  <si>
    <t>4.5 to 17.9 gallons/day</t>
  </si>
  <si>
    <t>Leak test</t>
  </si>
  <si>
    <t>after the repair project</t>
  </si>
  <si>
    <t>no documentation of any actions taken to mitigate</t>
  </si>
  <si>
    <t>1980 Aug.</t>
  </si>
  <si>
    <t>emptied and repaired</t>
  </si>
  <si>
    <t>1981 Jan.</t>
  </si>
  <si>
    <t>severe leak near the top of the tank (between the 235- and 242-foot level)</t>
  </si>
  <si>
    <t>1981 Feb.</t>
  </si>
  <si>
    <t>1,440 gallons per day at the 100-foot level</t>
  </si>
  <si>
    <t>after repairs</t>
  </si>
  <si>
    <t>1981 Jul.</t>
  </si>
  <si>
    <t>leaking badly</t>
  </si>
  <si>
    <t>after tank repair and lining</t>
  </si>
  <si>
    <t>1981 Oct.</t>
  </si>
  <si>
    <t>after repairs and lining</t>
  </si>
  <si>
    <t>1982 July</t>
  </si>
  <si>
    <t>over (Jul. 1982 to Jan. 1983)</t>
  </si>
  <si>
    <t>drops in fuel level</t>
  </si>
  <si>
    <t>back seepage</t>
  </si>
  <si>
    <t>1998 Oct.</t>
  </si>
  <si>
    <t>71 gal/day (over 30.7 days)</t>
  </si>
  <si>
    <t>1999 Sep.</t>
  </si>
  <si>
    <t>steady stream</t>
  </si>
  <si>
    <t>Leak into Lower Access Tunnel</t>
  </si>
  <si>
    <t>2002 Apr.</t>
  </si>
  <si>
    <t>taken out of service after a confirmed release</t>
  </si>
  <si>
    <t>2014 Jan. 13</t>
  </si>
  <si>
    <t>fuel loss</t>
  </si>
  <si>
    <t>Total:</t>
  </si>
  <si>
    <t>Incidents</t>
  </si>
  <si>
    <t>Years</t>
  </si>
  <si>
    <t>Per Year:</t>
  </si>
  <si>
    <t>Inc. Count</t>
  </si>
  <si>
    <t>Total release (Gallons)</t>
  </si>
  <si>
    <t>Fuel transferred to other tanks</t>
  </si>
  <si>
    <t>After inspection (tests)</t>
  </si>
  <si>
    <t>DFM</t>
  </si>
  <si>
    <t>JP-5</t>
  </si>
  <si>
    <t xml:space="preserve">leaking badly </t>
  </si>
  <si>
    <t>Tank level drop; 
petroleum found under base of tank</t>
  </si>
  <si>
    <t>Tank 1</t>
  </si>
  <si>
    <t>Tank 3</t>
  </si>
  <si>
    <t>Tank 4</t>
  </si>
  <si>
    <t>Tank 5</t>
  </si>
  <si>
    <t>Tank 6</t>
  </si>
  <si>
    <t>Tank 7</t>
  </si>
  <si>
    <t>Tank 8</t>
  </si>
  <si>
    <t>Tank 9</t>
  </si>
  <si>
    <t>Tank 10</t>
  </si>
  <si>
    <t>Tank 11</t>
  </si>
  <si>
    <t>Tank 12</t>
  </si>
  <si>
    <t>Tank 13</t>
  </si>
  <si>
    <t>Tank 14</t>
  </si>
  <si>
    <t>Tank 15</t>
  </si>
  <si>
    <t>Tank 16</t>
  </si>
  <si>
    <t>Tank 17</t>
  </si>
  <si>
    <t>Tank 18</t>
  </si>
  <si>
    <t>Tank 19</t>
  </si>
  <si>
    <t>Tank 20</t>
  </si>
  <si>
    <t>Small</t>
  </si>
  <si>
    <t>Large</t>
  </si>
  <si>
    <t>Gamma</t>
  </si>
  <si>
    <t>5th</t>
  </si>
  <si>
    <t>95th</t>
  </si>
  <si>
    <t>Range Factor</t>
  </si>
  <si>
    <t>Alpha</t>
  </si>
  <si>
    <t>RM DIST.</t>
  </si>
  <si>
    <t>Distribution Type</t>
  </si>
  <si>
    <t>Median</t>
  </si>
  <si>
    <t>Failure Mode</t>
  </si>
  <si>
    <t>One-Stage Update</t>
  </si>
  <si>
    <t>Two-Stage Update</t>
  </si>
  <si>
    <t>No. Releases</t>
  </si>
  <si>
    <t xml:space="preserve">Tank 1 External Leak Small </t>
  </si>
  <si>
    <t>Tank 1 External Leak Large</t>
  </si>
  <si>
    <t xml:space="preserve">Tank 2 External Leak Small </t>
  </si>
  <si>
    <t>Tank 2 External Leak Large</t>
  </si>
  <si>
    <t xml:space="preserve">Tank 3 External Leak Small </t>
  </si>
  <si>
    <t>Tank 3 External Leak Large</t>
  </si>
  <si>
    <t xml:space="preserve">Tank 4 External Leak Small </t>
  </si>
  <si>
    <t>Tank 4 External Leak Large</t>
  </si>
  <si>
    <t>Tank 20 External Leak Large</t>
  </si>
  <si>
    <t xml:space="preserve">Tank 20 External Leak Small </t>
  </si>
  <si>
    <t>Tank 19 External Leak Large</t>
  </si>
  <si>
    <t xml:space="preserve">Tank 19 External Leak Small </t>
  </si>
  <si>
    <t>Tank 18 External Leak Large</t>
  </si>
  <si>
    <t xml:space="preserve">Tank 18 External Leak Small </t>
  </si>
  <si>
    <t>Tank 17 External Leak Large</t>
  </si>
  <si>
    <t xml:space="preserve">Tank 17 External Leak Small </t>
  </si>
  <si>
    <t>Tank 16 External Leak Large</t>
  </si>
  <si>
    <t xml:space="preserve">Tank 16 External Leak Small </t>
  </si>
  <si>
    <t>Tank 15 External Leak Large</t>
  </si>
  <si>
    <t xml:space="preserve">Tank 15 External Leak Small </t>
  </si>
  <si>
    <t>Tank 14 External Leak Large</t>
  </si>
  <si>
    <t xml:space="preserve">Tank 14 External Leak Small </t>
  </si>
  <si>
    <t>Tank 13 External Leak Large</t>
  </si>
  <si>
    <t xml:space="preserve">Tank 13 External Leak Small </t>
  </si>
  <si>
    <t>Tank 12 External Leak Large</t>
  </si>
  <si>
    <t xml:space="preserve">Tank 12 External Leak Small </t>
  </si>
  <si>
    <t>Tank 11 External Leak Large</t>
  </si>
  <si>
    <t xml:space="preserve">Tank 11 External Leak Small </t>
  </si>
  <si>
    <t>Tank 10 External Leak Large</t>
  </si>
  <si>
    <t xml:space="preserve">Tank 10 External Leak Small </t>
  </si>
  <si>
    <t>Tank 9 External Leak Large</t>
  </si>
  <si>
    <t xml:space="preserve">Tank 9 External Leak Small </t>
  </si>
  <si>
    <t>Tank 8 External Leak Large</t>
  </si>
  <si>
    <t xml:space="preserve">Tank 8 External Leak Small </t>
  </si>
  <si>
    <t>Tank 7 External Leak Large</t>
  </si>
  <si>
    <t>Tank 6 External Leak Large</t>
  </si>
  <si>
    <t xml:space="preserve">Tank 6 External Leak Small </t>
  </si>
  <si>
    <t>Tank 5 External Leak Large</t>
  </si>
  <si>
    <t xml:space="preserve">Tank 5 External Leak Small </t>
  </si>
  <si>
    <t xml:space="preserve">Tank 7 External Leak Small </t>
  </si>
  <si>
    <t>RH_Tank16_UnverifiedHistory.PDF
EPA-R09-UST-2015-0441-0559 (1).pdf</t>
  </si>
  <si>
    <t>RH_Tank09_UnverifiedHistory.PDF
EPA-R09-UST-2015-0441-0559 (1).pdf</t>
  </si>
  <si>
    <t xml:space="preserve">Tank Location </t>
  </si>
  <si>
    <t>Tank No.</t>
  </si>
  <si>
    <t>Nominal Capacity (gal)</t>
  </si>
  <si>
    <t>Nominal Capacity (Bbl)</t>
  </si>
  <si>
    <t>Product</t>
  </si>
  <si>
    <t>AST/UST</t>
  </si>
  <si>
    <t>Const Yr</t>
  </si>
  <si>
    <t>Shape &amp; Orientation</t>
  </si>
  <si>
    <t>Tank Dimensions (Diameter x Height)</t>
  </si>
  <si>
    <t>Tank Material</t>
  </si>
  <si>
    <t>Releases?</t>
  </si>
  <si>
    <t>Date of Release</t>
  </si>
  <si>
    <t>Reason for Release(s)</t>
  </si>
  <si>
    <t>Misc Notes</t>
  </si>
  <si>
    <t>Sasebo‐Akasaki</t>
  </si>
  <si>
    <t>2190‐2</t>
  </si>
  <si>
    <t>lube Oil</t>
  </si>
  <si>
    <t>AST</t>
  </si>
  <si>
    <t>Horizontal Cylindrical</t>
  </si>
  <si>
    <t>11.5' (D) x 37' (L)</t>
  </si>
  <si>
    <t>Double‐walled, Steel, welded</t>
  </si>
  <si>
    <t>2190‐1</t>
  </si>
  <si>
    <t>AS‐5 (Old: 6400501)</t>
  </si>
  <si>
    <t>Slop</t>
  </si>
  <si>
    <t>Vertical Cylindrical</t>
  </si>
  <si>
    <t>60' x 40'</t>
  </si>
  <si>
    <t>Steel, welded (field constructed)</t>
  </si>
  <si>
    <t>A‐1 (Old: 6400577)</t>
  </si>
  <si>
    <t>MOGAS</t>
  </si>
  <si>
    <t>51' x 45'</t>
  </si>
  <si>
    <t>A‐2 (Old: 6400578)</t>
  </si>
  <si>
    <t>F‐76</t>
  </si>
  <si>
    <t>133' x 65'</t>
  </si>
  <si>
    <t>A‐3 (Old: 6400579)</t>
  </si>
  <si>
    <t>JP‐5</t>
  </si>
  <si>
    <t>3 gal;20 gal</t>
  </si>
  <si>
    <t>4/25/1994; 05/11/1994</t>
  </si>
  <si>
    <t>Spill from cargo hose which was used to transfer from AS‐5 to AS‐3 from both events.</t>
  </si>
  <si>
    <t>A‐4 (Old: 6400591)</t>
  </si>
  <si>
    <t>UST</t>
  </si>
  <si>
    <t>155' x 40'</t>
  </si>
  <si>
    <t>Welded steel primary tank encase in concrete</t>
  </si>
  <si>
    <t>A‐5 (Old: 6400592)</t>
  </si>
  <si>
    <t>A‐6 (Old: 6400598)</t>
  </si>
  <si>
    <t>A‐7 (Old: 6400599)</t>
  </si>
  <si>
    <t>A‐8 (Old: 6400580)</t>
  </si>
  <si>
    <t>38' x 38.5'</t>
  </si>
  <si>
    <t>A‐9 (Old: 6400581)</t>
  </si>
  <si>
    <t>A‐10 (Old: 6400582)</t>
  </si>
  <si>
    <t>A‐12 (Old: 6400541)</t>
  </si>
  <si>
    <t>236' x 46'</t>
  </si>
  <si>
    <t>Double wall (cofferdam); Welded steel primary tank encase in concrete</t>
  </si>
  <si>
    <t>Sasebo‐Iorizaki</t>
  </si>
  <si>
    <t>I‐1 (Formerly 6300799)</t>
  </si>
  <si>
    <t>Square</t>
  </si>
  <si>
    <t>136.7' (W) x 439.8' (L) x 23.3' (H)</t>
  </si>
  <si>
    <t xml:space="preserve"> </t>
  </si>
  <si>
    <t>**New constr year dates after the secondary containment was put into these tanks.</t>
  </si>
  <si>
    <t>I‐2 (Formerly 6300803)</t>
  </si>
  <si>
    <t>190.3' (W) x 426.7' (L) x 27.3' (H)</t>
  </si>
  <si>
    <t>UST has concrete coffer dam secondary cont.</t>
  </si>
  <si>
    <t>I‐3 (Formerly 6300772)</t>
  </si>
  <si>
    <t>190.7' (W) x 426.7' (L) x 21.7' (H)</t>
  </si>
  <si>
    <t>I‐4 (Formerly 6300773)</t>
  </si>
  <si>
    <t>279.4' (W) x 397.2' (L) x 21.8' (H)</t>
  </si>
  <si>
    <t>I‐5 (Formerly M705)</t>
  </si>
  <si>
    <t>55' x 24'</t>
  </si>
  <si>
    <t>Site took tank of service on 2 /15/2016</t>
  </si>
  <si>
    <t>Sasebo‐Yokose</t>
  </si>
  <si>
    <t>YOK Tank Y‐1</t>
  </si>
  <si>
    <t>278.5' x 36.8'</t>
  </si>
  <si>
    <t>YOK Tank Y‐2</t>
  </si>
  <si>
    <t>278.5' x 36.7'</t>
  </si>
  <si>
    <t>Double wall (cofferdam); Welded steel</t>
  </si>
  <si>
    <t>Release of 30k gal in 2005; since this is a double walled tank, all released fuel was</t>
  </si>
  <si>
    <t>YOK Tank Y‐3</t>
  </si>
  <si>
    <t>YOK Tank Y‐4</t>
  </si>
  <si>
    <t>YOK Tank Y‐5</t>
  </si>
  <si>
    <t>YOK Tank Y‐6</t>
  </si>
  <si>
    <t>UST has concrete coffer dam secondary cont. 2/9/2012</t>
  </si>
  <si>
    <t>YOK Tank Y‐7</t>
  </si>
  <si>
    <t>YOK Tank Y‐8</t>
  </si>
  <si>
    <t>146.3' x 38.9'</t>
  </si>
  <si>
    <t>RTS 7/15/2015</t>
  </si>
  <si>
    <t>YOK Tank Y‐9</t>
  </si>
  <si>
    <t>55' x 25.4'</t>
  </si>
  <si>
    <t>Formerly Tank YS‐3</t>
  </si>
  <si>
    <t>YOK Tank Y‐10</t>
  </si>
  <si>
    <t>Formerly Tank YS‐5</t>
  </si>
  <si>
    <t>Hakozaki</t>
  </si>
  <si>
    <t>101 (Formerly 33)</t>
  </si>
  <si>
    <t>JP‐8</t>
  </si>
  <si>
    <t>125' x 95'</t>
  </si>
  <si>
    <t>Steel &amp; Coated</t>
  </si>
  <si>
    <t>170' x 83'</t>
  </si>
  <si>
    <t>103 (Formerly 36)</t>
  </si>
  <si>
    <t>F‐76 900 gals</t>
  </si>
  <si>
    <t>31‐Mar‐86</t>
  </si>
  <si>
    <t>CRACKS</t>
  </si>
  <si>
    <t>Double bottom installed in 1987, RTS 5/29/2015</t>
  </si>
  <si>
    <t>104 (Formerly 37)</t>
  </si>
  <si>
    <t>JP‐5 NO RECORD</t>
  </si>
  <si>
    <t>9‐Jan‐74</t>
  </si>
  <si>
    <t>Riveted joint</t>
  </si>
  <si>
    <t>Double bottom installed in 1985</t>
  </si>
  <si>
    <t>105 (Formerly 8600408</t>
  </si>
  <si>
    <t>156' x 78'</t>
  </si>
  <si>
    <t>106 (Formerly 40)</t>
  </si>
  <si>
    <t>F‐76 1,260 GALS</t>
  </si>
  <si>
    <t>12‐Aug‐85</t>
  </si>
  <si>
    <t>Holes</t>
  </si>
  <si>
    <t>Major renovations in 1980</t>
  </si>
  <si>
    <t>107 (Formerly 43)</t>
  </si>
  <si>
    <t>JP‐5 1,97 GALS</t>
  </si>
  <si>
    <t>21‐Apr‐82</t>
  </si>
  <si>
    <t>PIN HOLES IN LINING</t>
  </si>
  <si>
    <t>Major renovations in 1991</t>
  </si>
  <si>
    <t>108 (Formerly 44)</t>
  </si>
  <si>
    <t>104' x 93'</t>
  </si>
  <si>
    <t>F‐76 360 GALS</t>
  </si>
  <si>
    <t>21‐May‐81</t>
  </si>
  <si>
    <t>CRACKS IN WELDED SEAMS &amp; LINING</t>
  </si>
  <si>
    <t>Not suitable for service, repaired</t>
  </si>
  <si>
    <t>109 (Formerly 45)</t>
  </si>
  <si>
    <t>Major renovations in 1985</t>
  </si>
  <si>
    <t>110 (Formerly 46)</t>
  </si>
  <si>
    <t>JP‐4 NO RECORD</t>
  </si>
  <si>
    <t>25‐Aug‐74</t>
  </si>
  <si>
    <t>CRACKS (DURING FILL TEST )</t>
  </si>
  <si>
    <t>112 (Formerly 162)</t>
  </si>
  <si>
    <t>105' x 89'</t>
  </si>
  <si>
    <t>Double bottom installed in 1987</t>
  </si>
  <si>
    <t>113 (Formerly 161)</t>
  </si>
  <si>
    <t>105' x 88'</t>
  </si>
  <si>
    <t>Steel &amp; Coated, Courses 1‐5, 17 welded. Courses 5‐16 riveted</t>
  </si>
  <si>
    <t>Double bottom installed in 1987.</t>
  </si>
  <si>
    <t>114 (Formerly 157)</t>
  </si>
  <si>
    <t>90' x 37'</t>
  </si>
  <si>
    <t>115 (Formerly 155)</t>
  </si>
  <si>
    <t>117 (Formerly 8600337</t>
  </si>
  <si>
    <t>118 (Formerly 8600336</t>
  </si>
  <si>
    <t>Oily Water</t>
  </si>
  <si>
    <t>24' x 23'</t>
  </si>
  <si>
    <t>Product: Bottom Water, estimated RTS 10/9/2015</t>
  </si>
  <si>
    <t>6.2' x 24'</t>
  </si>
  <si>
    <t>to be replaced by FY20 MILCON, CFAY Gas Station.</t>
  </si>
  <si>
    <t>Diesel</t>
  </si>
  <si>
    <t>Kerosene</t>
  </si>
  <si>
    <t>Hrizontal Cylindrical</t>
  </si>
  <si>
    <t>48 (Formerly 25)</t>
  </si>
  <si>
    <t>20' x 30'</t>
  </si>
  <si>
    <t>expected RTS 10/9/2015</t>
  </si>
  <si>
    <t>49 (Formerly 27)</t>
  </si>
  <si>
    <t>50 (Formerly 29)</t>
  </si>
  <si>
    <t>23' x 30'</t>
  </si>
  <si>
    <t>51 (Formerly 21)</t>
  </si>
  <si>
    <t>Water</t>
  </si>
  <si>
    <t>30' x 30'</t>
  </si>
  <si>
    <t>52 (Formerly 22)</t>
  </si>
  <si>
    <t>53 (Formerly 23)</t>
  </si>
  <si>
    <t>54 (Formerly 24)</t>
  </si>
  <si>
    <t>55 (Formerly 26)</t>
  </si>
  <si>
    <t>56 (Formerly 28)</t>
  </si>
  <si>
    <t>58 (Formerly 31)</t>
  </si>
  <si>
    <t>63 (Formerly 232)</t>
  </si>
  <si>
    <t>33' x 24'</t>
  </si>
  <si>
    <t>64 (Formerly 233)</t>
  </si>
  <si>
    <t>65 (Formerly 231)</t>
  </si>
  <si>
    <t>Horizontal split tank</t>
  </si>
  <si>
    <t>11' x 48'</t>
  </si>
  <si>
    <t>NB Guam</t>
  </si>
  <si>
    <t>SAS Tank 1708A‐SV</t>
  </si>
  <si>
    <t>FSII</t>
  </si>
  <si>
    <t>10'6(D)x15'7"(L)</t>
  </si>
  <si>
    <t>Stainless Steel</t>
  </si>
  <si>
    <t>No</t>
  </si>
  <si>
    <t>Source: FSII completion report April 2013.</t>
  </si>
  <si>
    <t>SAS Tank 1708B‐SV</t>
  </si>
  <si>
    <t>10' (D)x 13'7" (L)</t>
  </si>
  <si>
    <t>SAS Tank B1</t>
  </si>
  <si>
    <t>FOR</t>
  </si>
  <si>
    <t>API 650 Steel</t>
  </si>
  <si>
    <t>Source: NBG SPCC Plan</t>
  </si>
  <si>
    <t>SAS Tank B2</t>
  </si>
  <si>
    <t>SAS Tank H2</t>
  </si>
  <si>
    <t>25' x 24'</t>
  </si>
  <si>
    <t>Source: API 653 OCT 2016</t>
  </si>
  <si>
    <t>SAS Tank L1</t>
  </si>
  <si>
    <t>SAS Tank R1</t>
  </si>
  <si>
    <t>15' x 16'</t>
  </si>
  <si>
    <t>Source: API 653 JUN 2013</t>
  </si>
  <si>
    <t>SAS Tank S1</t>
  </si>
  <si>
    <t>RME</t>
  </si>
  <si>
    <t>45' x 40'</t>
  </si>
  <si>
    <t>SAS Tank S2</t>
  </si>
  <si>
    <t>30' x 40'</t>
  </si>
  <si>
    <t>SAS Tank S3</t>
  </si>
  <si>
    <t xml:space="preserve">30' x 39'10" </t>
  </si>
  <si>
    <t>SAS Tank S4</t>
  </si>
  <si>
    <t>Source: API 2012</t>
  </si>
  <si>
    <t>SAS Tank S5</t>
  </si>
  <si>
    <t>Source: As Build DWG'</t>
  </si>
  <si>
    <t>SAS Tank U1</t>
  </si>
  <si>
    <t>122' x 24'</t>
  </si>
  <si>
    <t>Source: As Build DWG</t>
  </si>
  <si>
    <t>SAS Tank U10</t>
  </si>
  <si>
    <t>SAS Tank U11</t>
  </si>
  <si>
    <t>SAS Tank U12</t>
  </si>
  <si>
    <t>SAS Tank U13</t>
  </si>
  <si>
    <t>SAS Tank U14</t>
  </si>
  <si>
    <t>SAS Tank U15</t>
  </si>
  <si>
    <t>SAS Tank U16</t>
  </si>
  <si>
    <t>SAS Tank U17</t>
  </si>
  <si>
    <t>SAS Tank U18</t>
  </si>
  <si>
    <t>SAS Tank U19</t>
  </si>
  <si>
    <t>SAS Tank U2</t>
  </si>
  <si>
    <t>SAS Tank U20</t>
  </si>
  <si>
    <t>SAS Tank U3</t>
  </si>
  <si>
    <t>SAS Tank U4</t>
  </si>
  <si>
    <t>SAS Tank U5</t>
  </si>
  <si>
    <t>SAS Tank U6</t>
  </si>
  <si>
    <t>SAS Tank U7</t>
  </si>
  <si>
    <t>SAS Tank U8</t>
  </si>
  <si>
    <t>SAS Tank U9</t>
  </si>
  <si>
    <t>Maybe</t>
  </si>
  <si>
    <t>As of 08‐31‐2017, no known source of sheen seen on 11‐09‐2016. Under investigation.</t>
  </si>
  <si>
    <t>TEN Tank 28</t>
  </si>
  <si>
    <t>TEN Tank 29</t>
  </si>
  <si>
    <t>TEN Tank 31</t>
  </si>
  <si>
    <t>TEN Tank 33</t>
  </si>
  <si>
    <t>134' x 32'</t>
  </si>
  <si>
    <t>TEN Tank 34</t>
  </si>
  <si>
    <t>TEN Tank 35</t>
  </si>
  <si>
    <t>TEN Tank ST32</t>
  </si>
  <si>
    <t>TEN Tank U30</t>
  </si>
  <si>
    <t>FLC Puget Sound</t>
  </si>
  <si>
    <t>30' x 8'</t>
  </si>
  <si>
    <t>Steel</t>
  </si>
  <si>
    <t>35' x 15'</t>
  </si>
  <si>
    <t>Concrete</t>
  </si>
  <si>
    <t>F‐24</t>
  </si>
  <si>
    <t>122' x 36'</t>
  </si>
  <si>
    <t>120' x 44'</t>
  </si>
  <si>
    <t>100' x 20'</t>
  </si>
  <si>
    <t>30' x 41'</t>
  </si>
  <si>
    <t>70' x 41'</t>
  </si>
  <si>
    <t>10' x 30'</t>
  </si>
  <si>
    <t>10'6x24'</t>
  </si>
  <si>
    <t>120' x 25'</t>
  </si>
  <si>
    <t>Overfill March 1990, approximately 10,000 gallons</t>
  </si>
  <si>
    <t>Overfill February 1990, approximately 38,000 to 40,000 gallons</t>
  </si>
  <si>
    <t>NAS Lemoore</t>
  </si>
  <si>
    <t>LEM Tank 109</t>
  </si>
  <si>
    <t>Jet Fuel</t>
  </si>
  <si>
    <t>10' x 10' 4 7/8"</t>
  </si>
  <si>
    <t xml:space="preserve"> DoubleWalled, Fiberglass</t>
  </si>
  <si>
    <t>LEM Tank 764‐A</t>
  </si>
  <si>
    <t>10' x 8'</t>
  </si>
  <si>
    <t>DoubleWalled, Fiberglass</t>
  </si>
  <si>
    <t>LEM Tank 764‐B</t>
  </si>
  <si>
    <t>LEM Tank 96</t>
  </si>
  <si>
    <t xml:space="preserve">10' x 10' 4 7/8" </t>
  </si>
  <si>
    <t>LEM Tank 98</t>
  </si>
  <si>
    <t>Waste</t>
  </si>
  <si>
    <t xml:space="preserve">6' x 6'33 1/2" </t>
  </si>
  <si>
    <t>LEM Tank 99</t>
  </si>
  <si>
    <t>LEM Tank J‐1</t>
  </si>
  <si>
    <t>88' x 13'</t>
  </si>
  <si>
    <t>Single Wall, Steel in Concrete</t>
  </si>
  <si>
    <t>LEM Tank J‐10</t>
  </si>
  <si>
    <t xml:space="preserve">42' x 11' 6" </t>
  </si>
  <si>
    <t>LEM Tank J‐2</t>
  </si>
  <si>
    <t>LEM Tank J‐20</t>
  </si>
  <si>
    <t>LEM Tank J‐3</t>
  </si>
  <si>
    <t>LEM Tank J‐30</t>
  </si>
  <si>
    <t>LEM Tank J‐4</t>
  </si>
  <si>
    <t>LEM Tank J‐40</t>
  </si>
  <si>
    <t>LEM Tank J‐5</t>
  </si>
  <si>
    <t>LEM Tank J‐50</t>
  </si>
  <si>
    <t>LEM Tank J‐6</t>
  </si>
  <si>
    <t>Guantanamo Bay</t>
  </si>
  <si>
    <t>GBY Tank 1</t>
  </si>
  <si>
    <t>34'.1.5x8'.05"x8'.9.75"</t>
  </si>
  <si>
    <t>Convault Tank</t>
  </si>
  <si>
    <t>GBY Tank 1040‐1</t>
  </si>
  <si>
    <t>15'6x8'.05"x8'.9.75""</t>
  </si>
  <si>
    <t>GBY Tank 1040‐2</t>
  </si>
  <si>
    <t>GBY Tank 1040‐3</t>
  </si>
  <si>
    <t>GBY Tank 1040‐4</t>
  </si>
  <si>
    <t>GBY Tank 1321‐1</t>
  </si>
  <si>
    <t>GBY Tank 1321‐2</t>
  </si>
  <si>
    <t>GBY Tank 1321‐3</t>
  </si>
  <si>
    <t>GBY Tank 2</t>
  </si>
  <si>
    <t>GBY Tank 3</t>
  </si>
  <si>
    <t>GBY Tank 4</t>
  </si>
  <si>
    <t>GBY Tank 5</t>
  </si>
  <si>
    <t>GBY Tank 6</t>
  </si>
  <si>
    <t>GBY Tank 719B</t>
  </si>
  <si>
    <t>Unknown</t>
  </si>
  <si>
    <t>GBY Tank 126 (HV‐1)</t>
  </si>
  <si>
    <t>63' Dia</t>
  </si>
  <si>
    <t>Steel/Encase in concrete</t>
  </si>
  <si>
    <t>Yes</t>
  </si>
  <si>
    <t>23‐Aug‐12</t>
  </si>
  <si>
    <t xml:space="preserve">MOGAS Weeping from loose rivet. </t>
  </si>
  <si>
    <t>Demo</t>
  </si>
  <si>
    <t>GBY Tank 127 (HV‐2)</t>
  </si>
  <si>
    <t>Sch for Demo</t>
  </si>
  <si>
    <t>GBY Tank 527 (LP‐3)</t>
  </si>
  <si>
    <t>55' Dia</t>
  </si>
  <si>
    <t>GBY Tank 528 (LP‐4)</t>
  </si>
  <si>
    <t>GBY Tank 529</t>
  </si>
  <si>
    <t>GBY Tank 105</t>
  </si>
  <si>
    <t>139'6x138'10""</t>
  </si>
  <si>
    <t xml:space="preserve">23‐Jan‐02 </t>
  </si>
  <si>
    <t>Tank retrofitted with a new tank built inside of old tank</t>
  </si>
  <si>
    <t>GBY Tank 106</t>
  </si>
  <si>
    <t>GBY Tank 134 (HV‐9)</t>
  </si>
  <si>
    <t>100' Dia</t>
  </si>
  <si>
    <t>GBY Tank 154 (HV‐12)</t>
  </si>
  <si>
    <t>GBY Tank 156 (HV‐10)</t>
  </si>
  <si>
    <t>GBY Tank 602 (LP‐1)</t>
  </si>
  <si>
    <t>GBY Tank 603 (LP‐2)</t>
  </si>
  <si>
    <t>Tank Yrs</t>
  </si>
  <si>
    <t>Small Release (&lt;1000g)</t>
  </si>
  <si>
    <t>Large Release (&gt;1000g)</t>
  </si>
  <si>
    <t>Total Tank Yrs</t>
  </si>
  <si>
    <t>Total Tank Hrs</t>
  </si>
  <si>
    <t>Tank Years</t>
  </si>
  <si>
    <t>#</t>
  </si>
  <si>
    <t>Tanks:</t>
  </si>
  <si>
    <t>Tank 
Years</t>
  </si>
  <si>
    <t>End of Service
Year</t>
  </si>
  <si>
    <t>TT</t>
  </si>
  <si>
    <t>TELLTALE</t>
  </si>
  <si>
    <t>wo Telltale</t>
  </si>
  <si>
    <t>w Telltale</t>
  </si>
  <si>
    <t>!TT</t>
  </si>
  <si>
    <t>TIR</t>
  </si>
  <si>
    <t>Tank 1 - 20 Releases</t>
  </si>
  <si>
    <t># releases</t>
  </si>
  <si>
    <t>Probability</t>
  </si>
  <si>
    <t>Observed in Tank Mainteance project</t>
  </si>
  <si>
    <t xml:space="preserve">Look at Tank 7 Inspection report. </t>
  </si>
  <si>
    <t>Work on TellTale</t>
  </si>
  <si>
    <t>Probability of a Release Incident after a TRIM</t>
  </si>
  <si>
    <t>(1978/84)</t>
  </si>
  <si>
    <t># TRIMs</t>
  </si>
  <si>
    <t>Beta</t>
  </si>
  <si>
    <t>(1960/63)
(1978/84)</t>
  </si>
  <si>
    <t>(1960/63)</t>
  </si>
  <si>
    <t>(1971/73)
(1978/84)</t>
  </si>
  <si>
    <t>1964
(1971/73)</t>
  </si>
  <si>
    <t>Navy Bulk Tank Spill Releases Data</t>
  </si>
  <si>
    <t>Gamma Non-Informative Prior</t>
  </si>
  <si>
    <t>Events</t>
  </si>
  <si>
    <t>Source</t>
  </si>
  <si>
    <t>Red Hill</t>
  </si>
  <si>
    <t>NUREC CR 6928</t>
  </si>
  <si>
    <t>Tank #1 telltale pipe number 11 found to be leaking a steady stream into the Lower Access Tunnel. The pipe was capped to stop the leak (Whitacre, 2014b).</t>
  </si>
  <si>
    <t>Look at Tank 10 Inspection report From 1998</t>
  </si>
  <si>
    <t>Unverified - 
Quantity (gallons)</t>
  </si>
  <si>
    <t>Unverified - 
Rate</t>
  </si>
  <si>
    <t>Verified - 
Period (days)</t>
  </si>
  <si>
    <t>Verfied - 
Release (gals)</t>
  </si>
  <si>
    <t>Verified -
Tell-Tale (gals)</t>
  </si>
  <si>
    <t>Verfied - 
Type</t>
  </si>
  <si>
    <t>DO</t>
  </si>
  <si>
    <t>U/k</t>
  </si>
  <si>
    <t>Verified -
During Leak Test</t>
  </si>
  <si>
    <t>ND</t>
  </si>
  <si>
    <t>JP5</t>
  </si>
  <si>
    <t>Water/Fuel</t>
  </si>
  <si>
    <t>U/K</t>
  </si>
  <si>
    <t>Verified /
 Unverified</t>
  </si>
  <si>
    <t>V</t>
  </si>
  <si>
    <t>U</t>
  </si>
  <si>
    <t>1948 Jul.
1949</t>
  </si>
  <si>
    <t xml:space="preserve">after repairs when filled to 242-foot level. </t>
  </si>
  <si>
    <t>u/k</t>
  </si>
  <si>
    <t>Small &lt; 2(gph) /  Large &gt; 2(gph)</t>
  </si>
  <si>
    <t>19 
(During Maint.)</t>
  </si>
  <si>
    <t>12 
(Dome Section)</t>
  </si>
  <si>
    <t>Total Verified</t>
  </si>
  <si>
    <t>U 
(During Maint.)</t>
  </si>
  <si>
    <t>U 
(Dome Section)</t>
  </si>
  <si>
    <t>Incidents w.o. Tell-Tale</t>
  </si>
  <si>
    <t>Total Incidents</t>
  </si>
  <si>
    <t>!TT and !Test</t>
  </si>
  <si>
    <t>1
(Back Seapage)</t>
  </si>
  <si>
    <t>1
(Back Seepage)</t>
  </si>
  <si>
    <t>V
(Back Seapage)</t>
  </si>
  <si>
    <t>(Yes)</t>
  </si>
  <si>
    <t>(No)</t>
  </si>
  <si>
    <t>Notes</t>
  </si>
  <si>
    <t xml:space="preserve">All incidents, excluding back seepage, and found during maintenance </t>
  </si>
  <si>
    <t xml:space="preserve">All incidents from the verfied Navy list. </t>
  </si>
  <si>
    <t>incidents</t>
  </si>
  <si>
    <t>Decades</t>
  </si>
  <si>
    <t>25 Years</t>
  </si>
  <si>
    <t>Verified - 
Rate (gpm)</t>
  </si>
  <si>
    <t>Verified -
Tell-Tale Rate (gpm)</t>
  </si>
  <si>
    <t xml:space="preserve">Incidents from the unverified history files that were not corroborated by the Navy verified list. </t>
  </si>
  <si>
    <t>15 Years</t>
  </si>
  <si>
    <t>10 Years</t>
  </si>
  <si>
    <t>25 years</t>
  </si>
  <si>
    <t>1944-1958</t>
  </si>
  <si>
    <t>1944-1953</t>
  </si>
  <si>
    <t>1954-1963</t>
  </si>
  <si>
    <t>1964-1973</t>
  </si>
  <si>
    <t>1984-1993</t>
  </si>
  <si>
    <t>1974-1983</t>
  </si>
  <si>
    <t>1994-2003</t>
  </si>
  <si>
    <t>2004-2017</t>
  </si>
  <si>
    <t>2004-2013</t>
  </si>
  <si>
    <t>2014-2017</t>
  </si>
  <si>
    <t>1959-1973</t>
  </si>
  <si>
    <t>1974-1988</t>
  </si>
  <si>
    <t>1944-1968</t>
  </si>
  <si>
    <t>1969-1993</t>
  </si>
  <si>
    <t>1994-2017</t>
  </si>
  <si>
    <t>1989-2003</t>
  </si>
  <si>
    <t>Incidents without the tell-tale and includes occurrences during leak test. 
Small (&lt;2 gpm) releases w.o. Tell-Tale</t>
  </si>
  <si>
    <t>UST Years</t>
  </si>
  <si>
    <t xml:space="preserve">AST Years </t>
  </si>
  <si>
    <t>Large Lambda / hour</t>
  </si>
  <si>
    <t>Small Lambda / hour</t>
  </si>
  <si>
    <t>Small Lambda / Year</t>
  </si>
  <si>
    <t>Large Lambda / Year</t>
  </si>
  <si>
    <t>Leak Frequency
(per tank year)</t>
  </si>
  <si>
    <t xml:space="preserve">Liquid spill on roof </t>
  </si>
  <si>
    <t>Sunken roof</t>
  </si>
  <si>
    <t xml:space="preserve">Tank rupture </t>
  </si>
  <si>
    <t>Fixed/ floating roof</t>
  </si>
  <si>
    <t xml:space="preserve">Liquid spill outside tank </t>
  </si>
  <si>
    <t>Leak Frequency
(per hour)</t>
  </si>
  <si>
    <t>OGP (Atmospheric Storage Tanks,  Fixed/ floating roof)</t>
  </si>
  <si>
    <t>NavyBulkTank_SpillReleaseData  (UST)</t>
  </si>
  <si>
    <t>Floating roof</t>
  </si>
  <si>
    <t xml:space="preserve">
λ / yr</t>
  </si>
  <si>
    <t xml:space="preserve">
λ / hr</t>
  </si>
  <si>
    <t>Red Hill  (Small &lt; 2gpm)</t>
  </si>
  <si>
    <t>Small (&lt; 50 gpm)</t>
  </si>
  <si>
    <t>Large (&gt; 50 gpm)</t>
  </si>
  <si>
    <t>Small (&lt;1000 g)</t>
  </si>
  <si>
    <t>Large (&gt; 1000 g)</t>
  </si>
  <si>
    <t>Leak Type</t>
  </si>
  <si>
    <t>RH_Tank07_UnverifiedHistory.PDF
EPA-R09-UST-2015-0441-0559 (1).pdf
RedHill_Tank07Inspection Report_1998.pdf</t>
  </si>
  <si>
    <t>Small Release (&lt;2gpm)</t>
  </si>
  <si>
    <t>Large Release (&gt;2gpm)</t>
  </si>
  <si>
    <t>Evolution Type</t>
  </si>
  <si>
    <t>operating</t>
  </si>
  <si>
    <t>RTS</t>
  </si>
  <si>
    <r>
      <t xml:space="preserve">10,000 to 20,000 gallons
1,000 to 1,500 gallons per day
</t>
    </r>
    <r>
      <rPr>
        <b/>
        <sz val="11"/>
        <rFont val="Calibri"/>
        <family val="2"/>
        <scheme val="minor"/>
      </rPr>
      <t>other source has peak leak rate at 2412 gal/day while at 214'</t>
    </r>
  </si>
  <si>
    <r>
      <rPr>
        <b/>
        <sz val="11"/>
        <rFont val="Calibri"/>
        <family val="2"/>
        <scheme val="minor"/>
      </rPr>
      <t>leak occurred during refilling which began on 2/20/1980</t>
    </r>
    <r>
      <rPr>
        <sz val="11"/>
        <rFont val="Calibri"/>
        <family val="2"/>
        <scheme val="minor"/>
      </rPr>
      <t xml:space="preserve">  at 235' 609gal/day, rate dropped to&lt; 13 gallons per day below 207 foot fill level</t>
    </r>
  </si>
  <si>
    <t>1982 Feb</t>
  </si>
  <si>
    <t>maybe?</t>
  </si>
  <si>
    <t>1981 Sep</t>
  </si>
  <si>
    <t>Telltale</t>
  </si>
  <si>
    <t>OP</t>
  </si>
  <si>
    <t>RH_Tank16_UnverifiedHistory.PDF
EPA-R09-UST-2015-0441-0559 (1).pdf
Tank 16 API653 Final Inspection Report_2007.pdf 2007
RH_CompUnverLeakHistories_DEC17.xlsx</t>
  </si>
  <si>
    <t>RH_CompUnverLeakHistories_DEC17.xlsx</t>
  </si>
  <si>
    <t>RH_Tank16_UnverifiedHistory.PDF
EPA-R09-UST-2015-0441-0559 (1).pdf
RH_CompUnverLeakHistories_DEC17.xlsx</t>
  </si>
  <si>
    <t>RH_Tank09_UnverifiedHistory.PDF
EPA-R09-UST-2015-0441-0559 (1).pdf
RH_CompUnverLeakHistories_DEC17.xlsx</t>
  </si>
  <si>
    <t>RH_Tank16_UnverifiedHistory.PDF
EPA-R09-UST-2015-0441-0559 (1).pdf
RedHill_API653Report_tank16_jan07.pdf
RH_CompUnverLeakHistories_DEC17.xlsx</t>
  </si>
  <si>
    <t>RH_Tank07_UnverifiedHistory.PDF
EPA-R09-UST-2015-0441-0559 (1).pdf
RedHill_Tank07Inspection Report_1998.pdf
RH_CompUnverLeakHistories_DEC17.xlsx</t>
  </si>
  <si>
    <t xml:space="preserve">
RH_CompUnverLeakHistories_DEC17.xlsx</t>
  </si>
  <si>
    <r>
      <t xml:space="preserve">EPA-R09-UST-2015-0441-0559 (1).pdf
red-hill-aoc-press-release (1).pdf
</t>
    </r>
    <r>
      <rPr>
        <b/>
        <sz val="11"/>
        <color theme="1"/>
        <rFont val="Calibri"/>
        <family val="2"/>
        <scheme val="minor"/>
      </rPr>
      <t>Pearl Harbor Tank 0105 AFHE findings_02_6_2014_chronology.pdf
RH_CompUnverLeakHistories_DEC17.xlsx</t>
    </r>
  </si>
  <si>
    <t>U
(Don)</t>
  </si>
  <si>
    <t>Total Unverified (Included)</t>
  </si>
  <si>
    <t xml:space="preserve">Tank was removed from service for leak repairs. </t>
  </si>
  <si>
    <t>(!TT)</t>
  </si>
  <si>
    <t>Exclusions</t>
  </si>
  <si>
    <t>Filters</t>
  </si>
  <si>
    <t>TellTale</t>
  </si>
  <si>
    <t>Leaks detected during a RTS</t>
  </si>
  <si>
    <t>Summary</t>
  </si>
  <si>
    <t>Maintenance,
Leak Test with Water</t>
  </si>
  <si>
    <t>Small &lt; 2 gpm</t>
  </si>
  <si>
    <t>Tank 1 - 20 Releases  --  Large &gt; 2 gpm</t>
  </si>
  <si>
    <t>Failure experience was reviewed from a number of sources:</t>
  </si>
  <si>
    <t>• [3] includes 122 cases of atmospheric storage tank fires world-wide during 1965-89.</t>
  </si>
  <si>
    <t>• [4] lists 69 such events during 1981-96.</t>
  </si>
  <si>
    <t>• [5] lists 107 events during 1951-95 (see [1] App I).</t>
  </si>
  <si>
    <t>2.0 Summary of Recommended Data</t>
  </si>
  <si>
    <t>4.0 Review of Data Sources</t>
  </si>
  <si>
    <t>OGP 
Report No. 434 – 3
March 2010</t>
  </si>
  <si>
    <t>OGP - Report No. 434 – 3, March 2010</t>
  </si>
  <si>
    <t>Atmospheric Storage Tanks
Fixed/ floating roof</t>
  </si>
  <si>
    <t>Mean
(failures / Year)</t>
  </si>
  <si>
    <t>Generic Distribution from OGP - Report No. 434 – 3, In RISKMAN (Prior)</t>
  </si>
  <si>
    <t>OGPL</t>
  </si>
  <si>
    <t>OGPS</t>
  </si>
  <si>
    <t>NAVYS</t>
  </si>
  <si>
    <t>NAVYL</t>
  </si>
  <si>
    <t>Navy UST Large Releases</t>
  </si>
  <si>
    <t>Navy UST Small Releases</t>
  </si>
  <si>
    <t>RH1S</t>
  </si>
  <si>
    <t>RH1L</t>
  </si>
  <si>
    <t>RH2S</t>
  </si>
  <si>
    <t>RH2L</t>
  </si>
  <si>
    <t>RH3S</t>
  </si>
  <si>
    <t>RH3L</t>
  </si>
  <si>
    <t>RH4S</t>
  </si>
  <si>
    <t>RH4L</t>
  </si>
  <si>
    <t>RH5S</t>
  </si>
  <si>
    <t>RH5L</t>
  </si>
  <si>
    <t>RH6S</t>
  </si>
  <si>
    <t>RH6L</t>
  </si>
  <si>
    <t>RH7S</t>
  </si>
  <si>
    <t>RH7L</t>
  </si>
  <si>
    <t>RH8S</t>
  </si>
  <si>
    <t>RH8L</t>
  </si>
  <si>
    <t>RH9S</t>
  </si>
  <si>
    <t>RH9L</t>
  </si>
  <si>
    <t>RH10S</t>
  </si>
  <si>
    <t>RH10L</t>
  </si>
  <si>
    <t>RH20L</t>
  </si>
  <si>
    <t>RH20S</t>
  </si>
  <si>
    <t>RH19L</t>
  </si>
  <si>
    <t>RH19S</t>
  </si>
  <si>
    <t>RH11S</t>
  </si>
  <si>
    <t>RH11L</t>
  </si>
  <si>
    <t>RH12S</t>
  </si>
  <si>
    <t>RH12L</t>
  </si>
  <si>
    <t>RH13S</t>
  </si>
  <si>
    <t>RH13L</t>
  </si>
  <si>
    <t>RH14S</t>
  </si>
  <si>
    <t>RH14L</t>
  </si>
  <si>
    <t>RH15S</t>
  </si>
  <si>
    <t>RH15L</t>
  </si>
  <si>
    <t>RH16S</t>
  </si>
  <si>
    <t>RH16L</t>
  </si>
  <si>
    <t>RH17S</t>
  </si>
  <si>
    <t>RH17L</t>
  </si>
  <si>
    <t>RH18S</t>
  </si>
  <si>
    <t>RH18L</t>
  </si>
  <si>
    <t>Bayesian Update Using NavyBulkTank_SpillReleaseData In RISKMAN (7,050 tank years) UST</t>
  </si>
  <si>
    <t>Unverified Histories:  Releases Vs Tell-tales AND Verified Reporting: Since 1988</t>
  </si>
  <si>
    <t>**Note that the unverified histories seldom distinguish between leak tests conducted with fuel and water or controlled releases during leak tests vs UFMs, sample lines, and/or tell-tales.  Additional research through verified source documents is/and continues to occur to provide additional/proper context of releases in order to support current/future QRVA/RVAs.</t>
  </si>
  <si>
    <t>LeakTesting</t>
  </si>
  <si>
    <t>JP8</t>
  </si>
  <si>
    <t>Not Specified</t>
  </si>
  <si>
    <t>Tank 01</t>
  </si>
  <si>
    <t>Year ('XX)</t>
  </si>
  <si>
    <t>Release</t>
  </si>
  <si>
    <t>Tell-tale</t>
  </si>
  <si>
    <t>Period (days)</t>
  </si>
  <si>
    <t>Release (gals)</t>
  </si>
  <si>
    <t>Tell-tale (gals)</t>
  </si>
  <si>
    <t>Tank 02</t>
  </si>
  <si>
    <t>Tank 03</t>
  </si>
  <si>
    <t>Tank 04</t>
  </si>
  <si>
    <t>Tank 05</t>
  </si>
  <si>
    <t>Tank 06</t>
  </si>
  <si>
    <t>Tank 07</t>
  </si>
  <si>
    <t>Tank 08</t>
  </si>
  <si>
    <t>Tank 09</t>
  </si>
  <si>
    <t>Not mentioned in GPP</t>
  </si>
  <si>
    <t>Higher than GPP of 20,000</t>
  </si>
  <si>
    <t>Undefined in GPP</t>
  </si>
  <si>
    <t>98 release confirmed incorrect</t>
  </si>
  <si>
    <t>per referenced source doc.  No</t>
  </si>
  <si>
    <t>leaks documented in that report.</t>
  </si>
  <si>
    <t>NONIP</t>
  </si>
  <si>
    <r>
      <t xml:space="preserve">
EPA-R09-UST-2015-0441-0559 (1).pdf
</t>
    </r>
    <r>
      <rPr>
        <b/>
        <sz val="11"/>
        <rFont val="Calibri"/>
        <family val="2"/>
        <scheme val="minor"/>
      </rPr>
      <t>RedHill_API653Report_tank16_jan07.pdf
RH_CompUnverLeakHistories_DEC17.xlsx
Whitacre 2014a.pdf</t>
    </r>
  </si>
  <si>
    <t>RH_Tank19_UnverifiedHistory.PDF
EPA-R09-UST-2015-0441-0559 (1).pdf
RH_CompUnverLeakHistories_DEC17.xlsx
Whitacre 2014i.pdf</t>
  </si>
  <si>
    <t>EPA-R09-UST-2015-0441-0559 (1).pdf
RH_Tank01_UnverifiedHistory.PDF
RH_Tank02_UnverifiedHistory.PDF
RH_CompUnverLeakHistories_DEC17.xlsx
Whitacre 2014b.pdf</t>
  </si>
  <si>
    <t>RH_Tank01_UnverifiedHistory.PDF
EPA-R09-UST-2015-0441-0559 (1).pdf
RH_CompUnverLeakHistories_DEC17.xlsx
Whitacre 2014b.pdf</t>
  </si>
  <si>
    <t>RH_Tank05_UnverifiedHistory.PDF
EPA-R09-UST-2015-0441-0559 (1).pdf
RH_CompUnverLeakHistories_DEC17.xlsx
Whitacre 2014b.pdf</t>
  </si>
  <si>
    <t xml:space="preserve">
EPA-R09-UST-2015-0441-0559 (1).pdf
Whitacre 2014b.pdf</t>
  </si>
  <si>
    <t>RH_Tank10_UnverifiedHistory.PDF
EPA-R09-UST-2015-0441-0559 (1).pdf
RedHill_Tank10InspectionReport_1998.pdf
RH_CompUnverLeakHistories_DEC17.xlsx
Whitacre 2014d.pdf</t>
  </si>
  <si>
    <t>RH_Tank10_UnverifiedHistory.PDF
EPA-R09-UST-2015-0441-0559 (1).pdf
RedHill_Tank10InspectionReport_1998.pdf
Whitacre 2014d.pdf</t>
  </si>
  <si>
    <t>RH_CompUnverLeakHistories_DEC17.xlsx
Whitacre 2014d.pdf</t>
  </si>
  <si>
    <r>
      <t xml:space="preserve">RH_Tank10_UnverifiedHistory.PDF
EPA-R09-UST-2015-0441-0559 (1).pdf
</t>
    </r>
    <r>
      <rPr>
        <b/>
        <sz val="11"/>
        <color theme="1"/>
        <rFont val="Calibri"/>
        <family val="2"/>
        <scheme val="minor"/>
      </rPr>
      <t>RedHill_Tank10InspectionReport_1998.pdf
Whitacre 2014d.pdf</t>
    </r>
  </si>
  <si>
    <t>RH_Tank12_UnverifiedHistory.PDF
EPA-R09-UST-2015-0441-0559 (1).pdf
Whitacre 2014e.pdf</t>
  </si>
  <si>
    <t>RH_Tank13_UnverifiedHistory.PDF
EPA-R09-UST-2015-0441-0559 (1).pdf
Whitacre 2014e.pdf</t>
  </si>
  <si>
    <t>RH_Tank11_UnverifiedHistory.PDF
EPA-R09-UST-2015-0441-0559 (1).pdf
RH_CompUnverLeakHistories_DEC17.xlsx
Whitacre 2014e.pdf</t>
  </si>
  <si>
    <t>RH_Tank12_UnverifiedHistory.PDF
EPA-R09-UST-2015-0441-0559 (1).pdf
RH_CompUnverLeakHistories_DEC17.xlsx
Whitacre 2014e.pdf</t>
  </si>
  <si>
    <t>EPA-R09-UST-2015-0441-0559(1).pdf,
 BWS comments on AOC
Whitacre 2014e.pdf</t>
  </si>
  <si>
    <t>RH_Tank15_UnverifiedHistory.PDF
EPA-R09-UST-2015-0441-0559 (1).pdf
RH_CompUnverLeakHistories_DEC17.xlsx
API-653 Inspection Report-Tk15_2007.pdf
Whitacre 2014f.pdf</t>
  </si>
  <si>
    <t>EPA-R09-UST-2015-0441-0559(1).pdf, 
BWS comments on AOC
Whitacre 2014f.pdf</t>
  </si>
  <si>
    <t>RH_CompUnverLeakHistories_DEC17.xlsx
Whitacre 2014g.pdf</t>
  </si>
  <si>
    <t>RH_Tank17_UnverifiedHistory.PDF
EPA-R09-UST-2015-0441-0559 (1).pdf
RH_CompUnverLeakHistories_DEC17.xlsx
Whitacre 2014g.pdf</t>
  </si>
  <si>
    <t>RH_Tank02_UnverifiedHistory.PDF
EPA-R09-UST-2015-0441-0559 (1).pdf
RH_CompUnverLeakHistories_DEC17.xlsx
Whitacre 2014h.pdf</t>
  </si>
  <si>
    <t>RH_CompUnverLeakHistories_DEC17.xlsx
Whitacre 2014h.pdf</t>
  </si>
  <si>
    <t>EPA-R09-UST-2015-0441-0559 (1).pdf
RH_Tank02_UnverifiedHistory.PDF
RH_CompUnverLeakHistories_DEC17.xlsx
Whitacre 2014h.pdf</t>
  </si>
  <si>
    <t>RH_Tank05_UnverifiedHistory.PDF
Whitacre 2014h.pdf</t>
  </si>
  <si>
    <t>RH_Tank05_UnverifiedHistory.PDF
EPA-R09-UST-2015-0441-0559 (1).pdf
RH_CompUnverLeakHistories_DEC17.xlsx
Whitacre 2014h.pdf</t>
  </si>
  <si>
    <t xml:space="preserve">
EPA-R09-UST-2015-0441-0559 (1).pdf
Whitacre 2014i.pdf</t>
  </si>
  <si>
    <t>Tank 2</t>
  </si>
  <si>
    <t>Misreport of Tank 1 and 2 in EPA-R09-UST-2015-0441-0559 (1).pdf:
"Tanks #1 and #2 leaks reported (Whitacre, 2014b). Diesel oil draining from
Tank #1 telltale at a rate of 0.625 gallons per minute (Whitacre, 2014b)."
Witacre 2014b.pdf:
"The attached documents construction, repairs and historical releases for Red Hill Tank #1."</t>
  </si>
  <si>
    <t>Correct report for Tank 2:
"Tank #2 telltale leak of unknown severity noted; tank emptied (TEC, 2008;
Whitacre, 2014h)."</t>
  </si>
  <si>
    <t xml:space="preserve">
"Tank #16 telltale leak noted; tank emptied (TEC, 2008)."
"Tank #16 telltale leak. Level down 2.25-inches in 11 days (approximately
11,000 gallons lost) (TEC, 2008)."</t>
  </si>
  <si>
    <t>Extracts from  EPA-R09-UST-2015-0441-0559 (1).pdf:</t>
  </si>
  <si>
    <t>"Tank #16 was refilled and the level decreased 3.63-inches in about four
days, indicating a loss of about 18,000 gallons. No information was given as
to when the leakage was stopped (TEC, 2008)."</t>
  </si>
  <si>
    <t>"Tank #1 leak found on telltale number 7; crack found in tank (TEC, 2008;
Whitacre, 2014b)."</t>
  </si>
  <si>
    <t>BWS comments on AOC
Redhill_API653Report_Tank06_Jan07.pdf
Final API 653 Inspection Report-Tk 6_2007.pdf</t>
  </si>
  <si>
    <t>"Tank #2 second leak found. Reported leak rates of 3 pints in 2 hours and
10 gallons in 7 hours; no reported estimate of volume loss (Whitacre,
2014h)."</t>
  </si>
  <si>
    <t>"Tank #9 leaked approximately 1,500 gallons from telltale in the Apr. to May
timeframe (TEC, 2008)."</t>
  </si>
  <si>
    <t>"Tank #12 dome section leak identified; no evidence of corrosion on bottom
plates or piping (TEC, 2008; Whitacre, 2014e). Tank #11 found to be in
good condition, with no evidence of liner plate corrosion in bottom section
(Whitacre, 2014e)."</t>
  </si>
  <si>
    <t>RH_Tank12_UnverifiedHistory.PDF
EPA-R09-UST-2015-0441-0559 (1).pdf
Whitacre, 2014e</t>
  </si>
  <si>
    <t>"Tank #19 weld leak discovered (Whitacre, 2014i). The telltale leak was
estimated to be about 5 mL/hr. Other small holes discovered during
inspection were repaired (TEC, 2008; Whitacre, 2014i)."</t>
  </si>
  <si>
    <t>"Tank #1 leak discovered (1 quart per 2.5 minutes) (Whitacre, 2014b)."</t>
  </si>
  <si>
    <t>"Tank #5 exhibits suspected leak in telltale system (1 gallon per 1.25 hours);
tank was worked on intermittently for six months, but no leak found. It was
suspected that the leak “partially rusted over” (Whitacre, 2014h)."</t>
  </si>
  <si>
    <t>"Tank #17 reported as leaking about 1 gallon per 1.5 minutes based on
telltale. Fuel was transferred (TEC, 2008; Whitacre, 2014g)."</t>
  </si>
  <si>
    <t>"Tank #1 exhibited unexplained fuel drops amounting to 31,294 gallons
between Aug. 1970 and Apr. 1972 (TEC, 2008; Whitacre, 2014b)."</t>
  </si>
  <si>
    <t>"Tank #5 telltale leak at 2 quarts per day; response uncertain (TEC, 2008;
Whitacre, 2014h)."</t>
  </si>
  <si>
    <t>"Tank #10 leak suspected; tank emptied (TEC, 2008; Whitacre, 2014d)."</t>
  </si>
  <si>
    <t>"Tank #16 telltale leak of 1 drop per 20 seconds (TEC, 2008)."</t>
  </si>
  <si>
    <t>"Tank #12 emptied due to suspected leak (TEC, 2008)."</t>
  </si>
  <si>
    <t>"Tank #7 telltale leak (possibly only internal); tank emptied (TEC, 2008)."</t>
  </si>
  <si>
    <t>"Tank #16 was emptied (TEC, 2008). Tank #17 started leaking based on
telltale (Whitacre, 2014g)."</t>
  </si>
  <si>
    <t>"Tank #1 exhibited unexplained fuel drops amounting to 32,765 gallons
between May 1975 and Aug. 1978 (TEC, 2008; Whitacre, 2014b)."</t>
  </si>
  <si>
    <t>"Tank #10 was emptied and removed from service as a result of a leak
detected from telltale (TEC, 2008; Whitacre, 2014d)."</t>
  </si>
  <si>
    <t>"Tank #13 reported as leaking (TEC, 2008; Whitacre, 2014e)."</t>
  </si>
  <si>
    <t>"Tank #7 exhibits significant telltale leak; tank emptied (TEC, 2008; Whitacre,
2014c)."</t>
  </si>
  <si>
    <t>"Tank #9 repair performed from Jul. 1978 to Feb. 1981; telemetering system
installed. Leak test rates after the repair project were reported to range from
4.5 to 17.9 gallons/day; no documentation of any actions taken to mitigate
Tank #9 leak(s) (TEC, 2008)."</t>
  </si>
  <si>
    <t>"Tank #7 leak rate after filling measured, and approximately “6,505 gallons
leakage measured until rate dropped to&lt; 13 gallons per day below 207 foot
fill level” (TEC, 2008; Whitacre, 2014c)."</t>
  </si>
  <si>
    <t>"Tank #11 reported to be leaking 1,000 to 1,500 gallons per day according to
Whitacre (2014e) and 165 to 2,412 gallons per day (Anonymous, Undated).
Leak location determined to be at 51 feet from bottom of tank . Repairs
made. Based on these volumetric flow rates, fuel loss was estimated to be
between 10,000 to 20,000 gallons (TEC, 2008)."</t>
  </si>
  <si>
    <t>"Tank #16 was found to be leaking badly after repairs when filled to 242-foot
level (Anonymous, Undated)."</t>
  </si>
  <si>
    <t>"Tank #10 found to have a severe leak near the top of the tank (between the
235- and 242-foot level) during refill (TEC, 2008). Fuel ran out on the
concrete near the first platform on the stairway to top of dome; tank emptied
(TEC, 2008; Whitacre, 2014d)."</t>
  </si>
  <si>
    <t>"Tank #12 was found to be leaking at a rate of 1,440 gallons per day after
repairs at the 100-foot level (TEC, 2008; Whitacre, 2014e). Tank #12
returned to service after leak testing (Whitacre, 2014e)."</t>
  </si>
  <si>
    <t>"Tank #15 found to be leaking badly upon refilling after tank repair and lining
(TEC, 2008; Whitacre, 2014f)."  (1981 Jul)
"Tank #15 removed from service from Aug. to Oct. 1981. Following repair,
leak testing showed continued leaking; tank repaired again (TEC, 2008)."  (1981 Aug. )</t>
  </si>
  <si>
    <t>"Tank #13 returned to service after lining and repairs; leaks found above the
188-foot level and repaired (TEC, 2008; Whitacre, 2014e)."</t>
  </si>
  <si>
    <t>"Tank #14 removed from service for leak repairs (Whitacre, 2014f)."</t>
  </si>
  <si>
    <t>"Tank #1 estimated as having leaked 5,517 gallons from Jul. 1982 to Jan.
1983 based on drops in fuel level (TEC, 2008; Whitacre, 2014b)."</t>
  </si>
  <si>
    <t>"Tank #19 “back seepage” observed during tank maintenance project (TEC,
2008)."</t>
  </si>
  <si>
    <t>"Tank #16 experienced a loss of 1,469 gallons (71 gal/day) over 30.7 days
(Whitacre, 2014a). Cores removed from under the center of Tank #16 found
to smell of fuel and contain oily sludge-like material (Whitacre, 2014a).
Tank #16 emptied from Oct. to Nov. due to concerns over tank level drop;
petroleum found under base of tank (Whitacre, 2014a)."</t>
  </si>
  <si>
    <t>"Tank #1 telltale pipe number 11 found to be leaking a steady stream into the
Lower Access Tunnel. The pipe was capped to stop the leak (Whitacre,
2014b)."</t>
  </si>
  <si>
    <t>"Tank #6 taken out of service after a confirmed release (Sommer, 2002)."</t>
  </si>
  <si>
    <t>"Tank #5 back in service after routine scheduled maintenance, including
cleaning, inspecting, and repairing multiple sites within the tank (US EPA
and Hawaii DOH, 2015a)." (Dec 2014)
"Tank #5 fuel loss estimated as approximately 27,000 gallons in written
notification to Hawaii DOH (US EPA and Hawaii DOH, 2015a). Navy
increases tank monitoring frequency (US EPA and Hawaii DOH, 2015a)." (Jan 2014)</t>
  </si>
  <si>
    <t>λ /yr</t>
  </si>
  <si>
    <t>Mean / yr:</t>
  </si>
  <si>
    <t>Tank 10 events</t>
  </si>
  <si>
    <t>Tank 7 events</t>
  </si>
  <si>
    <t>gal per day</t>
  </si>
  <si>
    <t>days</t>
  </si>
  <si>
    <t>gallons leaked</t>
  </si>
  <si>
    <t>gpm</t>
  </si>
  <si>
    <t xml:space="preserve">sum = </t>
  </si>
  <si>
    <t>sum=</t>
  </si>
  <si>
    <t>total gallons leaked</t>
  </si>
  <si>
    <t xml:space="preserve">total days = </t>
  </si>
  <si>
    <t>7/22/1980 to 1/10/1981</t>
  </si>
  <si>
    <t>4/11/1980 to  7/22/1980</t>
  </si>
  <si>
    <t>2/20/1980 to 7/20/1980</t>
  </si>
  <si>
    <t>sum</t>
  </si>
  <si>
    <t xml:space="preserve">Leak incidents in the TellTale, during operation. </t>
  </si>
  <si>
    <t>U
(Suspected but not comfirmed)</t>
  </si>
  <si>
    <t xml:space="preserve">Due to incidents during maintenance, back seapage. Five Leak Incidents during test that included water. </t>
  </si>
  <si>
    <t>1 Incident / n Yrs</t>
  </si>
  <si>
    <t>1 Incident / 
n Yrs</t>
  </si>
  <si>
    <t>RHLALL</t>
  </si>
  <si>
    <t>NUREG</t>
  </si>
  <si>
    <t>RTS Count</t>
  </si>
  <si>
    <t>TT-OP Count</t>
  </si>
  <si>
    <t>OP - No TT Count</t>
  </si>
  <si>
    <t>Navy UST  --  Small &lt; 2 gpm</t>
  </si>
  <si>
    <t xml:space="preserve">Alpha </t>
  </si>
  <si>
    <t>10/7050</t>
  </si>
  <si>
    <t>0.5*(7050/10)</t>
  </si>
  <si>
    <t>µ</t>
  </si>
  <si>
    <t>Alpha / Beta = µ</t>
  </si>
  <si>
    <t>0.5+6</t>
  </si>
  <si>
    <t>352+72</t>
  </si>
  <si>
    <t>352+71</t>
  </si>
  <si>
    <t>0.5+1</t>
  </si>
  <si>
    <t>RH1SG</t>
  </si>
  <si>
    <t>RH2SG</t>
  </si>
  <si>
    <t>RH3SG</t>
  </si>
  <si>
    <t>RH4SG</t>
  </si>
  <si>
    <t>RH5SG</t>
  </si>
  <si>
    <t>RH6SG</t>
  </si>
  <si>
    <t>RH7SG</t>
  </si>
  <si>
    <t>RH8SG</t>
  </si>
  <si>
    <t>RH9SG</t>
  </si>
  <si>
    <t>RH10SG</t>
  </si>
  <si>
    <t>RH11SG</t>
  </si>
  <si>
    <t>RH12SG</t>
  </si>
  <si>
    <t>RH13SG</t>
  </si>
  <si>
    <t>RH14SG</t>
  </si>
  <si>
    <t>RH15SG</t>
  </si>
  <si>
    <t>RH16SG</t>
  </si>
  <si>
    <t>RH17SG</t>
  </si>
  <si>
    <t>RH18SG</t>
  </si>
  <si>
    <t>RH19SG</t>
  </si>
  <si>
    <t>RH20SG</t>
  </si>
  <si>
    <t>non-informative prior gamma  Red Hill Small &lt; 2 gpm (By Itself)</t>
  </si>
  <si>
    <t>All Red Hill Tanks  --  Small &lt; 2 gpm plus the Navy UST</t>
  </si>
  <si>
    <t xml:space="preserve">Non-Informative Gamma RedHill Specific Data for Tank 1 - 20 Plus Navy UST </t>
  </si>
  <si>
    <t>NAVYSG</t>
  </si>
  <si>
    <t>Release (Small &lt;2 gpm Larg &gt; 2gpm)</t>
  </si>
  <si>
    <t>Releases</t>
  </si>
  <si>
    <t>Low</t>
  </si>
  <si>
    <t>High</t>
  </si>
  <si>
    <t xml:space="preserve">Range </t>
  </si>
  <si>
    <t>Lambda</t>
  </si>
  <si>
    <t xml:space="preserve">Emperical </t>
  </si>
  <si>
    <t>Plant name</t>
  </si>
  <si>
    <t>NGRID</t>
  </si>
  <si>
    <t>Two Stage Prior</t>
  </si>
  <si>
    <t>RH1S2</t>
  </si>
  <si>
    <t>RH2S2</t>
  </si>
  <si>
    <t>RH3S2</t>
  </si>
  <si>
    <t>RH4S2</t>
  </si>
  <si>
    <t>RH5S2</t>
  </si>
  <si>
    <t>RH6S2</t>
  </si>
  <si>
    <t>RH7S2</t>
  </si>
  <si>
    <t>RH8S2</t>
  </si>
  <si>
    <t>RH9S2</t>
  </si>
  <si>
    <t>RH10S2</t>
  </si>
  <si>
    <t>RH11S2</t>
  </si>
  <si>
    <t>RH12S2</t>
  </si>
  <si>
    <t>RH13S2</t>
  </si>
  <si>
    <t>RH14S2</t>
  </si>
  <si>
    <t>RH15S2</t>
  </si>
  <si>
    <t>RH16S2</t>
  </si>
  <si>
    <t>RH17S2</t>
  </si>
  <si>
    <t>RH18S2</t>
  </si>
  <si>
    <t>RH19S2</t>
  </si>
  <si>
    <t>RH20S2</t>
  </si>
  <si>
    <t>Range 
Factor</t>
  </si>
  <si>
    <t>Height</t>
  </si>
  <si>
    <t>Liquid Level</t>
  </si>
  <si>
    <t>NOT PROVIDED</t>
  </si>
  <si>
    <t>230'-5-1/4" to 230'-2"</t>
  </si>
  <si>
    <t>230'-1" to 229'-1-7/8"</t>
  </si>
  <si>
    <t>230'-8-1/4" to 230'-4-5/8"</t>
  </si>
  <si>
    <t>230'-9-1/4" to 230'-0-1/4"</t>
  </si>
  <si>
    <t>189.989'  to 189.807'</t>
  </si>
  <si>
    <t>At 184.750' tank level stops dropping</t>
  </si>
  <si>
    <t>filled to capacity</t>
  </si>
  <si>
    <t>the current level of 51 feet and bottom of the tank</t>
  </si>
  <si>
    <t>229.990' to 229.853'
200.990' to 200.974'</t>
  </si>
  <si>
    <t>109.099' to 109.074'</t>
  </si>
  <si>
    <t>dropped to 207.0 feet</t>
  </si>
  <si>
    <t xml:space="preserve">Leak located between 239 ft. and 240 ft. level. </t>
  </si>
  <si>
    <t>235.0 ft. to 242.1 ft.
This leak could be  the same as in 1980</t>
  </si>
  <si>
    <t xml:space="preserve">Tank was refilled to 100" level and leaked at a rate of 1400 gallons per day. </t>
  </si>
  <si>
    <t>filled to 185' level and showed leakage</t>
  </si>
  <si>
    <t xml:space="preserve">Tank was filled and leaks above 188 foo level. </t>
  </si>
  <si>
    <t xml:space="preserve">229.852' to 229.728' </t>
  </si>
  <si>
    <t>230.107' to 230.170 for a gain of 1090.2 gal</t>
  </si>
  <si>
    <t>Multiple</t>
  </si>
  <si>
    <t xml:space="preserve">The outage periods and number of outages are detailed in the:
"ReturnToService_021218.XLSX" file. </t>
  </si>
  <si>
    <t>Telltale Work
Outage (Yrs)</t>
  </si>
  <si>
    <t>TIRM &amp; Repairs
Outage (Yrs)</t>
  </si>
  <si>
    <t># of 
Outages / RTS</t>
  </si>
  <si>
    <t>Start of Service
Year</t>
  </si>
  <si>
    <t>Second Stage Update Using RedHill Specific Data for Tank 1 - 20 (over  350,640 hours) (Posterior) Using NavyBulkTank_SpillReleaseData (NAVYS prior)</t>
  </si>
  <si>
    <t>352+45.4</t>
  </si>
  <si>
    <t>352+68.7</t>
  </si>
  <si>
    <t>352+71.7</t>
  </si>
  <si>
    <t>352+64.6</t>
  </si>
  <si>
    <t>352+64.2</t>
  </si>
  <si>
    <t>352+69.4</t>
  </si>
  <si>
    <t>352+70.6</t>
  </si>
  <si>
    <t>352+70.9</t>
  </si>
  <si>
    <t>352+64.8</t>
  </si>
  <si>
    <t>352+71.1</t>
  </si>
  <si>
    <t>352+64.5</t>
  </si>
  <si>
    <t>352+66</t>
  </si>
  <si>
    <t>352+71.9</t>
  </si>
  <si>
    <t>352+67.8</t>
  </si>
  <si>
    <t>352+68.4</t>
  </si>
  <si>
    <t>352+71.3</t>
  </si>
  <si>
    <t>352+33</t>
  </si>
  <si>
    <t>RHALLS</t>
  </si>
  <si>
    <t xml:space="preserve">Red Hill "ALL_Tank_RH" tab. </t>
  </si>
  <si>
    <t>RedHill Specific Data for Tank 1 - 20 Two-Stage Posterior (prior NGRID)</t>
  </si>
  <si>
    <t>NAVYLG</t>
  </si>
  <si>
    <t>8L7E-7</t>
  </si>
  <si>
    <t>RHLNG</t>
  </si>
  <si>
    <t>Two Stage Posterior</t>
  </si>
  <si>
    <t xml:space="preserve">2008 API 653 TRIM report indicates 2 holes that should be detected in the future. 
0.018" and 1/2" holes.  Please see "HolesDetectedDuringInspection_071918.xlsx" work book. </t>
  </si>
  <si>
    <t xml:space="preserve">2010 API 653 TRIM report indicates 1 hole that should be detected in the future. 
1/4" holes.  Please see "HolesDetectedDuringInspection_071918.xlsx" work book. </t>
  </si>
  <si>
    <t>2008 Oct.</t>
  </si>
  <si>
    <t>~200' - 210'</t>
  </si>
  <si>
    <t>API 653 Inspection</t>
  </si>
  <si>
    <t>2008 Oct 13_API 653 - Final Report_Red Hill Tank 2.pdf</t>
  </si>
  <si>
    <t>2010 Nov</t>
  </si>
  <si>
    <t>~191'</t>
  </si>
  <si>
    <t>RedHill_Tank05InspectionReport_18NOV10.pdf</t>
  </si>
  <si>
    <t>0.5+18</t>
  </si>
  <si>
    <t>0.5+2</t>
  </si>
  <si>
    <t>LTKS</t>
  </si>
  <si>
    <t>352+1315.6</t>
  </si>
  <si>
    <t xml:space="preserve">Two Stage Posterior </t>
  </si>
  <si>
    <t>Tank Description</t>
  </si>
  <si>
    <t>OGPS Updated with Red Hill data</t>
  </si>
  <si>
    <t>RHOGPS</t>
  </si>
  <si>
    <t>RHOGPL</t>
  </si>
  <si>
    <t>Small Tank Leaks</t>
  </si>
  <si>
    <t>Large Tank Leaks</t>
  </si>
  <si>
    <t>One-Stage Update
Prior OGPS</t>
  </si>
  <si>
    <t>One-Stage Update
Prior OGPL</t>
  </si>
  <si>
    <t>RHNGPR</t>
  </si>
  <si>
    <t>RHNVYL</t>
  </si>
  <si>
    <t xml:space="preserve">All Red Hill Tanks  --  Small &lt; 2 gpm Two-Stage Posterior </t>
  </si>
  <si>
    <t>One-Stage Update 
Prior NAVYSG</t>
  </si>
  <si>
    <t>All Red Hill Tanks  --  Small &gt; 1.5 gpm Two-Stage Posterior (prior NAVYLG)</t>
  </si>
  <si>
    <t>All Red Hill Tanks  --  Small &lt; 1.5 gpm Two-Stage Posterior (prior NGRID)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</si>
</sst>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
    <numFmt numFmtId="166" formatCode="#,##0.0"/>
    <numFmt numFmtId="167" formatCode="0.0"/>
  </numFmts>
  <fonts count="7"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2"/>
      <color theme="1"/>
      <name val="Calibri"/>
      <family val="2"/>
      <scheme val="minor"/>
    </font>
    <font>
      <i/>
      <sz val="11"/>
      <color theme="1"/>
      <name val="Calibri"/>
      <family val="2"/>
      <scheme val="minor"/>
    </font>
  </fonts>
  <fills count="2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rgb="FFBAE18F"/>
        <bgColor indexed="64"/>
      </patternFill>
    </fill>
    <fill>
      <patternFill patternType="solid">
        <fgColor rgb="FFD0EBB3"/>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FB05DE"/>
        <bgColor indexed="64"/>
      </patternFill>
    </fill>
    <fill>
      <patternFill patternType="solid">
        <fgColor rgb="FF00B050"/>
        <bgColor indexed="64"/>
      </patternFill>
    </fill>
    <fill>
      <patternFill patternType="solid">
        <fgColor theme="0"/>
        <bgColor indexed="64"/>
      </patternFill>
    </fill>
    <fill>
      <patternFill patternType="solid">
        <fgColor theme="9"/>
        <bgColor indexed="64"/>
      </patternFill>
    </fill>
    <fill>
      <patternFill patternType="solid">
        <fgColor rgb="FF00B0F0"/>
        <bgColor indexed="64"/>
      </patternFill>
    </fill>
    <fill>
      <patternFill patternType="lightGrid">
        <fgColor rgb="FF00B0F0"/>
        <bgColor theme="2" tint="-0.24994659260841701"/>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1"/>
        <bgColor indexed="64"/>
      </patternFill>
    </fill>
    <fill>
      <patternFill patternType="solid">
        <fgColor rgb="FFFFFF00"/>
        <bgColor indexed="64"/>
      </patternFill>
    </fill>
    <fill>
      <patternFill patternType="darkDown">
        <fgColor theme="5" tint="0.59996337778862885"/>
        <bgColor rgb="FFFF0000"/>
      </patternFill>
    </fill>
    <fill>
      <patternFill patternType="solid">
        <fgColor rgb="FFFF00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s>
  <cellStyleXfs count="1">
    <xf numFmtId="0" fontId="0" fillId="0" borderId="0"/>
  </cellStyleXfs>
  <cellXfs count="497">
    <xf numFmtId="0" fontId="0" fillId="0" borderId="0" xfId="0"/>
    <xf numFmtId="3" fontId="0" fillId="0" borderId="0" xfId="0" applyNumberFormat="1"/>
    <xf numFmtId="0" fontId="0" fillId="0" borderId="0" xfId="0" applyAlignment="1">
      <alignment horizontal="center"/>
    </xf>
    <xf numFmtId="0" fontId="1" fillId="0" borderId="0" xfId="0" applyFont="1"/>
    <xf numFmtId="0" fontId="0" fillId="0" borderId="0" xfId="0" applyAlignment="1">
      <alignment wrapText="1"/>
    </xf>
    <xf numFmtId="0" fontId="0" fillId="0" borderId="1" xfId="0" applyBorder="1"/>
    <xf numFmtId="0" fontId="0" fillId="0" borderId="1" xfId="0" applyBorder="1" applyAlignment="1">
      <alignment horizontal="center"/>
    </xf>
    <xf numFmtId="0" fontId="0" fillId="0" borderId="2" xfId="0" applyBorder="1"/>
    <xf numFmtId="3" fontId="0" fillId="0" borderId="6" xfId="0" applyNumberFormat="1" applyBorder="1"/>
    <xf numFmtId="0" fontId="0" fillId="0" borderId="8" xfId="0" applyBorder="1"/>
    <xf numFmtId="4" fontId="0" fillId="0" borderId="8" xfId="0" applyNumberFormat="1" applyBorder="1" applyAlignment="1">
      <alignment horizontal="center"/>
    </xf>
    <xf numFmtId="3" fontId="0" fillId="0" borderId="9" xfId="0" applyNumberFormat="1" applyBorder="1"/>
    <xf numFmtId="0" fontId="1" fillId="2" borderId="3" xfId="0" applyFont="1" applyFill="1" applyBorder="1"/>
    <xf numFmtId="3" fontId="1" fillId="2" borderId="4" xfId="0" applyNumberFormat="1" applyFont="1" applyFill="1" applyBorder="1"/>
    <xf numFmtId="0" fontId="1" fillId="2" borderId="5" xfId="0" applyFont="1" applyFill="1" applyBorder="1"/>
    <xf numFmtId="0" fontId="1" fillId="2" borderId="7" xfId="0" applyFont="1" applyFill="1" applyBorder="1"/>
    <xf numFmtId="0" fontId="1" fillId="2" borderId="0" xfId="0" applyFont="1" applyFill="1"/>
    <xf numFmtId="0" fontId="1" fillId="2" borderId="0" xfId="0" applyFont="1" applyFill="1" applyAlignment="1">
      <alignment wrapText="1"/>
    </xf>
    <xf numFmtId="3" fontId="0" fillId="0" borderId="0" xfId="0" applyNumberFormat="1" applyBorder="1"/>
    <xf numFmtId="0" fontId="0" fillId="0" borderId="1" xfId="0" applyBorder="1" applyAlignment="1">
      <alignment wrapText="1"/>
    </xf>
    <xf numFmtId="0" fontId="0" fillId="0" borderId="5" xfId="0" applyBorder="1"/>
    <xf numFmtId="0" fontId="0" fillId="0" borderId="6" xfId="0" applyBorder="1"/>
    <xf numFmtId="0" fontId="0" fillId="0" borderId="7" xfId="0" applyBorder="1"/>
    <xf numFmtId="0" fontId="0" fillId="0" borderId="8" xfId="0" applyBorder="1" applyAlignment="1">
      <alignment horizontal="center"/>
    </xf>
    <xf numFmtId="0" fontId="0" fillId="0" borderId="8" xfId="0" applyBorder="1" applyAlignment="1">
      <alignment wrapText="1"/>
    </xf>
    <xf numFmtId="0" fontId="0" fillId="0" borderId="9" xfId="0" applyBorder="1"/>
    <xf numFmtId="0" fontId="0" fillId="0" borderId="8" xfId="0" applyBorder="1" applyAlignment="1">
      <alignment horizontal="center" wrapText="1"/>
    </xf>
    <xf numFmtId="0" fontId="0" fillId="0" borderId="1" xfId="0" applyBorder="1" applyAlignment="1">
      <alignment horizontal="center" wrapText="1"/>
    </xf>
    <xf numFmtId="0" fontId="0" fillId="0" borderId="15" xfId="0" applyBorder="1"/>
    <xf numFmtId="11" fontId="0" fillId="0" borderId="1" xfId="0" applyNumberFormat="1" applyBorder="1" applyAlignment="1">
      <alignment horizontal="center"/>
    </xf>
    <xf numFmtId="11" fontId="0" fillId="0" borderId="1" xfId="0" applyNumberFormat="1" applyBorder="1" applyAlignment="1">
      <alignment horizontal="center" wrapText="1"/>
    </xf>
    <xf numFmtId="2" fontId="0" fillId="0" borderId="6" xfId="0" applyNumberFormat="1" applyBorder="1" applyAlignment="1">
      <alignment horizontal="center" wrapText="1"/>
    </xf>
    <xf numFmtId="11" fontId="0" fillId="0" borderId="8" xfId="0" applyNumberFormat="1" applyBorder="1" applyAlignment="1">
      <alignment horizontal="center"/>
    </xf>
    <xf numFmtId="11" fontId="0" fillId="0" borderId="8" xfId="0" applyNumberFormat="1" applyBorder="1" applyAlignment="1">
      <alignment horizontal="center" wrapText="1"/>
    </xf>
    <xf numFmtId="2" fontId="0" fillId="0" borderId="9" xfId="0" applyNumberFormat="1" applyBorder="1" applyAlignment="1">
      <alignment horizontal="center" wrapText="1"/>
    </xf>
    <xf numFmtId="0" fontId="0" fillId="3" borderId="1" xfId="0" applyFill="1" applyBorder="1" applyAlignment="1">
      <alignment wrapText="1"/>
    </xf>
    <xf numFmtId="0" fontId="0" fillId="3" borderId="8" xfId="0" applyFill="1" applyBorder="1" applyAlignment="1">
      <alignment wrapText="1"/>
    </xf>
    <xf numFmtId="0" fontId="1" fillId="3" borderId="1" xfId="0" applyFont="1" applyFill="1" applyBorder="1" applyAlignment="1">
      <alignment wrapText="1"/>
    </xf>
    <xf numFmtId="0" fontId="1" fillId="3" borderId="5" xfId="0" applyFont="1" applyFill="1" applyBorder="1"/>
    <xf numFmtId="0" fontId="1" fillId="3" borderId="1" xfId="0" applyFont="1" applyFill="1" applyBorder="1" applyAlignment="1"/>
    <xf numFmtId="0" fontId="1" fillId="3" borderId="1" xfId="0" applyFont="1" applyFill="1" applyBorder="1" applyAlignment="1">
      <alignment horizontal="center" wrapText="1"/>
    </xf>
    <xf numFmtId="0" fontId="1" fillId="3" borderId="6" xfId="0" applyFont="1" applyFill="1" applyBorder="1" applyAlignment="1">
      <alignment horizontal="center" wrapText="1"/>
    </xf>
    <xf numFmtId="0" fontId="1" fillId="2" borderId="1" xfId="0" applyFont="1" applyFill="1" applyBorder="1" applyAlignment="1"/>
    <xf numFmtId="0" fontId="1" fillId="2" borderId="1" xfId="0" applyFont="1" applyFill="1" applyBorder="1" applyAlignment="1">
      <alignment wrapText="1"/>
    </xf>
    <xf numFmtId="0" fontId="0" fillId="0" borderId="5" xfId="0" applyFill="1" applyBorder="1"/>
    <xf numFmtId="0" fontId="0" fillId="0" borderId="1" xfId="0" applyFill="1" applyBorder="1"/>
    <xf numFmtId="0" fontId="0" fillId="0" borderId="1" xfId="0" applyFill="1" applyBorder="1" applyAlignment="1">
      <alignment horizontal="center" wrapText="1"/>
    </xf>
    <xf numFmtId="0" fontId="0" fillId="0" borderId="0" xfId="0" applyBorder="1" applyAlignment="1">
      <alignment horizontal="center"/>
    </xf>
    <xf numFmtId="14" fontId="0" fillId="0" borderId="0" xfId="0" applyNumberFormat="1"/>
    <xf numFmtId="0" fontId="0" fillId="5" borderId="0" xfId="0" applyFill="1"/>
    <xf numFmtId="0" fontId="1" fillId="5" borderId="0" xfId="0" applyFont="1" applyFill="1"/>
    <xf numFmtId="3" fontId="1" fillId="5" borderId="0" xfId="0" applyNumberFormat="1" applyFont="1" applyFill="1"/>
    <xf numFmtId="0" fontId="1" fillId="5" borderId="0" xfId="0" applyFont="1" applyFill="1" applyAlignment="1">
      <alignment horizontal="right"/>
    </xf>
    <xf numFmtId="0" fontId="0" fillId="5" borderId="0" xfId="0" applyFill="1" applyAlignment="1">
      <alignment wrapText="1"/>
    </xf>
    <xf numFmtId="0" fontId="1" fillId="5" borderId="0" xfId="0" applyFont="1" applyFill="1" applyAlignment="1">
      <alignment wrapText="1"/>
    </xf>
    <xf numFmtId="0" fontId="0" fillId="0" borderId="0" xfId="0" applyBorder="1"/>
    <xf numFmtId="0" fontId="0" fillId="0" borderId="0" xfId="0" applyBorder="1" applyAlignment="1">
      <alignment wrapText="1"/>
    </xf>
    <xf numFmtId="2" fontId="0" fillId="0" borderId="0" xfId="0" applyNumberFormat="1" applyBorder="1" applyAlignment="1">
      <alignment horizontal="center" wrapText="1"/>
    </xf>
    <xf numFmtId="11" fontId="0" fillId="0" borderId="0" xfId="0" applyNumberFormat="1" applyBorder="1" applyAlignment="1">
      <alignment horizontal="center"/>
    </xf>
    <xf numFmtId="11" fontId="0" fillId="0" borderId="0" xfId="0" applyNumberFormat="1" applyBorder="1" applyAlignment="1">
      <alignment horizontal="center" wrapText="1"/>
    </xf>
    <xf numFmtId="0" fontId="0" fillId="0" borderId="5" xfId="0" applyFill="1" applyBorder="1" applyAlignment="1">
      <alignment wrapText="1"/>
    </xf>
    <xf numFmtId="0" fontId="1" fillId="0" borderId="2" xfId="0" applyFont="1" applyBorder="1"/>
    <xf numFmtId="0" fontId="1" fillId="0" borderId="3" xfId="0" applyFont="1" applyBorder="1" applyAlignment="1">
      <alignment horizontal="center"/>
    </xf>
    <xf numFmtId="0" fontId="0" fillId="0" borderId="18" xfId="0" applyFont="1" applyFill="1" applyBorder="1" applyAlignment="1">
      <alignment horizontal="center" wrapText="1"/>
    </xf>
    <xf numFmtId="0" fontId="0" fillId="0" borderId="19" xfId="0" applyFont="1" applyFill="1" applyBorder="1" applyAlignment="1">
      <alignment horizontal="center" wrapText="1"/>
    </xf>
    <xf numFmtId="11" fontId="0" fillId="0" borderId="0" xfId="0" applyNumberFormat="1" applyAlignment="1">
      <alignment horizontal="center"/>
    </xf>
    <xf numFmtId="2" fontId="0" fillId="0" borderId="0" xfId="0" applyNumberFormat="1" applyAlignment="1">
      <alignment horizontal="center"/>
    </xf>
    <xf numFmtId="0" fontId="1" fillId="0" borderId="31" xfId="0" applyFont="1" applyBorder="1"/>
    <xf numFmtId="0" fontId="0" fillId="0" borderId="16" xfId="0" applyBorder="1" applyAlignment="1">
      <alignment horizontal="center" wrapText="1"/>
    </xf>
    <xf numFmtId="1" fontId="0" fillId="0" borderId="35" xfId="0" applyNumberFormat="1" applyBorder="1" applyAlignment="1">
      <alignment horizontal="center" wrapText="1"/>
    </xf>
    <xf numFmtId="0" fontId="0" fillId="0" borderId="5" xfId="0" applyFont="1" applyBorder="1"/>
    <xf numFmtId="0" fontId="0" fillId="0" borderId="11" xfId="0" applyFont="1" applyBorder="1"/>
    <xf numFmtId="11" fontId="0" fillId="0" borderId="9" xfId="0" applyNumberFormat="1" applyBorder="1"/>
    <xf numFmtId="0" fontId="1" fillId="2" borderId="6" xfId="0" applyFont="1" applyFill="1" applyBorder="1" applyAlignment="1"/>
    <xf numFmtId="0" fontId="1" fillId="2" borderId="5" xfId="0" applyFont="1" applyFill="1" applyBorder="1" applyAlignment="1"/>
    <xf numFmtId="11" fontId="0" fillId="0" borderId="0" xfId="0" applyNumberFormat="1" applyBorder="1"/>
    <xf numFmtId="0" fontId="1" fillId="0" borderId="31" xfId="0" applyFont="1" applyBorder="1" applyAlignment="1">
      <alignment horizontal="center"/>
    </xf>
    <xf numFmtId="0" fontId="0" fillId="0" borderId="7" xfId="0" applyBorder="1" applyAlignment="1">
      <alignment horizontal="center"/>
    </xf>
    <xf numFmtId="0" fontId="1" fillId="0" borderId="0" xfId="0" applyFont="1" applyFill="1" applyBorder="1" applyAlignment="1"/>
    <xf numFmtId="0" fontId="1" fillId="0" borderId="0" xfId="0" applyFont="1" applyFill="1" applyBorder="1"/>
    <xf numFmtId="0" fontId="0" fillId="0" borderId="0" xfId="0" applyFill="1" applyBorder="1"/>
    <xf numFmtId="0" fontId="0" fillId="0" borderId="0" xfId="0" applyFont="1" applyFill="1" applyBorder="1" applyAlignment="1">
      <alignment horizontal="center" wrapText="1"/>
    </xf>
    <xf numFmtId="0" fontId="0" fillId="0" borderId="1" xfId="0" applyFont="1" applyFill="1" applyBorder="1" applyAlignment="1">
      <alignment horizontal="center" wrapText="1"/>
    </xf>
    <xf numFmtId="2" fontId="0" fillId="0" borderId="1" xfId="0" applyNumberFormat="1" applyBorder="1" applyAlignment="1">
      <alignment horizontal="center" wrapText="1"/>
    </xf>
    <xf numFmtId="0" fontId="0" fillId="2" borderId="5" xfId="0" applyFill="1" applyBorder="1"/>
    <xf numFmtId="3" fontId="0" fillId="0" borderId="1" xfId="0" applyNumberFormat="1" applyFont="1" applyFill="1" applyBorder="1" applyAlignment="1">
      <alignment horizontal="center" wrapText="1"/>
    </xf>
    <xf numFmtId="2" fontId="0" fillId="0" borderId="8" xfId="0" applyNumberFormat="1" applyBorder="1" applyAlignment="1">
      <alignment horizontal="center" wrapText="1"/>
    </xf>
    <xf numFmtId="0" fontId="0" fillId="2" borderId="1" xfId="0" applyFill="1" applyBorder="1"/>
    <xf numFmtId="3" fontId="0" fillId="0" borderId="1" xfId="0" applyNumberFormat="1" applyBorder="1" applyAlignment="1">
      <alignment horizontal="center"/>
    </xf>
    <xf numFmtId="3" fontId="0" fillId="0" borderId="1" xfId="0" applyNumberFormat="1" applyFill="1" applyBorder="1" applyAlignment="1">
      <alignment horizontal="center"/>
    </xf>
    <xf numFmtId="0" fontId="0" fillId="2" borderId="3" xfId="0" applyFill="1" applyBorder="1"/>
    <xf numFmtId="0" fontId="0" fillId="2" borderId="3" xfId="0" applyFill="1" applyBorder="1" applyAlignment="1">
      <alignment wrapText="1"/>
    </xf>
    <xf numFmtId="4" fontId="0" fillId="0" borderId="0" xfId="0" applyNumberFormat="1" applyBorder="1" applyAlignment="1">
      <alignment horizontal="center"/>
    </xf>
    <xf numFmtId="4" fontId="0" fillId="0" borderId="5" xfId="0" applyNumberFormat="1" applyBorder="1" applyAlignment="1">
      <alignment horizontal="left"/>
    </xf>
    <xf numFmtId="0" fontId="0" fillId="0" borderId="5" xfId="0" applyBorder="1" applyAlignment="1">
      <alignment horizontal="left"/>
    </xf>
    <xf numFmtId="0" fontId="0" fillId="0" borderId="1"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5" xfId="0" applyBorder="1" applyAlignment="1">
      <alignment horizontal="left"/>
    </xf>
    <xf numFmtId="0" fontId="1" fillId="2" borderId="3" xfId="0" applyFont="1" applyFill="1" applyBorder="1" applyAlignment="1">
      <alignment horizontal="center" wrapText="1"/>
    </xf>
    <xf numFmtId="0" fontId="1" fillId="2" borderId="3" xfId="0" applyFont="1" applyFill="1" applyBorder="1" applyAlignment="1">
      <alignment horizontal="center"/>
    </xf>
    <xf numFmtId="2" fontId="0" fillId="3" borderId="1" xfId="0" applyNumberFormat="1" applyFill="1" applyBorder="1" applyAlignment="1">
      <alignment horizontal="center"/>
    </xf>
    <xf numFmtId="0" fontId="0" fillId="8" borderId="1" xfId="0" applyFill="1" applyBorder="1" applyAlignment="1">
      <alignment horizontal="center"/>
    </xf>
    <xf numFmtId="164" fontId="0" fillId="8" borderId="1" xfId="0" applyNumberFormat="1" applyFill="1" applyBorder="1" applyAlignment="1">
      <alignment horizontal="center"/>
    </xf>
    <xf numFmtId="0" fontId="0" fillId="9" borderId="1" xfId="0" applyFill="1" applyBorder="1" applyAlignment="1">
      <alignment horizontal="center"/>
    </xf>
    <xf numFmtId="0" fontId="0" fillId="5" borderId="1" xfId="0" applyFill="1" applyBorder="1" applyAlignment="1">
      <alignment wrapText="1"/>
    </xf>
    <xf numFmtId="0" fontId="0" fillId="9" borderId="1" xfId="0" applyFill="1" applyBorder="1" applyAlignment="1">
      <alignment wrapText="1"/>
    </xf>
    <xf numFmtId="0" fontId="0" fillId="3" borderId="1" xfId="0" applyFill="1" applyBorder="1" applyAlignment="1">
      <alignment horizontal="center"/>
    </xf>
    <xf numFmtId="3" fontId="0" fillId="0" borderId="1" xfId="0" applyNumberFormat="1" applyBorder="1"/>
    <xf numFmtId="2" fontId="0" fillId="0" borderId="1" xfId="0" applyNumberFormat="1" applyBorder="1" applyAlignment="1">
      <alignment horizontal="center"/>
    </xf>
    <xf numFmtId="164" fontId="0" fillId="0" borderId="1" xfId="0" applyNumberFormat="1" applyFill="1" applyBorder="1" applyAlignment="1">
      <alignment horizontal="center"/>
    </xf>
    <xf numFmtId="164" fontId="0" fillId="0" borderId="1" xfId="0" applyNumberFormat="1" applyBorder="1" applyAlignment="1">
      <alignment horizontal="center"/>
    </xf>
    <xf numFmtId="0" fontId="0" fillId="11" borderId="1" xfId="0" applyFill="1" applyBorder="1" applyAlignment="1">
      <alignment horizontal="center"/>
    </xf>
    <xf numFmtId="0" fontId="0" fillId="2" borderId="1" xfId="0" applyFill="1" applyBorder="1" applyAlignment="1">
      <alignment horizontal="center" wrapText="1"/>
    </xf>
    <xf numFmtId="0" fontId="0" fillId="2" borderId="1" xfId="0" applyFill="1" applyBorder="1" applyAlignment="1">
      <alignment horizontal="center"/>
    </xf>
    <xf numFmtId="164" fontId="0" fillId="2" borderId="1" xfId="0" applyNumberFormat="1" applyFill="1" applyBorder="1" applyAlignment="1">
      <alignment horizontal="center"/>
    </xf>
    <xf numFmtId="0" fontId="0" fillId="2" borderId="1" xfId="0" applyFill="1" applyBorder="1" applyAlignment="1">
      <alignment wrapText="1"/>
    </xf>
    <xf numFmtId="0" fontId="0" fillId="10" borderId="1" xfId="0" applyFill="1" applyBorder="1" applyAlignment="1">
      <alignment horizontal="center"/>
    </xf>
    <xf numFmtId="3" fontId="0" fillId="8" borderId="1" xfId="0" applyNumberFormat="1" applyFill="1" applyBorder="1" applyAlignment="1">
      <alignment horizontal="center"/>
    </xf>
    <xf numFmtId="3" fontId="0" fillId="2" borderId="1" xfId="0" applyNumberFormat="1" applyFill="1" applyBorder="1"/>
    <xf numFmtId="0" fontId="1" fillId="6" borderId="1" xfId="0" applyFont="1" applyFill="1" applyBorder="1"/>
    <xf numFmtId="0" fontId="1" fillId="0" borderId="1" xfId="0" applyFont="1" applyFill="1" applyBorder="1"/>
    <xf numFmtId="11" fontId="0" fillId="0" borderId="0" xfId="0" applyNumberFormat="1"/>
    <xf numFmtId="0" fontId="1" fillId="0" borderId="0" xfId="0" applyFont="1" applyFill="1" applyBorder="1" applyAlignment="1">
      <alignment horizontal="center" wrapText="1"/>
    </xf>
    <xf numFmtId="11" fontId="0" fillId="0" borderId="6" xfId="0" applyNumberFormat="1" applyBorder="1" applyAlignment="1">
      <alignment horizontal="center"/>
    </xf>
    <xf numFmtId="11" fontId="0" fillId="0" borderId="9" xfId="0" applyNumberFormat="1" applyBorder="1" applyAlignment="1">
      <alignment horizontal="center"/>
    </xf>
    <xf numFmtId="0" fontId="1" fillId="3" borderId="7" xfId="0" applyFont="1" applyFill="1" applyBorder="1" applyAlignment="1">
      <alignment horizontal="left" wrapText="1"/>
    </xf>
    <xf numFmtId="0" fontId="1" fillId="3" borderId="5" xfId="0" applyFont="1" applyFill="1" applyBorder="1" applyAlignment="1">
      <alignment horizontal="left" wrapText="1"/>
    </xf>
    <xf numFmtId="0" fontId="1" fillId="2" borderId="27" xfId="0" applyFont="1" applyFill="1" applyBorder="1" applyAlignment="1">
      <alignment horizontal="center"/>
    </xf>
    <xf numFmtId="0" fontId="1" fillId="2" borderId="28" xfId="0" applyFont="1" applyFill="1" applyBorder="1" applyAlignment="1">
      <alignment horizontal="center" wrapText="1"/>
    </xf>
    <xf numFmtId="0" fontId="1" fillId="2" borderId="29" xfId="0" applyFont="1" applyFill="1" applyBorder="1" applyAlignment="1">
      <alignment horizontal="center" wrapText="1"/>
    </xf>
    <xf numFmtId="0" fontId="0" fillId="4" borderId="1" xfId="0" applyFill="1" applyBorder="1" applyAlignment="1">
      <alignment wrapText="1"/>
    </xf>
    <xf numFmtId="0" fontId="3" fillId="4" borderId="1" xfId="0" applyFont="1" applyFill="1" applyBorder="1" applyAlignment="1">
      <alignment wrapText="1"/>
    </xf>
    <xf numFmtId="0" fontId="0" fillId="12" borderId="1" xfId="0" applyFill="1" applyBorder="1" applyAlignment="1">
      <alignment wrapText="1"/>
    </xf>
    <xf numFmtId="0" fontId="0" fillId="0" borderId="1" xfId="0" applyFill="1" applyBorder="1" applyAlignment="1">
      <alignment wrapText="1"/>
    </xf>
    <xf numFmtId="0" fontId="0" fillId="0" borderId="0" xfId="0" applyFill="1" applyAlignment="1">
      <alignment wrapText="1"/>
    </xf>
    <xf numFmtId="0" fontId="0" fillId="0" borderId="0" xfId="0" applyFill="1"/>
    <xf numFmtId="0" fontId="0" fillId="0" borderId="38" xfId="0" applyFill="1" applyBorder="1" applyAlignment="1">
      <alignment horizontal="left"/>
    </xf>
    <xf numFmtId="0" fontId="0" fillId="0" borderId="39" xfId="0" applyFill="1" applyBorder="1" applyAlignment="1">
      <alignment horizontal="center"/>
    </xf>
    <xf numFmtId="0" fontId="0" fillId="0" borderId="7" xfId="0" applyFill="1" applyBorder="1" applyAlignment="1">
      <alignment horizontal="left"/>
    </xf>
    <xf numFmtId="0" fontId="0" fillId="0" borderId="1" xfId="0" applyFill="1" applyBorder="1" applyAlignment="1">
      <alignment horizontal="center"/>
    </xf>
    <xf numFmtId="0" fontId="0" fillId="13" borderId="1" xfId="0" applyFill="1" applyBorder="1" applyAlignment="1">
      <alignment horizontal="center"/>
    </xf>
    <xf numFmtId="15" fontId="0" fillId="0" borderId="1" xfId="0" applyNumberFormat="1" applyFill="1" applyBorder="1"/>
    <xf numFmtId="2" fontId="0" fillId="0" borderId="1" xfId="0" applyNumberFormat="1" applyFill="1" applyBorder="1" applyAlignment="1">
      <alignment horizontal="center"/>
    </xf>
    <xf numFmtId="3" fontId="0" fillId="9" borderId="1" xfId="0" applyNumberFormat="1" applyFill="1" applyBorder="1"/>
    <xf numFmtId="0" fontId="3" fillId="0" borderId="1" xfId="0" applyFont="1" applyFill="1" applyBorder="1" applyAlignment="1">
      <alignment wrapText="1"/>
    </xf>
    <xf numFmtId="0" fontId="0" fillId="9" borderId="1" xfId="0" applyFill="1" applyBorder="1"/>
    <xf numFmtId="0" fontId="1" fillId="9" borderId="3" xfId="0" applyFont="1" applyFill="1" applyBorder="1" applyAlignment="1">
      <alignment horizontal="center" wrapText="1"/>
    </xf>
    <xf numFmtId="0" fontId="1" fillId="2" borderId="3" xfId="0" applyFont="1" applyFill="1" applyBorder="1" applyAlignment="1">
      <alignment wrapText="1"/>
    </xf>
    <xf numFmtId="0" fontId="1" fillId="9" borderId="3" xfId="0" applyFont="1" applyFill="1" applyBorder="1" applyAlignment="1">
      <alignment wrapText="1"/>
    </xf>
    <xf numFmtId="0" fontId="0" fillId="0" borderId="5" xfId="0" applyBorder="1" applyAlignment="1">
      <alignment wrapText="1"/>
    </xf>
    <xf numFmtId="3" fontId="0" fillId="0" borderId="8" xfId="0" applyNumberFormat="1" applyBorder="1" applyAlignment="1">
      <alignment horizontal="center"/>
    </xf>
    <xf numFmtId="0" fontId="0" fillId="3" borderId="8" xfId="0" applyFill="1" applyBorder="1" applyAlignment="1">
      <alignment horizontal="center"/>
    </xf>
    <xf numFmtId="164" fontId="0" fillId="0" borderId="8" xfId="0" applyNumberFormat="1" applyBorder="1" applyAlignment="1">
      <alignment horizontal="center"/>
    </xf>
    <xf numFmtId="0" fontId="0" fillId="9" borderId="8" xfId="0" applyFill="1" applyBorder="1" applyAlignment="1">
      <alignment horizontal="center"/>
    </xf>
    <xf numFmtId="0" fontId="0" fillId="0" borderId="8" xfId="0" applyFill="1" applyBorder="1" applyAlignment="1">
      <alignment wrapText="1"/>
    </xf>
    <xf numFmtId="0" fontId="0" fillId="5" borderId="8" xfId="0" applyFill="1" applyBorder="1" applyAlignment="1">
      <alignment wrapText="1"/>
    </xf>
    <xf numFmtId="0" fontId="0" fillId="9" borderId="8" xfId="0" applyFill="1" applyBorder="1" applyAlignment="1">
      <alignment wrapText="1"/>
    </xf>
    <xf numFmtId="3" fontId="0" fillId="0" borderId="8" xfId="0" applyNumberFormat="1" applyBorder="1"/>
    <xf numFmtId="0" fontId="0" fillId="13" borderId="1" xfId="0" applyFill="1" applyBorder="1" applyAlignment="1">
      <alignment wrapText="1"/>
    </xf>
    <xf numFmtId="0" fontId="0" fillId="13" borderId="8" xfId="0" applyFill="1" applyBorder="1" applyAlignment="1">
      <alignment wrapText="1"/>
    </xf>
    <xf numFmtId="0" fontId="1" fillId="0" borderId="1" xfId="0" applyFont="1" applyFill="1" applyBorder="1" applyAlignment="1">
      <alignment wrapText="1"/>
    </xf>
    <xf numFmtId="0" fontId="0" fillId="0" borderId="0" xfId="0" applyFill="1" applyBorder="1" applyAlignment="1">
      <alignment horizontal="left"/>
    </xf>
    <xf numFmtId="0" fontId="0" fillId="0" borderId="0" xfId="0" applyFill="1" applyBorder="1" applyAlignment="1">
      <alignment horizontal="center"/>
    </xf>
    <xf numFmtId="0" fontId="0" fillId="0" borderId="5" xfId="0" applyFill="1" applyBorder="1" applyAlignment="1">
      <alignment horizontal="left"/>
    </xf>
    <xf numFmtId="0" fontId="0" fillId="0" borderId="42" xfId="0" applyFill="1" applyBorder="1" applyAlignment="1">
      <alignment horizontal="center"/>
    </xf>
    <xf numFmtId="0" fontId="0" fillId="0" borderId="8" xfId="0" applyFill="1" applyBorder="1" applyAlignment="1">
      <alignment horizontal="center"/>
    </xf>
    <xf numFmtId="4" fontId="2" fillId="2" borderId="2" xfId="0" applyNumberFormat="1" applyFont="1" applyFill="1" applyBorder="1" applyAlignment="1">
      <alignment horizontal="center"/>
    </xf>
    <xf numFmtId="4" fontId="1" fillId="2" borderId="3" xfId="0" applyNumberFormat="1" applyFont="1" applyFill="1" applyBorder="1" applyAlignment="1">
      <alignment horizontal="center"/>
    </xf>
    <xf numFmtId="0" fontId="0" fillId="0" borderId="35" xfId="0" applyFill="1" applyBorder="1" applyAlignment="1">
      <alignment horizontal="left" wrapText="1"/>
    </xf>
    <xf numFmtId="0" fontId="1" fillId="3" borderId="0" xfId="0" applyFont="1" applyFill="1" applyBorder="1" applyAlignment="1">
      <alignment horizontal="center" wrapText="1"/>
    </xf>
    <xf numFmtId="2" fontId="0" fillId="0" borderId="0" xfId="0" applyNumberFormat="1" applyFill="1" applyBorder="1" applyAlignment="1">
      <alignment horizontal="center" wrapText="1"/>
    </xf>
    <xf numFmtId="0" fontId="0" fillId="14" borderId="0" xfId="0" applyFill="1" applyBorder="1"/>
    <xf numFmtId="0" fontId="6" fillId="0" borderId="17" xfId="0" applyFont="1" applyBorder="1" applyAlignment="1">
      <alignment horizontal="left" vertical="center" wrapText="1"/>
    </xf>
    <xf numFmtId="0" fontId="6" fillId="18" borderId="1" xfId="0" applyFont="1" applyFill="1" applyBorder="1" applyAlignment="1">
      <alignment horizontal="center" vertical="center"/>
    </xf>
    <xf numFmtId="0" fontId="6" fillId="19" borderId="1" xfId="0" applyFont="1" applyFill="1" applyBorder="1" applyAlignment="1">
      <alignment horizontal="center" vertical="center" wrapText="1"/>
    </xf>
    <xf numFmtId="0" fontId="6" fillId="20" borderId="1" xfId="0" applyFont="1" applyFill="1" applyBorder="1" applyAlignment="1">
      <alignment horizontal="center" vertical="center" wrapText="1"/>
    </xf>
    <xf numFmtId="0" fontId="6" fillId="21" borderId="1" xfId="0" applyFont="1" applyFill="1" applyBorder="1" applyAlignment="1">
      <alignment horizontal="center" vertical="center" wrapText="1"/>
    </xf>
    <xf numFmtId="0" fontId="6" fillId="0" borderId="47" xfId="0" applyFont="1" applyBorder="1" applyAlignment="1">
      <alignment vertical="center" wrapText="1"/>
    </xf>
    <xf numFmtId="0" fontId="0" fillId="14" borderId="0" xfId="0" applyFill="1" applyBorder="1" applyAlignment="1">
      <alignment vertical="center"/>
    </xf>
    <xf numFmtId="0" fontId="0" fillId="0" borderId="0" xfId="0" applyAlignment="1">
      <alignment vertical="center"/>
    </xf>
    <xf numFmtId="0" fontId="6" fillId="22" borderId="47" xfId="0" applyFont="1" applyFill="1" applyBorder="1" applyAlignment="1">
      <alignment horizontal="left" wrapText="1"/>
    </xf>
    <xf numFmtId="0" fontId="6" fillId="22" borderId="17" xfId="0" applyFont="1" applyFill="1" applyBorder="1" applyAlignment="1">
      <alignment horizontal="left" wrapText="1"/>
    </xf>
    <xf numFmtId="0" fontId="6" fillId="22" borderId="42" xfId="0" applyFont="1" applyFill="1" applyBorder="1" applyAlignment="1">
      <alignment horizontal="left" wrapText="1"/>
    </xf>
    <xf numFmtId="0" fontId="6" fillId="22" borderId="0" xfId="0" applyFont="1" applyFill="1" applyBorder="1" applyAlignment="1">
      <alignment horizontal="left" wrapText="1"/>
    </xf>
    <xf numFmtId="0" fontId="0" fillId="23" borderId="1" xfId="0" applyFill="1" applyBorder="1" applyAlignment="1">
      <alignment horizontal="center"/>
    </xf>
    <xf numFmtId="0" fontId="0" fillId="14" borderId="1" xfId="0" applyFill="1" applyBorder="1"/>
    <xf numFmtId="0" fontId="0" fillId="15" borderId="1" xfId="0" applyFill="1" applyBorder="1"/>
    <xf numFmtId="38" fontId="0" fillId="23" borderId="1" xfId="0" applyNumberFormat="1" applyFill="1" applyBorder="1"/>
    <xf numFmtId="38" fontId="0" fillId="19" borderId="1" xfId="0" applyNumberFormat="1" applyFill="1" applyBorder="1"/>
    <xf numFmtId="38" fontId="0" fillId="14" borderId="1" xfId="0" applyNumberFormat="1" applyFill="1" applyBorder="1"/>
    <xf numFmtId="38" fontId="0" fillId="14" borderId="0" xfId="0" applyNumberFormat="1" applyFill="1" applyBorder="1"/>
    <xf numFmtId="38" fontId="0" fillId="0" borderId="0" xfId="0" applyNumberFormat="1"/>
    <xf numFmtId="0" fontId="3" fillId="15" borderId="1" xfId="0" applyFont="1" applyFill="1" applyBorder="1"/>
    <xf numFmtId="165" fontId="0" fillId="14" borderId="1" xfId="0" applyNumberFormat="1" applyFill="1" applyBorder="1"/>
    <xf numFmtId="38" fontId="0" fillId="21" borderId="1" xfId="0" applyNumberFormat="1" applyFill="1" applyBorder="1"/>
    <xf numFmtId="38" fontId="3" fillId="16" borderId="1" xfId="0" applyNumberFormat="1" applyFont="1" applyFill="1" applyBorder="1" applyAlignment="1">
      <alignment horizontal="right"/>
    </xf>
    <xf numFmtId="40" fontId="0" fillId="0" borderId="1" xfId="0" applyNumberFormat="1" applyBorder="1"/>
    <xf numFmtId="40" fontId="0" fillId="19" borderId="1" xfId="0" applyNumberFormat="1" applyFill="1" applyBorder="1"/>
    <xf numFmtId="40" fontId="0" fillId="16" borderId="1" xfId="0" applyNumberFormat="1" applyFill="1" applyBorder="1"/>
    <xf numFmtId="40" fontId="0" fillId="17" borderId="1" xfId="0" applyNumberFormat="1" applyFill="1" applyBorder="1"/>
    <xf numFmtId="0" fontId="0" fillId="21" borderId="1" xfId="0" applyFill="1" applyBorder="1" applyAlignment="1">
      <alignment horizontal="right"/>
    </xf>
    <xf numFmtId="0" fontId="0" fillId="21" borderId="1" xfId="0" applyFill="1" applyBorder="1"/>
    <xf numFmtId="0" fontId="0" fillId="16" borderId="1" xfId="0" applyFill="1" applyBorder="1"/>
    <xf numFmtId="3" fontId="0" fillId="21" borderId="1" xfId="0" applyNumberFormat="1" applyFill="1" applyBorder="1"/>
    <xf numFmtId="3" fontId="0" fillId="14" borderId="1" xfId="0" applyNumberFormat="1" applyFill="1" applyBorder="1"/>
    <xf numFmtId="0" fontId="0" fillId="5" borderId="1" xfId="0" applyFill="1" applyBorder="1" applyAlignment="1">
      <alignment horizontal="center"/>
    </xf>
    <xf numFmtId="38" fontId="0" fillId="5" borderId="1" xfId="0" applyNumberFormat="1" applyFill="1" applyBorder="1"/>
    <xf numFmtId="3" fontId="0" fillId="19" borderId="1" xfId="0" applyNumberFormat="1" applyFill="1" applyBorder="1"/>
    <xf numFmtId="3" fontId="0" fillId="14" borderId="0" xfId="0" applyNumberFormat="1" applyFill="1" applyBorder="1"/>
    <xf numFmtId="0" fontId="0" fillId="19" borderId="1" xfId="0" applyFill="1" applyBorder="1"/>
    <xf numFmtId="0" fontId="0" fillId="18" borderId="1" xfId="0" applyFill="1" applyBorder="1"/>
    <xf numFmtId="3" fontId="0" fillId="18" borderId="1" xfId="0" applyNumberFormat="1" applyFill="1" applyBorder="1"/>
    <xf numFmtId="0" fontId="0" fillId="18" borderId="1" xfId="0" applyFill="1" applyBorder="1" applyAlignment="1">
      <alignment horizontal="right"/>
    </xf>
    <xf numFmtId="3" fontId="0" fillId="15" borderId="1" xfId="0" applyNumberFormat="1" applyFill="1" applyBorder="1"/>
    <xf numFmtId="3" fontId="0" fillId="0" borderId="1" xfId="0" applyNumberFormat="1" applyFill="1" applyBorder="1"/>
    <xf numFmtId="4" fontId="0" fillId="14" borderId="1" xfId="0" applyNumberFormat="1" applyFill="1" applyBorder="1"/>
    <xf numFmtId="0" fontId="0" fillId="24" borderId="1" xfId="0" applyFill="1" applyBorder="1"/>
    <xf numFmtId="0" fontId="0" fillId="14" borderId="0" xfId="0" quotePrefix="1" applyFill="1" applyBorder="1"/>
    <xf numFmtId="0" fontId="0" fillId="0" borderId="1" xfId="0" applyFill="1" applyBorder="1" applyAlignment="1">
      <alignment horizontal="right"/>
    </xf>
    <xf numFmtId="0" fontId="0" fillId="14" borderId="1" xfId="0" applyFill="1" applyBorder="1" applyAlignment="1">
      <alignment horizontal="right"/>
    </xf>
    <xf numFmtId="38" fontId="0" fillId="0" borderId="48" xfId="0" applyNumberFormat="1" applyBorder="1"/>
    <xf numFmtId="0" fontId="1" fillId="2" borderId="49" xfId="0" applyFont="1" applyFill="1" applyBorder="1"/>
    <xf numFmtId="0" fontId="0" fillId="0" borderId="47" xfId="0" applyBorder="1" applyAlignment="1">
      <alignment wrapText="1"/>
    </xf>
    <xf numFmtId="0" fontId="0" fillId="0" borderId="50" xfId="0" applyBorder="1" applyAlignment="1">
      <alignment wrapText="1"/>
    </xf>
    <xf numFmtId="11" fontId="0" fillId="0" borderId="6" xfId="0" applyNumberFormat="1" applyFont="1" applyBorder="1" applyAlignment="1">
      <alignment horizontal="center" wrapText="1"/>
    </xf>
    <xf numFmtId="11" fontId="0" fillId="0" borderId="4" xfId="0" applyNumberFormat="1" applyBorder="1" applyAlignment="1">
      <alignment horizontal="center" wrapText="1"/>
    </xf>
    <xf numFmtId="0" fontId="0" fillId="2" borderId="6" xfId="0" applyFill="1" applyBorder="1"/>
    <xf numFmtId="0" fontId="1" fillId="7" borderId="7" xfId="0" applyFont="1" applyFill="1" applyBorder="1" applyAlignment="1">
      <alignment wrapText="1"/>
    </xf>
    <xf numFmtId="0" fontId="0" fillId="7" borderId="51" xfId="0" applyFill="1" applyBorder="1" applyAlignment="1">
      <alignment wrapText="1"/>
    </xf>
    <xf numFmtId="166" fontId="0" fillId="0" borderId="1" xfId="0" applyNumberFormat="1" applyBorder="1" applyAlignment="1">
      <alignment horizontal="center"/>
    </xf>
    <xf numFmtId="166" fontId="0" fillId="0" borderId="8" xfId="0" applyNumberFormat="1" applyBorder="1" applyAlignment="1">
      <alignment horizontal="center"/>
    </xf>
    <xf numFmtId="11" fontId="0" fillId="0" borderId="15" xfId="0" applyNumberFormat="1" applyBorder="1" applyAlignment="1">
      <alignment horizontal="center"/>
    </xf>
    <xf numFmtId="11" fontId="0" fillId="0" borderId="15" xfId="0" applyNumberFormat="1" applyBorder="1" applyAlignment="1">
      <alignment horizontal="center" wrapText="1"/>
    </xf>
    <xf numFmtId="2" fontId="0" fillId="0" borderId="20" xfId="0" applyNumberFormat="1" applyBorder="1" applyAlignment="1">
      <alignment horizontal="center" wrapText="1"/>
    </xf>
    <xf numFmtId="0" fontId="0" fillId="0" borderId="19" xfId="0" applyBorder="1"/>
    <xf numFmtId="0" fontId="0" fillId="0" borderId="15" xfId="0" applyBorder="1" applyAlignment="1">
      <alignment wrapText="1"/>
    </xf>
    <xf numFmtId="0" fontId="0" fillId="0" borderId="15" xfId="0" applyBorder="1" applyAlignment="1">
      <alignment horizontal="center" wrapText="1"/>
    </xf>
    <xf numFmtId="0" fontId="0" fillId="0" borderId="3" xfId="0" applyBorder="1"/>
    <xf numFmtId="0" fontId="0" fillId="0" borderId="3" xfId="0" applyBorder="1" applyAlignment="1">
      <alignment wrapText="1"/>
    </xf>
    <xf numFmtId="0" fontId="0" fillId="0" borderId="3" xfId="0" applyFill="1" applyBorder="1" applyAlignment="1">
      <alignment horizontal="center" wrapText="1"/>
    </xf>
    <xf numFmtId="11" fontId="0" fillId="0" borderId="3" xfId="0" applyNumberFormat="1" applyBorder="1" applyAlignment="1">
      <alignment horizontal="center"/>
    </xf>
    <xf numFmtId="11" fontId="0" fillId="0" borderId="3" xfId="0" applyNumberFormat="1" applyBorder="1" applyAlignment="1">
      <alignment horizontal="center" wrapText="1"/>
    </xf>
    <xf numFmtId="2" fontId="0" fillId="0" borderId="4" xfId="0" applyNumberFormat="1" applyBorder="1" applyAlignment="1">
      <alignment horizontal="center" wrapText="1"/>
    </xf>
    <xf numFmtId="0" fontId="1" fillId="7" borderId="27" xfId="0" applyFont="1" applyFill="1" applyBorder="1" applyAlignment="1">
      <alignment horizontal="center" wrapText="1"/>
    </xf>
    <xf numFmtId="0" fontId="0" fillId="7" borderId="22" xfId="0" applyFill="1" applyBorder="1"/>
    <xf numFmtId="11" fontId="1" fillId="7" borderId="44" xfId="0" applyNumberFormat="1" applyFont="1" applyFill="1" applyBorder="1" applyAlignment="1">
      <alignment horizontal="center"/>
    </xf>
    <xf numFmtId="11" fontId="1" fillId="7" borderId="45" xfId="0" applyNumberFormat="1" applyFont="1" applyFill="1" applyBorder="1" applyAlignment="1">
      <alignment horizontal="center"/>
    </xf>
    <xf numFmtId="11" fontId="1" fillId="7" borderId="46" xfId="0" applyNumberFormat="1" applyFont="1" applyFill="1" applyBorder="1" applyAlignment="1">
      <alignment horizontal="center"/>
    </xf>
    <xf numFmtId="0" fontId="0" fillId="0" borderId="3" xfId="0" applyBorder="1" applyAlignment="1">
      <alignment horizontal="center" wrapText="1"/>
    </xf>
    <xf numFmtId="3" fontId="0" fillId="0" borderId="3" xfId="0" applyNumberFormat="1" applyBorder="1" applyAlignment="1">
      <alignment horizontal="center"/>
    </xf>
    <xf numFmtId="3" fontId="0" fillId="0" borderId="15" xfId="0" applyNumberFormat="1" applyBorder="1" applyAlignment="1">
      <alignment horizontal="center"/>
    </xf>
    <xf numFmtId="166" fontId="0" fillId="0" borderId="15" xfId="0" applyNumberFormat="1" applyBorder="1" applyAlignment="1">
      <alignment horizontal="center" wrapText="1"/>
    </xf>
    <xf numFmtId="166" fontId="0" fillId="0" borderId="36" xfId="0" applyNumberFormat="1" applyBorder="1" applyAlignment="1">
      <alignment horizontal="center" wrapText="1"/>
    </xf>
    <xf numFmtId="0" fontId="0" fillId="0" borderId="8" xfId="0" applyFont="1" applyFill="1" applyBorder="1" applyAlignment="1">
      <alignment horizontal="left" wrapText="1"/>
    </xf>
    <xf numFmtId="0" fontId="0" fillId="0" borderId="8" xfId="0" applyFont="1" applyFill="1" applyBorder="1" applyAlignment="1">
      <alignment horizontal="center" wrapText="1"/>
    </xf>
    <xf numFmtId="3" fontId="0" fillId="0" borderId="8" xfId="0" applyNumberFormat="1" applyFont="1" applyFill="1" applyBorder="1" applyAlignment="1">
      <alignment horizontal="center" wrapText="1"/>
    </xf>
    <xf numFmtId="0" fontId="0" fillId="3" borderId="15" xfId="0" applyFill="1" applyBorder="1"/>
    <xf numFmtId="0" fontId="1" fillId="3" borderId="15" xfId="0" applyFont="1" applyFill="1" applyBorder="1" applyAlignment="1">
      <alignment horizontal="center" wrapText="1"/>
    </xf>
    <xf numFmtId="0" fontId="0" fillId="3" borderId="20" xfId="0" applyFill="1" applyBorder="1"/>
    <xf numFmtId="0" fontId="1" fillId="3" borderId="19" xfId="0" applyFont="1" applyFill="1" applyBorder="1"/>
    <xf numFmtId="0" fontId="1" fillId="3" borderId="15" xfId="0" applyFont="1" applyFill="1" applyBorder="1" applyAlignment="1"/>
    <xf numFmtId="0" fontId="1" fillId="3" borderId="15" xfId="0" applyFont="1" applyFill="1" applyBorder="1" applyAlignment="1">
      <alignment wrapText="1"/>
    </xf>
    <xf numFmtId="0" fontId="1" fillId="3" borderId="20" xfId="0" applyFont="1" applyFill="1" applyBorder="1" applyAlignment="1">
      <alignment horizontal="center" wrapText="1"/>
    </xf>
    <xf numFmtId="0" fontId="0" fillId="3" borderId="53" xfId="0" applyFill="1" applyBorder="1"/>
    <xf numFmtId="0" fontId="0" fillId="0" borderId="47" xfId="0" applyBorder="1"/>
    <xf numFmtId="0" fontId="0" fillId="0" borderId="50" xfId="0" applyBorder="1"/>
    <xf numFmtId="0" fontId="1" fillId="2" borderId="1" xfId="0" applyFont="1" applyFill="1" applyBorder="1" applyAlignment="1">
      <alignment horizontal="center" wrapText="1"/>
    </xf>
    <xf numFmtId="0" fontId="1" fillId="2" borderId="6" xfId="0" applyFont="1" applyFill="1" applyBorder="1" applyAlignment="1">
      <alignment horizontal="center" wrapText="1"/>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1" xfId="0" applyFont="1" applyFill="1" applyBorder="1" applyAlignment="1">
      <alignment horizontal="center" wrapText="1"/>
    </xf>
    <xf numFmtId="0" fontId="1" fillId="2" borderId="15" xfId="0" applyFont="1" applyFill="1" applyBorder="1" applyAlignment="1">
      <alignment horizontal="center"/>
    </xf>
    <xf numFmtId="11" fontId="0" fillId="0" borderId="1" xfId="0" applyNumberFormat="1" applyBorder="1" applyAlignment="1">
      <alignment wrapText="1"/>
    </xf>
    <xf numFmtId="11" fontId="0" fillId="0" borderId="1" xfId="0" applyNumberFormat="1" applyFill="1" applyBorder="1" applyAlignment="1">
      <alignment horizontal="center"/>
    </xf>
    <xf numFmtId="11" fontId="0" fillId="0" borderId="1" xfId="0" applyNumberFormat="1" applyFill="1" applyBorder="1" applyAlignment="1">
      <alignment horizontal="center" wrapText="1"/>
    </xf>
    <xf numFmtId="2" fontId="0" fillId="0" borderId="1" xfId="0" applyNumberFormat="1" applyFill="1" applyBorder="1" applyAlignment="1">
      <alignment horizontal="center" wrapText="1"/>
    </xf>
    <xf numFmtId="11" fontId="0" fillId="0" borderId="1" xfId="0" applyNumberFormat="1" applyFill="1" applyBorder="1" applyAlignment="1">
      <alignment wrapText="1"/>
    </xf>
    <xf numFmtId="11" fontId="0" fillId="3" borderId="8" xfId="0" applyNumberFormat="1" applyFill="1" applyBorder="1" applyAlignment="1">
      <alignment horizontal="center" wrapText="1"/>
    </xf>
    <xf numFmtId="0" fontId="1" fillId="2" borderId="15" xfId="0" applyFont="1" applyFill="1" applyBorder="1" applyAlignment="1">
      <alignment horizontal="center" wrapText="1"/>
    </xf>
    <xf numFmtId="3" fontId="0" fillId="0" borderId="6" xfId="0" applyNumberFormat="1" applyBorder="1" applyAlignment="1">
      <alignment horizontal="center"/>
    </xf>
    <xf numFmtId="3" fontId="0" fillId="0" borderId="6" xfId="0" applyNumberFormat="1" applyFill="1" applyBorder="1" applyAlignment="1">
      <alignment horizontal="center"/>
    </xf>
    <xf numFmtId="11" fontId="0" fillId="0" borderId="8" xfId="0" applyNumberFormat="1" applyFill="1" applyBorder="1" applyAlignment="1">
      <alignment horizontal="center" wrapText="1"/>
    </xf>
    <xf numFmtId="2" fontId="0" fillId="0" borderId="8" xfId="0" applyNumberFormat="1" applyFill="1" applyBorder="1" applyAlignment="1">
      <alignment horizontal="center" wrapText="1"/>
    </xf>
    <xf numFmtId="3" fontId="0" fillId="0" borderId="9" xfId="0" applyNumberFormat="1" applyBorder="1" applyAlignment="1">
      <alignment horizontal="center"/>
    </xf>
    <xf numFmtId="0" fontId="0" fillId="2" borderId="1" xfId="0" applyFill="1" applyBorder="1" applyAlignment="1">
      <alignment vertical="center"/>
    </xf>
    <xf numFmtId="17" fontId="0" fillId="2" borderId="1" xfId="0" quotePrefix="1" applyNumberFormat="1" applyFill="1" applyBorder="1"/>
    <xf numFmtId="0" fontId="0" fillId="2" borderId="38" xfId="0" applyFill="1" applyBorder="1"/>
    <xf numFmtId="0" fontId="0" fillId="2" borderId="39" xfId="0" applyFill="1" applyBorder="1"/>
    <xf numFmtId="0" fontId="0" fillId="2" borderId="39" xfId="0" applyFill="1" applyBorder="1" applyAlignment="1">
      <alignment horizontal="center"/>
    </xf>
    <xf numFmtId="0" fontId="0" fillId="2" borderId="40" xfId="0" applyFill="1" applyBorder="1"/>
    <xf numFmtId="0" fontId="1" fillId="2" borderId="19" xfId="0" applyFont="1" applyFill="1" applyBorder="1"/>
    <xf numFmtId="0" fontId="1" fillId="2" borderId="15" xfId="0" applyFont="1" applyFill="1" applyBorder="1"/>
    <xf numFmtId="0" fontId="1" fillId="2" borderId="20" xfId="0" applyFont="1" applyFill="1" applyBorder="1"/>
    <xf numFmtId="0" fontId="1" fillId="0" borderId="3" xfId="0" applyFont="1" applyBorder="1"/>
    <xf numFmtId="0" fontId="1" fillId="0" borderId="4" xfId="0" applyFont="1" applyBorder="1"/>
    <xf numFmtId="0" fontId="1" fillId="2" borderId="2" xfId="0" applyFont="1" applyFill="1" applyBorder="1"/>
    <xf numFmtId="0" fontId="0" fillId="0" borderId="9" xfId="0" applyBorder="1" applyAlignment="1">
      <alignment horizontal="center"/>
    </xf>
    <xf numFmtId="0" fontId="0" fillId="0" borderId="54" xfId="0" applyBorder="1"/>
    <xf numFmtId="11" fontId="0" fillId="0" borderId="52" xfId="0" applyNumberFormat="1" applyBorder="1"/>
    <xf numFmtId="11" fontId="0" fillId="0" borderId="41" xfId="0" applyNumberFormat="1" applyBorder="1"/>
    <xf numFmtId="0" fontId="0" fillId="2" borderId="2" xfId="0" applyFill="1" applyBorder="1"/>
    <xf numFmtId="2" fontId="0" fillId="0" borderId="3" xfId="0" applyNumberFormat="1" applyBorder="1" applyAlignment="1">
      <alignment horizontal="center" wrapText="1"/>
    </xf>
    <xf numFmtId="3" fontId="0" fillId="0" borderId="4" xfId="0" applyNumberFormat="1" applyBorder="1" applyAlignment="1">
      <alignment horizontal="center"/>
    </xf>
    <xf numFmtId="0" fontId="1" fillId="2" borderId="54" xfId="0" applyFont="1" applyFill="1" applyBorder="1"/>
    <xf numFmtId="0" fontId="1" fillId="2" borderId="52" xfId="0" applyFont="1" applyFill="1" applyBorder="1" applyAlignment="1"/>
    <xf numFmtId="0" fontId="0" fillId="2" borderId="52" xfId="0" applyFill="1" applyBorder="1" applyAlignment="1">
      <alignment horizontal="center"/>
    </xf>
    <xf numFmtId="0" fontId="1" fillId="2" borderId="52" xfId="0" applyFont="1" applyFill="1" applyBorder="1" applyAlignment="1">
      <alignment horizontal="center" wrapText="1"/>
    </xf>
    <xf numFmtId="0" fontId="1" fillId="2" borderId="55" xfId="0" applyFont="1" applyFill="1" applyBorder="1" applyAlignment="1">
      <alignment horizontal="center" wrapText="1"/>
    </xf>
    <xf numFmtId="0" fontId="0" fillId="0" borderId="6" xfId="0" applyBorder="1" applyAlignment="1">
      <alignment horizontal="center"/>
    </xf>
    <xf numFmtId="0" fontId="1" fillId="2" borderId="1" xfId="0" applyFont="1" applyFill="1" applyBorder="1"/>
    <xf numFmtId="0" fontId="1" fillId="2" borderId="1" xfId="0" applyFont="1" applyFill="1" applyBorder="1" applyAlignment="1">
      <alignment horizontal="center"/>
    </xf>
    <xf numFmtId="0" fontId="1" fillId="2" borderId="20" xfId="0" applyFont="1" applyFill="1" applyBorder="1" applyAlignment="1">
      <alignment horizontal="center" wrapText="1"/>
    </xf>
    <xf numFmtId="0" fontId="1" fillId="2" borderId="6" xfId="0" applyFont="1" applyFill="1" applyBorder="1"/>
    <xf numFmtId="0" fontId="1" fillId="3" borderId="27" xfId="0" applyFont="1" applyFill="1" applyBorder="1" applyAlignment="1">
      <alignment horizontal="center" wrapText="1"/>
    </xf>
    <xf numFmtId="0" fontId="1" fillId="3" borderId="29" xfId="0" applyFont="1" applyFill="1" applyBorder="1" applyAlignment="1">
      <alignment horizontal="center" wrapText="1"/>
    </xf>
    <xf numFmtId="0" fontId="1" fillId="2" borderId="15" xfId="0" applyFont="1" applyFill="1" applyBorder="1" applyAlignment="1">
      <alignment horizontal="center"/>
    </xf>
    <xf numFmtId="0" fontId="1" fillId="2" borderId="3" xfId="0" applyFont="1" applyFill="1" applyBorder="1" applyAlignment="1">
      <alignment horizontal="center"/>
    </xf>
    <xf numFmtId="0" fontId="1" fillId="2" borderId="15" xfId="0" applyFont="1" applyFill="1" applyBorder="1" applyAlignment="1">
      <alignment horizontal="center"/>
    </xf>
    <xf numFmtId="0" fontId="1" fillId="0" borderId="3" xfId="0" applyFont="1" applyFill="1" applyBorder="1" applyAlignment="1">
      <alignment horizontal="center" wrapText="1"/>
    </xf>
    <xf numFmtId="0" fontId="0" fillId="0" borderId="0" xfId="0" applyFill="1" applyAlignment="1">
      <alignment horizontal="center" wrapText="1"/>
    </xf>
    <xf numFmtId="4" fontId="0" fillId="0" borderId="8" xfId="0" applyNumberFormat="1" applyFill="1" applyBorder="1" applyAlignment="1">
      <alignment horizontal="center" wrapText="1"/>
    </xf>
    <xf numFmtId="4" fontId="0" fillId="0" borderId="0" xfId="0" applyNumberFormat="1" applyFill="1" applyBorder="1" applyAlignment="1">
      <alignment horizontal="center" wrapText="1"/>
    </xf>
    <xf numFmtId="0" fontId="0" fillId="0" borderId="8" xfId="0" applyFill="1" applyBorder="1" applyAlignment="1">
      <alignment horizontal="center" wrapText="1"/>
    </xf>
    <xf numFmtId="0" fontId="0" fillId="25" borderId="1" xfId="0" applyFill="1" applyBorder="1" applyAlignment="1">
      <alignment horizontal="center" wrapText="1"/>
    </xf>
    <xf numFmtId="3" fontId="0" fillId="4" borderId="1" xfId="0" applyNumberFormat="1" applyFill="1" applyBorder="1" applyAlignment="1">
      <alignment horizontal="center"/>
    </xf>
    <xf numFmtId="2" fontId="0" fillId="4" borderId="1" xfId="0" applyNumberFormat="1" applyFill="1" applyBorder="1" applyAlignment="1">
      <alignment horizontal="center"/>
    </xf>
    <xf numFmtId="0" fontId="0" fillId="0" borderId="0" xfId="0"/>
    <xf numFmtId="0" fontId="0" fillId="0" borderId="0" xfId="0" applyAlignment="1">
      <alignment horizontal="center"/>
    </xf>
    <xf numFmtId="0" fontId="0" fillId="2" borderId="1" xfId="0" applyFill="1" applyBorder="1" applyAlignment="1">
      <alignment horizontal="center"/>
    </xf>
    <xf numFmtId="0" fontId="0" fillId="0" borderId="6" xfId="0" applyBorder="1" applyAlignment="1">
      <alignment horizontal="center"/>
    </xf>
    <xf numFmtId="0" fontId="1" fillId="2" borderId="4" xfId="0" applyFont="1" applyFill="1" applyBorder="1" applyAlignment="1">
      <alignment horizontal="center"/>
    </xf>
    <xf numFmtId="2" fontId="1" fillId="0" borderId="5" xfId="0" applyNumberFormat="1" applyFont="1" applyFill="1" applyBorder="1" applyAlignment="1">
      <alignment horizontal="center"/>
    </xf>
    <xf numFmtId="1" fontId="0" fillId="0" borderId="6" xfId="0" applyNumberFormat="1" applyBorder="1" applyAlignment="1">
      <alignment horizontal="center"/>
    </xf>
    <xf numFmtId="0" fontId="0" fillId="2" borderId="39" xfId="0" applyFill="1" applyBorder="1" applyAlignment="1">
      <alignment horizontal="center"/>
    </xf>
    <xf numFmtId="2" fontId="1" fillId="0" borderId="38" xfId="0" applyNumberFormat="1" applyFont="1" applyFill="1" applyBorder="1" applyAlignment="1">
      <alignment horizontal="center"/>
    </xf>
    <xf numFmtId="1" fontId="0" fillId="0" borderId="18" xfId="0" applyNumberFormat="1" applyFont="1" applyFill="1" applyBorder="1" applyAlignment="1">
      <alignment horizontal="center"/>
    </xf>
    <xf numFmtId="1" fontId="0" fillId="0" borderId="16" xfId="0" applyNumberFormat="1" applyBorder="1" applyAlignment="1">
      <alignment horizontal="center" wrapText="1"/>
    </xf>
    <xf numFmtId="1" fontId="0" fillId="0" borderId="16" xfId="0" applyNumberFormat="1" applyBorder="1" applyAlignment="1">
      <alignment horizontal="center"/>
    </xf>
    <xf numFmtId="11" fontId="0" fillId="0" borderId="20" xfId="0" applyNumberFormat="1" applyFont="1" applyBorder="1" applyAlignment="1">
      <alignment horizontal="center" wrapText="1"/>
    </xf>
    <xf numFmtId="0" fontId="1" fillId="3" borderId="56" xfId="0" applyFont="1" applyFill="1" applyBorder="1" applyAlignment="1">
      <alignment horizontal="center" wrapText="1"/>
    </xf>
    <xf numFmtId="167" fontId="0" fillId="0" borderId="18" xfId="0" applyNumberFormat="1" applyFont="1" applyFill="1" applyBorder="1" applyAlignment="1">
      <alignment horizontal="center" wrapText="1"/>
    </xf>
    <xf numFmtId="1" fontId="0" fillId="2" borderId="16" xfId="0" applyNumberFormat="1" applyFill="1" applyBorder="1" applyAlignment="1">
      <alignment horizontal="center"/>
    </xf>
    <xf numFmtId="0" fontId="0" fillId="2" borderId="16" xfId="0" applyFill="1" applyBorder="1" applyAlignment="1">
      <alignment horizontal="center" wrapText="1"/>
    </xf>
    <xf numFmtId="1" fontId="0" fillId="0" borderId="40" xfId="0" applyNumberFormat="1" applyBorder="1" applyAlignment="1">
      <alignment horizontal="center"/>
    </xf>
    <xf numFmtId="1" fontId="1" fillId="0" borderId="31" xfId="0" applyNumberFormat="1" applyFont="1" applyBorder="1" applyAlignment="1">
      <alignment horizontal="center"/>
    </xf>
    <xf numFmtId="1" fontId="0" fillId="0" borderId="8" xfId="0" applyNumberFormat="1" applyBorder="1" applyAlignment="1">
      <alignment horizontal="center"/>
    </xf>
    <xf numFmtId="167" fontId="1" fillId="0" borderId="31" xfId="0" applyNumberFormat="1" applyFont="1" applyBorder="1" applyAlignment="1">
      <alignment horizontal="center"/>
    </xf>
    <xf numFmtId="0" fontId="0" fillId="2" borderId="19" xfId="0" applyFill="1" applyBorder="1"/>
    <xf numFmtId="0" fontId="1" fillId="2" borderId="53" xfId="0" applyFont="1" applyFill="1" applyBorder="1" applyAlignment="1">
      <alignment horizontal="center" wrapText="1"/>
    </xf>
    <xf numFmtId="0" fontId="1" fillId="2" borderId="15" xfId="0" applyFont="1" applyFill="1" applyBorder="1" applyAlignment="1">
      <alignment wrapText="1"/>
    </xf>
    <xf numFmtId="0" fontId="1" fillId="2" borderId="15" xfId="0" applyFont="1" applyFill="1" applyBorder="1" applyAlignment="1">
      <alignment horizontal="center" wrapText="1"/>
    </xf>
    <xf numFmtId="0" fontId="1" fillId="2" borderId="20" xfId="0" applyFont="1" applyFill="1" applyBorder="1" applyAlignment="1">
      <alignment horizontal="center" wrapText="1"/>
    </xf>
    <xf numFmtId="0" fontId="1" fillId="0" borderId="0" xfId="0" applyFont="1" applyFill="1" applyBorder="1" applyAlignment="1">
      <alignment wrapText="1"/>
    </xf>
    <xf numFmtId="11" fontId="0" fillId="0" borderId="31" xfId="0" applyNumberFormat="1" applyFont="1" applyBorder="1" applyAlignment="1">
      <alignment horizontal="center"/>
    </xf>
    <xf numFmtId="166" fontId="1" fillId="7" borderId="27" xfId="0" applyNumberFormat="1" applyFont="1" applyFill="1" applyBorder="1" applyAlignment="1">
      <alignment horizontal="center"/>
    </xf>
    <xf numFmtId="166" fontId="1" fillId="7" borderId="28" xfId="0" applyNumberFormat="1" applyFont="1" applyFill="1" applyBorder="1" applyAlignment="1">
      <alignment horizontal="center"/>
    </xf>
    <xf numFmtId="166" fontId="1" fillId="7" borderId="29" xfId="0" applyNumberFormat="1" applyFont="1" applyFill="1" applyBorder="1" applyAlignment="1">
      <alignment horizontal="center"/>
    </xf>
    <xf numFmtId="167" fontId="0" fillId="0" borderId="1" xfId="0" applyNumberFormat="1" applyBorder="1" applyAlignment="1">
      <alignment horizontal="center" wrapText="1"/>
    </xf>
    <xf numFmtId="167" fontId="0" fillId="0" borderId="1" xfId="0" applyNumberFormat="1" applyFill="1" applyBorder="1" applyAlignment="1">
      <alignment horizontal="center" wrapText="1"/>
    </xf>
    <xf numFmtId="167" fontId="0" fillId="0" borderId="8" xfId="0" applyNumberFormat="1" applyBorder="1" applyAlignment="1">
      <alignment horizontal="center" wrapText="1"/>
    </xf>
    <xf numFmtId="167" fontId="0" fillId="0" borderId="3" xfId="0" applyNumberFormat="1" applyBorder="1" applyAlignment="1">
      <alignment horizontal="center" wrapText="1"/>
    </xf>
    <xf numFmtId="0" fontId="1" fillId="2" borderId="6" xfId="0" applyFont="1" applyFill="1" applyBorder="1" applyAlignment="1">
      <alignment horizontal="center"/>
    </xf>
    <xf numFmtId="167" fontId="0" fillId="0" borderId="1" xfId="0" applyNumberFormat="1" applyBorder="1" applyAlignment="1">
      <alignment horizontal="center"/>
    </xf>
    <xf numFmtId="167" fontId="0" fillId="0" borderId="8" xfId="0" applyNumberFormat="1" applyBorder="1" applyAlignment="1">
      <alignment horizontal="center"/>
    </xf>
    <xf numFmtId="0" fontId="0" fillId="2" borderId="8" xfId="0" applyFill="1" applyBorder="1" applyAlignment="1">
      <alignment horizontal="center"/>
    </xf>
    <xf numFmtId="11" fontId="0" fillId="2" borderId="8" xfId="0" applyNumberFormat="1" applyFill="1" applyBorder="1" applyAlignment="1">
      <alignment horizontal="center" wrapText="1"/>
    </xf>
    <xf numFmtId="11" fontId="0" fillId="5" borderId="8" xfId="0" applyNumberFormat="1" applyFill="1" applyBorder="1" applyAlignment="1">
      <alignment horizontal="center"/>
    </xf>
    <xf numFmtId="11" fontId="0" fillId="0" borderId="8" xfId="0" applyNumberFormat="1" applyFill="1" applyBorder="1" applyAlignment="1">
      <alignment horizontal="center"/>
    </xf>
    <xf numFmtId="0" fontId="0" fillId="0" borderId="38" xfId="0" applyBorder="1"/>
    <xf numFmtId="0" fontId="0" fillId="0" borderId="39" xfId="0" applyBorder="1"/>
    <xf numFmtId="0" fontId="0" fillId="0" borderId="39" xfId="0" applyBorder="1" applyAlignment="1">
      <alignment horizontal="center"/>
    </xf>
    <xf numFmtId="0" fontId="0" fillId="3" borderId="39" xfId="0" applyFill="1" applyBorder="1" applyAlignment="1">
      <alignment horizontal="center"/>
    </xf>
    <xf numFmtId="164" fontId="0" fillId="0" borderId="39" xfId="0" applyNumberFormat="1" applyBorder="1" applyAlignment="1">
      <alignment horizontal="center"/>
    </xf>
    <xf numFmtId="0" fontId="0" fillId="9" borderId="39" xfId="0" applyFill="1" applyBorder="1" applyAlignment="1">
      <alignment horizontal="center"/>
    </xf>
    <xf numFmtId="0" fontId="0" fillId="2" borderId="39" xfId="0" applyFill="1" applyBorder="1" applyAlignment="1">
      <alignment horizontal="center" wrapText="1"/>
    </xf>
    <xf numFmtId="0" fontId="0" fillId="0" borderId="39" xfId="0" applyFill="1" applyBorder="1" applyAlignment="1">
      <alignment wrapText="1"/>
    </xf>
    <xf numFmtId="0" fontId="0" fillId="5" borderId="39" xfId="0" applyFill="1" applyBorder="1" applyAlignment="1">
      <alignment wrapText="1"/>
    </xf>
    <xf numFmtId="0" fontId="0" fillId="9" borderId="39" xfId="0" applyFill="1" applyBorder="1" applyAlignment="1">
      <alignment wrapText="1"/>
    </xf>
    <xf numFmtId="0" fontId="0" fillId="0" borderId="39" xfId="0" applyBorder="1" applyAlignment="1">
      <alignment wrapText="1"/>
    </xf>
    <xf numFmtId="0" fontId="0" fillId="0" borderId="60" xfId="0" applyBorder="1" applyAlignment="1">
      <alignment wrapText="1"/>
    </xf>
    <xf numFmtId="0" fontId="0" fillId="23" borderId="18" xfId="0" applyFont="1" applyFill="1" applyBorder="1" applyAlignment="1">
      <alignment horizontal="center" wrapText="1"/>
    </xf>
    <xf numFmtId="0" fontId="0" fillId="5" borderId="8" xfId="0" applyFill="1" applyBorder="1" applyAlignment="1">
      <alignment horizontal="center"/>
    </xf>
    <xf numFmtId="0" fontId="0" fillId="5" borderId="1" xfId="0" applyFill="1" applyBorder="1" applyAlignment="1">
      <alignment horizontal="center" wrapText="1"/>
    </xf>
    <xf numFmtId="0" fontId="0" fillId="5" borderId="8" xfId="0" applyFill="1" applyBorder="1"/>
    <xf numFmtId="0" fontId="1" fillId="2" borderId="15" xfId="0" applyFont="1" applyFill="1" applyBorder="1" applyAlignment="1">
      <alignment horizontal="center" wrapText="1"/>
    </xf>
    <xf numFmtId="0" fontId="1" fillId="2" borderId="20" xfId="0" applyFont="1" applyFill="1" applyBorder="1" applyAlignment="1">
      <alignment horizontal="center" wrapText="1"/>
    </xf>
    <xf numFmtId="0" fontId="1" fillId="2" borderId="15" xfId="0" applyFont="1" applyFill="1" applyBorder="1" applyAlignment="1">
      <alignment horizontal="center"/>
    </xf>
    <xf numFmtId="0" fontId="1" fillId="0" borderId="0" xfId="0" applyFont="1" applyAlignment="1">
      <alignment wrapText="1"/>
    </xf>
    <xf numFmtId="11" fontId="0" fillId="0" borderId="1" xfId="0" applyNumberFormat="1" applyBorder="1"/>
    <xf numFmtId="0" fontId="0" fillId="0" borderId="6" xfId="0" applyBorder="1" applyAlignment="1">
      <alignment wrapText="1"/>
    </xf>
    <xf numFmtId="11" fontId="0" fillId="0" borderId="6" xfId="0" applyNumberFormat="1" applyBorder="1"/>
    <xf numFmtId="0" fontId="0" fillId="3" borderId="0" xfId="0" applyFill="1" applyBorder="1" applyAlignment="1">
      <alignment wrapText="1"/>
    </xf>
    <xf numFmtId="166" fontId="0" fillId="0" borderId="0" xfId="0" applyNumberFormat="1" applyBorder="1" applyAlignment="1">
      <alignment horizontal="center"/>
    </xf>
    <xf numFmtId="0" fontId="0" fillId="0" borderId="7" xfId="0" applyBorder="1" applyAlignment="1">
      <alignment horizontal="left"/>
    </xf>
    <xf numFmtId="0" fontId="0" fillId="0" borderId="8" xfId="0" applyBorder="1" applyAlignment="1">
      <alignment horizontal="left"/>
    </xf>
    <xf numFmtId="167" fontId="0" fillId="0" borderId="45" xfId="0" applyNumberFormat="1" applyBorder="1" applyAlignment="1">
      <alignment horizontal="center" wrapText="1"/>
    </xf>
    <xf numFmtId="167" fontId="0" fillId="0" borderId="36" xfId="0" applyNumberFormat="1" applyBorder="1" applyAlignment="1">
      <alignment horizontal="center" wrapText="1"/>
    </xf>
    <xf numFmtId="0" fontId="1" fillId="3" borderId="12" xfId="0" applyFont="1" applyFill="1" applyBorder="1" applyAlignment="1">
      <alignment horizontal="center"/>
    </xf>
    <xf numFmtId="0" fontId="1" fillId="3" borderId="13" xfId="0" applyFont="1" applyFill="1" applyBorder="1" applyAlignment="1">
      <alignment horizontal="center"/>
    </xf>
    <xf numFmtId="0" fontId="1" fillId="3" borderId="14" xfId="0" applyFont="1" applyFill="1" applyBorder="1" applyAlignment="1">
      <alignment horizontal="center"/>
    </xf>
    <xf numFmtId="0" fontId="1" fillId="3" borderId="21" xfId="0" applyFont="1" applyFill="1" applyBorder="1" applyAlignment="1">
      <alignment horizontal="center"/>
    </xf>
    <xf numFmtId="0" fontId="1" fillId="3" borderId="22" xfId="0" applyFont="1" applyFill="1" applyBorder="1" applyAlignment="1">
      <alignment horizontal="center"/>
    </xf>
    <xf numFmtId="0" fontId="1" fillId="3" borderId="23" xfId="0" applyFont="1" applyFill="1" applyBorder="1" applyAlignment="1">
      <alignment horizontal="center"/>
    </xf>
    <xf numFmtId="167" fontId="0" fillId="0" borderId="52" xfId="0" applyNumberFormat="1" applyBorder="1" applyAlignment="1">
      <alignment horizontal="center" wrapText="1"/>
    </xf>
    <xf numFmtId="167" fontId="0" fillId="0" borderId="45" xfId="0" applyNumberFormat="1" applyFill="1" applyBorder="1" applyAlignment="1">
      <alignment horizontal="center" wrapText="1"/>
    </xf>
    <xf numFmtId="167" fontId="0" fillId="0" borderId="36" xfId="0" applyNumberFormat="1" applyFill="1" applyBorder="1" applyAlignment="1">
      <alignment horizontal="center" wrapText="1"/>
    </xf>
    <xf numFmtId="0" fontId="1" fillId="3" borderId="21" xfId="0" applyFont="1" applyFill="1" applyBorder="1" applyAlignment="1">
      <alignment horizontal="center" wrapText="1"/>
    </xf>
    <xf numFmtId="0" fontId="1" fillId="3" borderId="22" xfId="0" applyFont="1" applyFill="1" applyBorder="1" applyAlignment="1">
      <alignment horizontal="center" wrapText="1"/>
    </xf>
    <xf numFmtId="0" fontId="1" fillId="3" borderId="23" xfId="0" applyFont="1" applyFill="1" applyBorder="1" applyAlignment="1">
      <alignment horizontal="center" wrapText="1"/>
    </xf>
    <xf numFmtId="167" fontId="0" fillId="0" borderId="39" xfId="0" applyNumberFormat="1" applyBorder="1" applyAlignment="1">
      <alignment horizontal="center" wrapText="1"/>
    </xf>
    <xf numFmtId="0" fontId="1" fillId="3" borderId="19" xfId="0" applyFont="1" applyFill="1" applyBorder="1" applyAlignment="1">
      <alignment horizontal="left"/>
    </xf>
    <xf numFmtId="0" fontId="1" fillId="3" borderId="15" xfId="0" applyFont="1" applyFill="1" applyBorder="1" applyAlignment="1">
      <alignment horizontal="left"/>
    </xf>
    <xf numFmtId="0" fontId="0" fillId="0" borderId="5" xfId="0" applyBorder="1" applyAlignment="1">
      <alignment horizontal="left"/>
    </xf>
    <xf numFmtId="0" fontId="0" fillId="0" borderId="1" xfId="0" applyBorder="1" applyAlignment="1">
      <alignment horizontal="left"/>
    </xf>
    <xf numFmtId="0" fontId="1" fillId="2" borderId="12" xfId="0" applyFont="1" applyFill="1" applyBorder="1" applyAlignment="1">
      <alignment horizontal="center"/>
    </xf>
    <xf numFmtId="0" fontId="1" fillId="2" borderId="13" xfId="0" applyFont="1" applyFill="1" applyBorder="1" applyAlignment="1">
      <alignment horizontal="center"/>
    </xf>
    <xf numFmtId="0" fontId="1" fillId="2" borderId="14"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27" xfId="0" applyFont="1" applyFill="1" applyBorder="1" applyAlignment="1">
      <alignment horizontal="center"/>
    </xf>
    <xf numFmtId="0" fontId="1" fillId="2" borderId="28" xfId="0" applyFont="1" applyFill="1" applyBorder="1" applyAlignment="1">
      <alignment horizontal="center"/>
    </xf>
    <xf numFmtId="0" fontId="1" fillId="2" borderId="29"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center"/>
    </xf>
    <xf numFmtId="0" fontId="1" fillId="2" borderId="23" xfId="0" applyFont="1" applyFill="1" applyBorder="1" applyAlignment="1">
      <alignment horizontal="center"/>
    </xf>
    <xf numFmtId="0" fontId="1" fillId="2" borderId="16" xfId="0" applyFont="1" applyFill="1" applyBorder="1" applyAlignment="1">
      <alignment horizontal="center"/>
    </xf>
    <xf numFmtId="0" fontId="1" fillId="2" borderId="17" xfId="0" applyFont="1" applyFill="1" applyBorder="1" applyAlignment="1">
      <alignment horizontal="center"/>
    </xf>
    <xf numFmtId="0" fontId="1" fillId="2" borderId="37" xfId="0" applyFont="1" applyFill="1" applyBorder="1" applyAlignment="1">
      <alignment horizontal="center"/>
    </xf>
    <xf numFmtId="0" fontId="0" fillId="0" borderId="1" xfId="0" applyFill="1" applyBorder="1" applyAlignment="1">
      <alignment horizontal="left"/>
    </xf>
    <xf numFmtId="0" fontId="0" fillId="0" borderId="6" xfId="0" applyFill="1" applyBorder="1" applyAlignment="1">
      <alignment horizontal="left"/>
    </xf>
    <xf numFmtId="0" fontId="0" fillId="0" borderId="8" xfId="0" applyFill="1" applyBorder="1" applyAlignment="1">
      <alignment horizontal="left"/>
    </xf>
    <xf numFmtId="0" fontId="0" fillId="0" borderId="9" xfId="0" applyFill="1" applyBorder="1" applyAlignment="1">
      <alignment horizontal="left"/>
    </xf>
    <xf numFmtId="0" fontId="0" fillId="0" borderId="1" xfId="0" applyBorder="1" applyAlignment="1">
      <alignment horizontal="left" wrapText="1"/>
    </xf>
    <xf numFmtId="0" fontId="0" fillId="0" borderId="6" xfId="0" applyBorder="1" applyAlignment="1">
      <alignment horizontal="left"/>
    </xf>
    <xf numFmtId="0" fontId="0" fillId="0" borderId="42" xfId="0" applyFill="1" applyBorder="1" applyAlignment="1">
      <alignment horizontal="left"/>
    </xf>
    <xf numFmtId="0" fontId="0" fillId="0" borderId="43" xfId="0" applyFill="1" applyBorder="1" applyAlignment="1">
      <alignment horizontal="left"/>
    </xf>
    <xf numFmtId="4" fontId="1" fillId="2" borderId="21" xfId="0" applyNumberFormat="1" applyFont="1" applyFill="1" applyBorder="1" applyAlignment="1">
      <alignment horizontal="center"/>
    </xf>
    <xf numFmtId="4" fontId="1" fillId="2" borderId="22" xfId="0" applyNumberFormat="1" applyFont="1" applyFill="1" applyBorder="1" applyAlignment="1">
      <alignment horizontal="center"/>
    </xf>
    <xf numFmtId="4" fontId="1" fillId="2" borderId="23" xfId="0" applyNumberFormat="1" applyFont="1" applyFill="1" applyBorder="1" applyAlignment="1">
      <alignment horizontal="center"/>
    </xf>
    <xf numFmtId="4" fontId="1" fillId="2" borderId="3" xfId="0" applyNumberFormat="1" applyFont="1" applyFill="1" applyBorder="1" applyAlignment="1">
      <alignment horizontal="center"/>
    </xf>
    <xf numFmtId="4" fontId="1" fillId="2" borderId="4" xfId="0" applyNumberFormat="1" applyFont="1" applyFill="1" applyBorder="1" applyAlignment="1">
      <alignment horizontal="center"/>
    </xf>
    <xf numFmtId="4" fontId="0" fillId="0" borderId="1" xfId="0" applyNumberFormat="1" applyBorder="1" applyAlignment="1">
      <alignment horizontal="left"/>
    </xf>
    <xf numFmtId="4" fontId="0" fillId="0" borderId="6" xfId="0" applyNumberFormat="1" applyBorder="1" applyAlignment="1">
      <alignment horizontal="left"/>
    </xf>
    <xf numFmtId="0" fontId="0" fillId="0" borderId="39" xfId="0" applyBorder="1" applyAlignment="1">
      <alignment horizontal="left"/>
    </xf>
    <xf numFmtId="0" fontId="0" fillId="0" borderId="40" xfId="0" applyBorder="1" applyAlignment="1">
      <alignment horizontal="left"/>
    </xf>
    <xf numFmtId="0" fontId="1" fillId="3" borderId="33" xfId="0" applyFont="1" applyFill="1" applyBorder="1" applyAlignment="1">
      <alignment horizontal="center" wrapText="1"/>
    </xf>
    <xf numFmtId="0" fontId="1" fillId="3" borderId="32" xfId="0" applyFont="1" applyFill="1" applyBorder="1" applyAlignment="1">
      <alignment horizontal="center" wrapText="1"/>
    </xf>
    <xf numFmtId="0" fontId="1" fillId="3" borderId="34" xfId="0" applyFont="1" applyFill="1" applyBorder="1" applyAlignment="1">
      <alignment horizontal="center" wrapText="1"/>
    </xf>
    <xf numFmtId="0" fontId="0" fillId="0" borderId="24" xfId="0" applyBorder="1" applyAlignment="1">
      <alignment horizontal="left" wrapText="1"/>
    </xf>
    <xf numFmtId="0" fontId="0" fillId="0" borderId="10" xfId="0" applyBorder="1" applyAlignment="1">
      <alignment horizontal="left" wrapText="1"/>
    </xf>
    <xf numFmtId="0" fontId="0" fillId="0" borderId="25" xfId="0" applyBorder="1" applyAlignment="1">
      <alignment horizontal="left" wrapText="1"/>
    </xf>
    <xf numFmtId="0" fontId="0" fillId="0" borderId="30" xfId="0" applyBorder="1" applyAlignment="1">
      <alignment horizontal="left" wrapText="1"/>
    </xf>
    <xf numFmtId="0" fontId="0" fillId="0" borderId="0" xfId="0" applyBorder="1" applyAlignment="1">
      <alignment horizontal="left" wrapText="1"/>
    </xf>
    <xf numFmtId="0" fontId="0" fillId="0" borderId="57" xfId="0" applyBorder="1" applyAlignment="1">
      <alignment horizontal="left" wrapText="1"/>
    </xf>
    <xf numFmtId="0" fontId="0" fillId="0" borderId="26" xfId="0" applyBorder="1" applyAlignment="1">
      <alignment horizontal="left" wrapText="1"/>
    </xf>
    <xf numFmtId="0" fontId="0" fillId="0" borderId="58" xfId="0" applyBorder="1" applyAlignment="1">
      <alignment horizontal="left" wrapText="1"/>
    </xf>
    <xf numFmtId="0" fontId="0" fillId="0" borderId="59" xfId="0" applyBorder="1" applyAlignment="1">
      <alignment horizontal="left" wrapText="1"/>
    </xf>
    <xf numFmtId="0" fontId="0" fillId="0" borderId="0" xfId="0" applyBorder="1" applyAlignment="1">
      <alignment horizontal="left"/>
    </xf>
    <xf numFmtId="0" fontId="1" fillId="3" borderId="24" xfId="0" applyFont="1" applyFill="1" applyBorder="1" applyAlignment="1">
      <alignment horizontal="center" wrapText="1"/>
    </xf>
    <xf numFmtId="0" fontId="1" fillId="3" borderId="30" xfId="0" applyFont="1" applyFill="1" applyBorder="1" applyAlignment="1">
      <alignment horizontal="center" wrapText="1"/>
    </xf>
    <xf numFmtId="0" fontId="1" fillId="3" borderId="26" xfId="0" applyFont="1" applyFill="1" applyBorder="1" applyAlignment="1">
      <alignment horizontal="center" wrapText="1"/>
    </xf>
    <xf numFmtId="0" fontId="1" fillId="3" borderId="10" xfId="0" applyFont="1" applyFill="1" applyBorder="1" applyAlignment="1">
      <alignment horizontal="center" wrapText="1"/>
    </xf>
    <xf numFmtId="0" fontId="1" fillId="3" borderId="25" xfId="0" applyFont="1" applyFill="1" applyBorder="1" applyAlignment="1">
      <alignment horizontal="center" wrapText="1"/>
    </xf>
    <xf numFmtId="0" fontId="1" fillId="3" borderId="27" xfId="0" applyFont="1" applyFill="1" applyBorder="1" applyAlignment="1">
      <alignment horizontal="center" wrapText="1"/>
    </xf>
    <xf numFmtId="0" fontId="1" fillId="3" borderId="29" xfId="0" applyFont="1" applyFill="1" applyBorder="1" applyAlignment="1">
      <alignment horizontal="center" wrapText="1"/>
    </xf>
    <xf numFmtId="0" fontId="1" fillId="2" borderId="15" xfId="0" applyFont="1" applyFill="1" applyBorder="1" applyAlignment="1">
      <alignment horizontal="center" wrapText="1"/>
    </xf>
    <xf numFmtId="0" fontId="1" fillId="2" borderId="20" xfId="0" applyFont="1" applyFill="1" applyBorder="1" applyAlignment="1">
      <alignment horizontal="center" wrapText="1"/>
    </xf>
    <xf numFmtId="0" fontId="0" fillId="0" borderId="9" xfId="0" applyBorder="1" applyAlignment="1">
      <alignment horizontal="left"/>
    </xf>
    <xf numFmtId="0" fontId="1" fillId="2" borderId="21" xfId="0" applyFont="1" applyFill="1" applyBorder="1" applyAlignment="1">
      <alignment horizontal="center" wrapText="1"/>
    </xf>
    <xf numFmtId="0" fontId="1" fillId="2" borderId="22" xfId="0" applyFont="1" applyFill="1" applyBorder="1" applyAlignment="1">
      <alignment horizontal="center" wrapText="1"/>
    </xf>
    <xf numFmtId="0" fontId="1" fillId="2" borderId="23" xfId="0" applyFont="1" applyFill="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left"/>
    </xf>
    <xf numFmtId="0" fontId="1" fillId="0" borderId="1" xfId="0" applyFont="1" applyBorder="1" applyAlignment="1">
      <alignment horizontal="left"/>
    </xf>
    <xf numFmtId="0" fontId="1" fillId="0" borderId="6" xfId="0" applyFont="1" applyBorder="1" applyAlignment="1">
      <alignment horizontal="left"/>
    </xf>
    <xf numFmtId="0" fontId="1" fillId="0" borderId="5" xfId="0" applyFont="1" applyBorder="1" applyAlignment="1">
      <alignment horizontal="left" wrapText="1"/>
    </xf>
    <xf numFmtId="0" fontId="1" fillId="0" borderId="1" xfId="0" applyFont="1" applyBorder="1" applyAlignment="1">
      <alignment horizontal="left" wrapText="1"/>
    </xf>
    <xf numFmtId="0" fontId="1" fillId="0" borderId="6" xfId="0" applyFont="1" applyBorder="1" applyAlignment="1">
      <alignment horizontal="left" wrapText="1"/>
    </xf>
    <xf numFmtId="0" fontId="0" fillId="23" borderId="1" xfId="0" applyFill="1" applyBorder="1" applyAlignment="1">
      <alignment horizontal="center" vertical="center" wrapText="1"/>
    </xf>
    <xf numFmtId="0" fontId="0" fillId="5" borderId="1" xfId="0" applyFill="1" applyBorder="1" applyAlignment="1">
      <alignment horizontal="center" vertical="center" wrapText="1"/>
    </xf>
    <xf numFmtId="0" fontId="5" fillId="0" borderId="1" xfId="0" applyFont="1" applyBorder="1" applyAlignment="1">
      <alignment horizontal="center"/>
    </xf>
    <xf numFmtId="0" fontId="6" fillId="0" borderId="1" xfId="0" applyFont="1" applyBorder="1" applyAlignment="1">
      <alignment horizontal="left" vertical="center" wrapText="1"/>
    </xf>
    <xf numFmtId="0" fontId="6" fillId="15" borderId="47" xfId="0" applyFont="1" applyFill="1" applyBorder="1" applyAlignment="1">
      <alignment horizontal="center" vertical="center" wrapText="1"/>
    </xf>
    <xf numFmtId="0" fontId="6" fillId="15" borderId="11" xfId="0" applyFont="1" applyFill="1" applyBorder="1" applyAlignment="1">
      <alignment horizontal="center" vertical="center" wrapText="1"/>
    </xf>
    <xf numFmtId="0" fontId="6" fillId="16" borderId="47" xfId="0" applyFont="1" applyFill="1" applyBorder="1" applyAlignment="1">
      <alignment horizontal="center" vertical="center" wrapText="1"/>
    </xf>
    <xf numFmtId="0" fontId="6" fillId="16" borderId="11" xfId="0" applyFont="1" applyFill="1" applyBorder="1" applyAlignment="1">
      <alignment horizontal="center" vertical="center" wrapText="1"/>
    </xf>
    <xf numFmtId="40" fontId="6" fillId="17" borderId="47" xfId="0" applyNumberFormat="1" applyFont="1" applyFill="1" applyBorder="1" applyAlignment="1">
      <alignment horizontal="center" vertical="center"/>
    </xf>
    <xf numFmtId="40" fontId="6" fillId="17" borderId="11" xfId="0" applyNumberFormat="1" applyFont="1" applyFill="1" applyBorder="1" applyAlignment="1">
      <alignment horizontal="center" vertical="center"/>
    </xf>
    <xf numFmtId="0" fontId="6" fillId="0" borderId="47" xfId="0" applyFont="1" applyBorder="1" applyAlignment="1">
      <alignment horizontal="center" vertical="center" wrapText="1"/>
    </xf>
    <xf numFmtId="0" fontId="6" fillId="0" borderId="11" xfId="0" applyFont="1" applyBorder="1" applyAlignment="1">
      <alignment horizontal="center" vertical="center" wrapText="1"/>
    </xf>
    <xf numFmtId="0" fontId="1" fillId="2" borderId="19" xfId="0" applyFont="1" applyFill="1" applyBorder="1" applyAlignment="1">
      <alignment horizontal="center"/>
    </xf>
    <xf numFmtId="0" fontId="1" fillId="2" borderId="15" xfId="0" applyFont="1" applyFill="1" applyBorder="1" applyAlignment="1">
      <alignment horizontal="center"/>
    </xf>
    <xf numFmtId="0" fontId="1" fillId="2" borderId="20"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BAE18F"/>
      <color rgb="FFEF8B47"/>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Incidents vs Tank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'RedHill Release Incidents'!$B$86:$B$105</c:f>
              <c:strCache>
                <c:ptCount val="20"/>
                <c:pt idx="0">
                  <c:v>Tank 1</c:v>
                </c:pt>
                <c:pt idx="1">
                  <c:v>Tank 2</c:v>
                </c:pt>
                <c:pt idx="2">
                  <c:v>Tank 3</c:v>
                </c:pt>
                <c:pt idx="3">
                  <c:v>Tank 4</c:v>
                </c:pt>
                <c:pt idx="4">
                  <c:v>Tank 5</c:v>
                </c:pt>
                <c:pt idx="5">
                  <c:v>Tank 6</c:v>
                </c:pt>
                <c:pt idx="6">
                  <c:v>Tank 7</c:v>
                </c:pt>
                <c:pt idx="7">
                  <c:v>Tank 8</c:v>
                </c:pt>
                <c:pt idx="8">
                  <c:v>Tank 9</c:v>
                </c:pt>
                <c:pt idx="9">
                  <c:v>Tank 10</c:v>
                </c:pt>
                <c:pt idx="10">
                  <c:v>Tank 11</c:v>
                </c:pt>
                <c:pt idx="11">
                  <c:v>Tank 12</c:v>
                </c:pt>
                <c:pt idx="12">
                  <c:v>Tank 13</c:v>
                </c:pt>
                <c:pt idx="13">
                  <c:v>Tank 14</c:v>
                </c:pt>
                <c:pt idx="14">
                  <c:v>Tank 15</c:v>
                </c:pt>
                <c:pt idx="15">
                  <c:v>Tank 16</c:v>
                </c:pt>
                <c:pt idx="16">
                  <c:v>Tank 17</c:v>
                </c:pt>
                <c:pt idx="17">
                  <c:v>Tank 18</c:v>
                </c:pt>
                <c:pt idx="18">
                  <c:v>Tank 19</c:v>
                </c:pt>
                <c:pt idx="19">
                  <c:v>Tank 20</c:v>
                </c:pt>
              </c:strCache>
            </c:strRef>
          </c:cat>
          <c:val>
            <c:numRef>
              <c:f>'RedHill Release Incidents'!$C$86:$C$105</c:f>
              <c:numCache>
                <c:formatCode>General</c:formatCode>
                <c:ptCount val="20"/>
                <c:pt idx="0">
                  <c:v>21</c:v>
                </c:pt>
                <c:pt idx="1">
                  <c:v>5</c:v>
                </c:pt>
                <c:pt idx="2">
                  <c:v>1</c:v>
                </c:pt>
                <c:pt idx="3">
                  <c:v>0</c:v>
                </c:pt>
                <c:pt idx="4">
                  <c:v>5</c:v>
                </c:pt>
                <c:pt idx="5">
                  <c:v>2</c:v>
                </c:pt>
                <c:pt idx="6">
                  <c:v>3</c:v>
                </c:pt>
                <c:pt idx="7">
                  <c:v>0</c:v>
                </c:pt>
                <c:pt idx="8">
                  <c:v>3</c:v>
                </c:pt>
                <c:pt idx="9">
                  <c:v>4</c:v>
                </c:pt>
                <c:pt idx="10">
                  <c:v>1</c:v>
                </c:pt>
                <c:pt idx="11">
                  <c:v>2</c:v>
                </c:pt>
                <c:pt idx="12">
                  <c:v>2</c:v>
                </c:pt>
                <c:pt idx="13">
                  <c:v>1</c:v>
                </c:pt>
                <c:pt idx="14">
                  <c:v>1</c:v>
                </c:pt>
                <c:pt idx="15">
                  <c:v>6</c:v>
                </c:pt>
                <c:pt idx="16">
                  <c:v>3</c:v>
                </c:pt>
                <c:pt idx="17">
                  <c:v>0</c:v>
                </c:pt>
                <c:pt idx="18">
                  <c:v>1</c:v>
                </c:pt>
                <c:pt idx="19">
                  <c:v>0</c:v>
                </c:pt>
              </c:numCache>
            </c:numRef>
          </c:val>
          <c:extLst>
            <c:ext xmlns:c16="http://schemas.microsoft.com/office/drawing/2014/chart" uri="{C3380CC4-5D6E-409C-BE32-E72D297353CC}">
              <c16:uniqueId val="{00000000-EAED-44EB-88BC-17293D73400D}"/>
            </c:ext>
          </c:extLst>
        </c:ser>
        <c:dLbls>
          <c:showLegendKey val="0"/>
          <c:showVal val="0"/>
          <c:showCatName val="0"/>
          <c:showSerName val="0"/>
          <c:showPercent val="0"/>
          <c:showBubbleSize val="0"/>
        </c:dLbls>
        <c:gapWidth val="219"/>
        <c:overlap val="-27"/>
        <c:axId val="373707344"/>
        <c:axId val="373707736"/>
      </c:barChart>
      <c:catAx>
        <c:axId val="37370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3707736"/>
        <c:crosses val="autoZero"/>
        <c:auto val="1"/>
        <c:lblAlgn val="ctr"/>
        <c:lblOffset val="100"/>
        <c:noMultiLvlLbl val="0"/>
      </c:catAx>
      <c:valAx>
        <c:axId val="373707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3707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RTS </a:t>
            </a:r>
            <a:r>
              <a:rPr lang="en-US" baseline="0"/>
              <a:t> / Year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numRef>
              <c:f>RTS_Trend!$B$2:$B$75</c:f>
              <c:numCache>
                <c:formatCode>General</c:formatCode>
                <c:ptCount val="74"/>
                <c:pt idx="0">
                  <c:v>1944</c:v>
                </c:pt>
                <c:pt idx="1">
                  <c:v>1945</c:v>
                </c:pt>
                <c:pt idx="2">
                  <c:v>1946</c:v>
                </c:pt>
                <c:pt idx="3">
                  <c:v>1947</c:v>
                </c:pt>
                <c:pt idx="4">
                  <c:v>1948</c:v>
                </c:pt>
                <c:pt idx="5">
                  <c:v>1949</c:v>
                </c:pt>
                <c:pt idx="6">
                  <c:v>1950</c:v>
                </c:pt>
                <c:pt idx="7">
                  <c:v>1951</c:v>
                </c:pt>
                <c:pt idx="8">
                  <c:v>1952</c:v>
                </c:pt>
                <c:pt idx="9">
                  <c:v>1953</c:v>
                </c:pt>
                <c:pt idx="10">
                  <c:v>1954</c:v>
                </c:pt>
                <c:pt idx="11">
                  <c:v>1955</c:v>
                </c:pt>
                <c:pt idx="12">
                  <c:v>1956</c:v>
                </c:pt>
                <c:pt idx="13">
                  <c:v>1957</c:v>
                </c:pt>
                <c:pt idx="14">
                  <c:v>1958</c:v>
                </c:pt>
                <c:pt idx="15">
                  <c:v>1959</c:v>
                </c:pt>
                <c:pt idx="16">
                  <c:v>1960</c:v>
                </c:pt>
                <c:pt idx="17">
                  <c:v>1961</c:v>
                </c:pt>
                <c:pt idx="18">
                  <c:v>1962</c:v>
                </c:pt>
                <c:pt idx="19">
                  <c:v>1963</c:v>
                </c:pt>
                <c:pt idx="20">
                  <c:v>1964</c:v>
                </c:pt>
                <c:pt idx="21">
                  <c:v>1965</c:v>
                </c:pt>
                <c:pt idx="22">
                  <c:v>1966</c:v>
                </c:pt>
                <c:pt idx="23">
                  <c:v>1967</c:v>
                </c:pt>
                <c:pt idx="24">
                  <c:v>1968</c:v>
                </c:pt>
                <c:pt idx="25">
                  <c:v>1969</c:v>
                </c:pt>
                <c:pt idx="26">
                  <c:v>1970</c:v>
                </c:pt>
                <c:pt idx="27">
                  <c:v>1971</c:v>
                </c:pt>
                <c:pt idx="28">
                  <c:v>1972</c:v>
                </c:pt>
                <c:pt idx="29">
                  <c:v>1973</c:v>
                </c:pt>
                <c:pt idx="30">
                  <c:v>1974</c:v>
                </c:pt>
                <c:pt idx="31">
                  <c:v>1975</c:v>
                </c:pt>
                <c:pt idx="32">
                  <c:v>1976</c:v>
                </c:pt>
                <c:pt idx="33">
                  <c:v>1977</c:v>
                </c:pt>
                <c:pt idx="34">
                  <c:v>1978</c:v>
                </c:pt>
                <c:pt idx="35">
                  <c:v>1979</c:v>
                </c:pt>
                <c:pt idx="36">
                  <c:v>1980</c:v>
                </c:pt>
                <c:pt idx="37">
                  <c:v>1981</c:v>
                </c:pt>
                <c:pt idx="38">
                  <c:v>1982</c:v>
                </c:pt>
                <c:pt idx="39">
                  <c:v>1983</c:v>
                </c:pt>
                <c:pt idx="40">
                  <c:v>1984</c:v>
                </c:pt>
                <c:pt idx="41">
                  <c:v>1985</c:v>
                </c:pt>
                <c:pt idx="42">
                  <c:v>1986</c:v>
                </c:pt>
                <c:pt idx="43">
                  <c:v>1987</c:v>
                </c:pt>
                <c:pt idx="44">
                  <c:v>1988</c:v>
                </c:pt>
                <c:pt idx="45">
                  <c:v>1989</c:v>
                </c:pt>
                <c:pt idx="46">
                  <c:v>1990</c:v>
                </c:pt>
                <c:pt idx="47">
                  <c:v>1991</c:v>
                </c:pt>
                <c:pt idx="48">
                  <c:v>1992</c:v>
                </c:pt>
                <c:pt idx="49">
                  <c:v>1993</c:v>
                </c:pt>
                <c:pt idx="50">
                  <c:v>1994</c:v>
                </c:pt>
                <c:pt idx="51">
                  <c:v>1995</c:v>
                </c:pt>
                <c:pt idx="52">
                  <c:v>1996</c:v>
                </c:pt>
                <c:pt idx="53">
                  <c:v>1997</c:v>
                </c:pt>
                <c:pt idx="54">
                  <c:v>1998</c:v>
                </c:pt>
                <c:pt idx="55">
                  <c:v>1999</c:v>
                </c:pt>
                <c:pt idx="56">
                  <c:v>2000</c:v>
                </c:pt>
                <c:pt idx="57">
                  <c:v>2001</c:v>
                </c:pt>
                <c:pt idx="58">
                  <c:v>2002</c:v>
                </c:pt>
                <c:pt idx="59">
                  <c:v>2003</c:v>
                </c:pt>
                <c:pt idx="60">
                  <c:v>2004</c:v>
                </c:pt>
                <c:pt idx="61">
                  <c:v>2005</c:v>
                </c:pt>
                <c:pt idx="62">
                  <c:v>2006</c:v>
                </c:pt>
                <c:pt idx="63">
                  <c:v>2007</c:v>
                </c:pt>
                <c:pt idx="64">
                  <c:v>2008</c:v>
                </c:pt>
                <c:pt idx="65">
                  <c:v>2009</c:v>
                </c:pt>
                <c:pt idx="66">
                  <c:v>2010</c:v>
                </c:pt>
                <c:pt idx="67">
                  <c:v>2011</c:v>
                </c:pt>
                <c:pt idx="68">
                  <c:v>2012</c:v>
                </c:pt>
                <c:pt idx="69">
                  <c:v>2013</c:v>
                </c:pt>
                <c:pt idx="70">
                  <c:v>2014</c:v>
                </c:pt>
                <c:pt idx="71">
                  <c:v>2015</c:v>
                </c:pt>
                <c:pt idx="72">
                  <c:v>2016</c:v>
                </c:pt>
                <c:pt idx="73">
                  <c:v>2017</c:v>
                </c:pt>
              </c:numCache>
            </c:numRef>
          </c:cat>
          <c:val>
            <c:numRef>
              <c:f>RTS_Trend!$C$2:$C$75</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1</c:v>
                </c:pt>
                <c:pt idx="35">
                  <c:v>0</c:v>
                </c:pt>
                <c:pt idx="36">
                  <c:v>1</c:v>
                </c:pt>
                <c:pt idx="37">
                  <c:v>7</c:v>
                </c:pt>
                <c:pt idx="38">
                  <c:v>1</c:v>
                </c:pt>
                <c:pt idx="39">
                  <c:v>1</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1</c:v>
                </c:pt>
                <c:pt idx="71">
                  <c:v>0</c:v>
                </c:pt>
                <c:pt idx="72">
                  <c:v>0</c:v>
                </c:pt>
                <c:pt idx="73">
                  <c:v>0</c:v>
                </c:pt>
              </c:numCache>
            </c:numRef>
          </c:val>
          <c:extLst>
            <c:ext xmlns:c16="http://schemas.microsoft.com/office/drawing/2014/chart" uri="{C3380CC4-5D6E-409C-BE32-E72D297353CC}">
              <c16:uniqueId val="{00000000-9040-49E3-947B-51B3D784A32F}"/>
            </c:ext>
          </c:extLst>
        </c:ser>
        <c:dLbls>
          <c:showLegendKey val="0"/>
          <c:showVal val="0"/>
          <c:showCatName val="0"/>
          <c:showSerName val="0"/>
          <c:showPercent val="0"/>
          <c:showBubbleSize val="0"/>
        </c:dLbls>
        <c:gapWidth val="219"/>
        <c:overlap val="-27"/>
        <c:axId val="371477672"/>
        <c:axId val="371478064"/>
      </c:barChart>
      <c:catAx>
        <c:axId val="371477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1478064"/>
        <c:crosses val="autoZero"/>
        <c:auto val="1"/>
        <c:lblAlgn val="ctr"/>
        <c:lblOffset val="100"/>
        <c:noMultiLvlLbl val="0"/>
      </c:catAx>
      <c:valAx>
        <c:axId val="371478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1477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TT-OP /</a:t>
            </a:r>
            <a:r>
              <a:rPr lang="en-US" baseline="0"/>
              <a:t> Year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numRef>
              <c:f>TT_Trend!$B$2:$B$75</c:f>
              <c:numCache>
                <c:formatCode>General</c:formatCode>
                <c:ptCount val="74"/>
                <c:pt idx="0">
                  <c:v>1944</c:v>
                </c:pt>
                <c:pt idx="1">
                  <c:v>1945</c:v>
                </c:pt>
                <c:pt idx="2">
                  <c:v>1946</c:v>
                </c:pt>
                <c:pt idx="3">
                  <c:v>1947</c:v>
                </c:pt>
                <c:pt idx="4">
                  <c:v>1948</c:v>
                </c:pt>
                <c:pt idx="5">
                  <c:v>1949</c:v>
                </c:pt>
                <c:pt idx="6">
                  <c:v>1950</c:v>
                </c:pt>
                <c:pt idx="7">
                  <c:v>1951</c:v>
                </c:pt>
                <c:pt idx="8">
                  <c:v>1952</c:v>
                </c:pt>
                <c:pt idx="9">
                  <c:v>1953</c:v>
                </c:pt>
                <c:pt idx="10">
                  <c:v>1954</c:v>
                </c:pt>
                <c:pt idx="11">
                  <c:v>1955</c:v>
                </c:pt>
                <c:pt idx="12">
                  <c:v>1956</c:v>
                </c:pt>
                <c:pt idx="13">
                  <c:v>1957</c:v>
                </c:pt>
                <c:pt idx="14">
                  <c:v>1958</c:v>
                </c:pt>
                <c:pt idx="15">
                  <c:v>1959</c:v>
                </c:pt>
                <c:pt idx="16">
                  <c:v>1960</c:v>
                </c:pt>
                <c:pt idx="17">
                  <c:v>1961</c:v>
                </c:pt>
                <c:pt idx="18">
                  <c:v>1962</c:v>
                </c:pt>
                <c:pt idx="19">
                  <c:v>1963</c:v>
                </c:pt>
                <c:pt idx="20">
                  <c:v>1964</c:v>
                </c:pt>
                <c:pt idx="21">
                  <c:v>1965</c:v>
                </c:pt>
                <c:pt idx="22">
                  <c:v>1966</c:v>
                </c:pt>
                <c:pt idx="23">
                  <c:v>1967</c:v>
                </c:pt>
                <c:pt idx="24">
                  <c:v>1968</c:v>
                </c:pt>
                <c:pt idx="25">
                  <c:v>1969</c:v>
                </c:pt>
                <c:pt idx="26">
                  <c:v>1970</c:v>
                </c:pt>
                <c:pt idx="27">
                  <c:v>1971</c:v>
                </c:pt>
                <c:pt idx="28">
                  <c:v>1972</c:v>
                </c:pt>
                <c:pt idx="29">
                  <c:v>1973</c:v>
                </c:pt>
                <c:pt idx="30">
                  <c:v>1974</c:v>
                </c:pt>
                <c:pt idx="31">
                  <c:v>1975</c:v>
                </c:pt>
                <c:pt idx="32">
                  <c:v>1976</c:v>
                </c:pt>
                <c:pt idx="33">
                  <c:v>1977</c:v>
                </c:pt>
                <c:pt idx="34">
                  <c:v>1978</c:v>
                </c:pt>
                <c:pt idx="35">
                  <c:v>1979</c:v>
                </c:pt>
                <c:pt idx="36">
                  <c:v>1980</c:v>
                </c:pt>
                <c:pt idx="37">
                  <c:v>1981</c:v>
                </c:pt>
                <c:pt idx="38">
                  <c:v>1982</c:v>
                </c:pt>
                <c:pt idx="39">
                  <c:v>1983</c:v>
                </c:pt>
                <c:pt idx="40">
                  <c:v>1984</c:v>
                </c:pt>
                <c:pt idx="41">
                  <c:v>1985</c:v>
                </c:pt>
                <c:pt idx="42">
                  <c:v>1986</c:v>
                </c:pt>
                <c:pt idx="43">
                  <c:v>1987</c:v>
                </c:pt>
                <c:pt idx="44">
                  <c:v>1988</c:v>
                </c:pt>
                <c:pt idx="45">
                  <c:v>1989</c:v>
                </c:pt>
                <c:pt idx="46">
                  <c:v>1990</c:v>
                </c:pt>
                <c:pt idx="47">
                  <c:v>1991</c:v>
                </c:pt>
                <c:pt idx="48">
                  <c:v>1992</c:v>
                </c:pt>
                <c:pt idx="49">
                  <c:v>1993</c:v>
                </c:pt>
                <c:pt idx="50">
                  <c:v>1994</c:v>
                </c:pt>
                <c:pt idx="51">
                  <c:v>1995</c:v>
                </c:pt>
                <c:pt idx="52">
                  <c:v>1996</c:v>
                </c:pt>
                <c:pt idx="53">
                  <c:v>1997</c:v>
                </c:pt>
                <c:pt idx="54">
                  <c:v>1998</c:v>
                </c:pt>
                <c:pt idx="55">
                  <c:v>1999</c:v>
                </c:pt>
                <c:pt idx="56">
                  <c:v>2000</c:v>
                </c:pt>
                <c:pt idx="57">
                  <c:v>2001</c:v>
                </c:pt>
                <c:pt idx="58">
                  <c:v>2002</c:v>
                </c:pt>
                <c:pt idx="59">
                  <c:v>2003</c:v>
                </c:pt>
                <c:pt idx="60">
                  <c:v>2004</c:v>
                </c:pt>
                <c:pt idx="61">
                  <c:v>2005</c:v>
                </c:pt>
                <c:pt idx="62">
                  <c:v>2006</c:v>
                </c:pt>
                <c:pt idx="63">
                  <c:v>2007</c:v>
                </c:pt>
                <c:pt idx="64">
                  <c:v>2008</c:v>
                </c:pt>
                <c:pt idx="65">
                  <c:v>2009</c:v>
                </c:pt>
                <c:pt idx="66">
                  <c:v>2010</c:v>
                </c:pt>
                <c:pt idx="67">
                  <c:v>2011</c:v>
                </c:pt>
                <c:pt idx="68">
                  <c:v>2012</c:v>
                </c:pt>
                <c:pt idx="69">
                  <c:v>2013</c:v>
                </c:pt>
                <c:pt idx="70">
                  <c:v>2014</c:v>
                </c:pt>
                <c:pt idx="71">
                  <c:v>2015</c:v>
                </c:pt>
                <c:pt idx="72">
                  <c:v>2016</c:v>
                </c:pt>
                <c:pt idx="73">
                  <c:v>2017</c:v>
                </c:pt>
              </c:numCache>
            </c:numRef>
          </c:cat>
          <c:val>
            <c:numRef>
              <c:f>TT_Trend!$C$2:$C$75</c:f>
              <c:numCache>
                <c:formatCode>General</c:formatCode>
                <c:ptCount val="74"/>
                <c:pt idx="0">
                  <c:v>0</c:v>
                </c:pt>
                <c:pt idx="1">
                  <c:v>0</c:v>
                </c:pt>
                <c:pt idx="2">
                  <c:v>0</c:v>
                </c:pt>
                <c:pt idx="3">
                  <c:v>2</c:v>
                </c:pt>
                <c:pt idx="4">
                  <c:v>1</c:v>
                </c:pt>
                <c:pt idx="5">
                  <c:v>1</c:v>
                </c:pt>
                <c:pt idx="6">
                  <c:v>0</c:v>
                </c:pt>
                <c:pt idx="7">
                  <c:v>0</c:v>
                </c:pt>
                <c:pt idx="8">
                  <c:v>1</c:v>
                </c:pt>
                <c:pt idx="9">
                  <c:v>0</c:v>
                </c:pt>
                <c:pt idx="10">
                  <c:v>1</c:v>
                </c:pt>
                <c:pt idx="11">
                  <c:v>0</c:v>
                </c:pt>
                <c:pt idx="12">
                  <c:v>0</c:v>
                </c:pt>
                <c:pt idx="13">
                  <c:v>0</c:v>
                </c:pt>
                <c:pt idx="14">
                  <c:v>1</c:v>
                </c:pt>
                <c:pt idx="15">
                  <c:v>0</c:v>
                </c:pt>
                <c:pt idx="16">
                  <c:v>0</c:v>
                </c:pt>
                <c:pt idx="17">
                  <c:v>0</c:v>
                </c:pt>
                <c:pt idx="18">
                  <c:v>0</c:v>
                </c:pt>
                <c:pt idx="19">
                  <c:v>0</c:v>
                </c:pt>
                <c:pt idx="20">
                  <c:v>5</c:v>
                </c:pt>
                <c:pt idx="21">
                  <c:v>2</c:v>
                </c:pt>
                <c:pt idx="22">
                  <c:v>0</c:v>
                </c:pt>
                <c:pt idx="23">
                  <c:v>0</c:v>
                </c:pt>
                <c:pt idx="24">
                  <c:v>0</c:v>
                </c:pt>
                <c:pt idx="25">
                  <c:v>1</c:v>
                </c:pt>
                <c:pt idx="26">
                  <c:v>0</c:v>
                </c:pt>
                <c:pt idx="27">
                  <c:v>0</c:v>
                </c:pt>
                <c:pt idx="28">
                  <c:v>1</c:v>
                </c:pt>
                <c:pt idx="29">
                  <c:v>2</c:v>
                </c:pt>
                <c:pt idx="30">
                  <c:v>0</c:v>
                </c:pt>
                <c:pt idx="31">
                  <c:v>1</c:v>
                </c:pt>
                <c:pt idx="32">
                  <c:v>1</c:v>
                </c:pt>
                <c:pt idx="33">
                  <c:v>1</c:v>
                </c:pt>
                <c:pt idx="34">
                  <c:v>3</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1</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numCache>
            </c:numRef>
          </c:val>
          <c:extLst>
            <c:ext xmlns:c16="http://schemas.microsoft.com/office/drawing/2014/chart" uri="{C3380CC4-5D6E-409C-BE32-E72D297353CC}">
              <c16:uniqueId val="{00000000-A247-43CE-B474-76F8A189F533}"/>
            </c:ext>
          </c:extLst>
        </c:ser>
        <c:dLbls>
          <c:showLegendKey val="0"/>
          <c:showVal val="0"/>
          <c:showCatName val="0"/>
          <c:showSerName val="0"/>
          <c:showPercent val="0"/>
          <c:showBubbleSize val="0"/>
        </c:dLbls>
        <c:gapWidth val="219"/>
        <c:overlap val="-27"/>
        <c:axId val="371478848"/>
        <c:axId val="371479240"/>
      </c:barChart>
      <c:catAx>
        <c:axId val="371478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1479240"/>
        <c:crosses val="autoZero"/>
        <c:auto val="1"/>
        <c:lblAlgn val="ctr"/>
        <c:lblOffset val="100"/>
        <c:noMultiLvlLbl val="0"/>
      </c:catAx>
      <c:valAx>
        <c:axId val="3714792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1478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OP -No TT / Year</a:t>
            </a:r>
          </a:p>
        </c:rich>
      </c:tx>
      <c:layout>
        <c:manualLayout>
          <c:xMode val="edge"/>
          <c:yMode val="edge"/>
          <c:x val="0.45780566242005138"/>
          <c:y val="1.59203996730676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numRef>
              <c:f>OP_Trend!$B$2:$B$75</c:f>
              <c:numCache>
                <c:formatCode>General</c:formatCode>
                <c:ptCount val="74"/>
                <c:pt idx="0">
                  <c:v>1944</c:v>
                </c:pt>
                <c:pt idx="1">
                  <c:v>1945</c:v>
                </c:pt>
                <c:pt idx="2">
                  <c:v>1946</c:v>
                </c:pt>
                <c:pt idx="3">
                  <c:v>1947</c:v>
                </c:pt>
                <c:pt idx="4">
                  <c:v>1948</c:v>
                </c:pt>
                <c:pt idx="5">
                  <c:v>1949</c:v>
                </c:pt>
                <c:pt idx="6">
                  <c:v>1950</c:v>
                </c:pt>
                <c:pt idx="7">
                  <c:v>1951</c:v>
                </c:pt>
                <c:pt idx="8">
                  <c:v>1952</c:v>
                </c:pt>
                <c:pt idx="9">
                  <c:v>1953</c:v>
                </c:pt>
                <c:pt idx="10">
                  <c:v>1954</c:v>
                </c:pt>
                <c:pt idx="11">
                  <c:v>1955</c:v>
                </c:pt>
                <c:pt idx="12">
                  <c:v>1956</c:v>
                </c:pt>
                <c:pt idx="13">
                  <c:v>1957</c:v>
                </c:pt>
                <c:pt idx="14">
                  <c:v>1958</c:v>
                </c:pt>
                <c:pt idx="15">
                  <c:v>1959</c:v>
                </c:pt>
                <c:pt idx="16">
                  <c:v>1960</c:v>
                </c:pt>
                <c:pt idx="17">
                  <c:v>1961</c:v>
                </c:pt>
                <c:pt idx="18">
                  <c:v>1962</c:v>
                </c:pt>
                <c:pt idx="19">
                  <c:v>1963</c:v>
                </c:pt>
                <c:pt idx="20">
                  <c:v>1964</c:v>
                </c:pt>
                <c:pt idx="21">
                  <c:v>1965</c:v>
                </c:pt>
                <c:pt idx="22">
                  <c:v>1966</c:v>
                </c:pt>
                <c:pt idx="23">
                  <c:v>1967</c:v>
                </c:pt>
                <c:pt idx="24">
                  <c:v>1968</c:v>
                </c:pt>
                <c:pt idx="25">
                  <c:v>1969</c:v>
                </c:pt>
                <c:pt idx="26">
                  <c:v>1970</c:v>
                </c:pt>
                <c:pt idx="27">
                  <c:v>1971</c:v>
                </c:pt>
                <c:pt idx="28">
                  <c:v>1972</c:v>
                </c:pt>
                <c:pt idx="29">
                  <c:v>1973</c:v>
                </c:pt>
                <c:pt idx="30">
                  <c:v>1974</c:v>
                </c:pt>
                <c:pt idx="31">
                  <c:v>1975</c:v>
                </c:pt>
                <c:pt idx="32">
                  <c:v>1976</c:v>
                </c:pt>
                <c:pt idx="33">
                  <c:v>1977</c:v>
                </c:pt>
                <c:pt idx="34">
                  <c:v>1978</c:v>
                </c:pt>
                <c:pt idx="35">
                  <c:v>1979</c:v>
                </c:pt>
                <c:pt idx="36">
                  <c:v>1980</c:v>
                </c:pt>
                <c:pt idx="37">
                  <c:v>1981</c:v>
                </c:pt>
                <c:pt idx="38">
                  <c:v>1982</c:v>
                </c:pt>
                <c:pt idx="39">
                  <c:v>1983</c:v>
                </c:pt>
                <c:pt idx="40">
                  <c:v>1984</c:v>
                </c:pt>
                <c:pt idx="41">
                  <c:v>1985</c:v>
                </c:pt>
                <c:pt idx="42">
                  <c:v>1986</c:v>
                </c:pt>
                <c:pt idx="43">
                  <c:v>1987</c:v>
                </c:pt>
                <c:pt idx="44">
                  <c:v>1988</c:v>
                </c:pt>
                <c:pt idx="45">
                  <c:v>1989</c:v>
                </c:pt>
                <c:pt idx="46">
                  <c:v>1990</c:v>
                </c:pt>
                <c:pt idx="47">
                  <c:v>1991</c:v>
                </c:pt>
                <c:pt idx="48">
                  <c:v>1992</c:v>
                </c:pt>
                <c:pt idx="49">
                  <c:v>1993</c:v>
                </c:pt>
                <c:pt idx="50">
                  <c:v>1994</c:v>
                </c:pt>
                <c:pt idx="51">
                  <c:v>1995</c:v>
                </c:pt>
                <c:pt idx="52">
                  <c:v>1996</c:v>
                </c:pt>
                <c:pt idx="53">
                  <c:v>1997</c:v>
                </c:pt>
                <c:pt idx="54">
                  <c:v>1998</c:v>
                </c:pt>
                <c:pt idx="55">
                  <c:v>1999</c:v>
                </c:pt>
                <c:pt idx="56">
                  <c:v>2000</c:v>
                </c:pt>
                <c:pt idx="57">
                  <c:v>2001</c:v>
                </c:pt>
                <c:pt idx="58">
                  <c:v>2002</c:v>
                </c:pt>
                <c:pt idx="59">
                  <c:v>2003</c:v>
                </c:pt>
                <c:pt idx="60">
                  <c:v>2004</c:v>
                </c:pt>
                <c:pt idx="61">
                  <c:v>2005</c:v>
                </c:pt>
                <c:pt idx="62">
                  <c:v>2006</c:v>
                </c:pt>
                <c:pt idx="63">
                  <c:v>2007</c:v>
                </c:pt>
                <c:pt idx="64">
                  <c:v>2008</c:v>
                </c:pt>
                <c:pt idx="65">
                  <c:v>2009</c:v>
                </c:pt>
                <c:pt idx="66">
                  <c:v>2010</c:v>
                </c:pt>
                <c:pt idx="67">
                  <c:v>2011</c:v>
                </c:pt>
                <c:pt idx="68">
                  <c:v>2012</c:v>
                </c:pt>
                <c:pt idx="69">
                  <c:v>2013</c:v>
                </c:pt>
                <c:pt idx="70">
                  <c:v>2014</c:v>
                </c:pt>
                <c:pt idx="71">
                  <c:v>2015</c:v>
                </c:pt>
                <c:pt idx="72">
                  <c:v>2016</c:v>
                </c:pt>
                <c:pt idx="73">
                  <c:v>2017</c:v>
                </c:pt>
              </c:numCache>
            </c:numRef>
          </c:cat>
          <c:val>
            <c:numRef>
              <c:f>OP_Trend!$C$2:$C$75</c:f>
              <c:numCache>
                <c:formatCode>General</c:formatCode>
                <c:ptCount val="74"/>
                <c:pt idx="0">
                  <c:v>0</c:v>
                </c:pt>
                <c:pt idx="1">
                  <c:v>0</c:v>
                </c:pt>
                <c:pt idx="2">
                  <c:v>0</c:v>
                </c:pt>
                <c:pt idx="3">
                  <c:v>0</c:v>
                </c:pt>
                <c:pt idx="4">
                  <c:v>0</c:v>
                </c:pt>
                <c:pt idx="5">
                  <c:v>2</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c:v>
                </c:pt>
                <c:pt idx="27">
                  <c:v>2</c:v>
                </c:pt>
                <c:pt idx="28">
                  <c:v>1</c:v>
                </c:pt>
                <c:pt idx="29">
                  <c:v>1</c:v>
                </c:pt>
                <c:pt idx="30">
                  <c:v>0</c:v>
                </c:pt>
                <c:pt idx="31">
                  <c:v>1</c:v>
                </c:pt>
                <c:pt idx="32">
                  <c:v>1</c:v>
                </c:pt>
                <c:pt idx="33">
                  <c:v>0</c:v>
                </c:pt>
                <c:pt idx="34">
                  <c:v>0</c:v>
                </c:pt>
                <c:pt idx="35">
                  <c:v>0</c:v>
                </c:pt>
                <c:pt idx="36">
                  <c:v>2</c:v>
                </c:pt>
                <c:pt idx="37">
                  <c:v>0</c:v>
                </c:pt>
                <c:pt idx="38">
                  <c:v>2</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1</c:v>
                </c:pt>
                <c:pt idx="55">
                  <c:v>0</c:v>
                </c:pt>
                <c:pt idx="56">
                  <c:v>0</c:v>
                </c:pt>
                <c:pt idx="57">
                  <c:v>0</c:v>
                </c:pt>
                <c:pt idx="58">
                  <c:v>1</c:v>
                </c:pt>
                <c:pt idx="59">
                  <c:v>0</c:v>
                </c:pt>
                <c:pt idx="60">
                  <c:v>0</c:v>
                </c:pt>
                <c:pt idx="61">
                  <c:v>0</c:v>
                </c:pt>
                <c:pt idx="62">
                  <c:v>0</c:v>
                </c:pt>
                <c:pt idx="63">
                  <c:v>0</c:v>
                </c:pt>
                <c:pt idx="64">
                  <c:v>2</c:v>
                </c:pt>
                <c:pt idx="65">
                  <c:v>0</c:v>
                </c:pt>
                <c:pt idx="66">
                  <c:v>1</c:v>
                </c:pt>
                <c:pt idx="67">
                  <c:v>0</c:v>
                </c:pt>
                <c:pt idx="68">
                  <c:v>0</c:v>
                </c:pt>
                <c:pt idx="69">
                  <c:v>0</c:v>
                </c:pt>
                <c:pt idx="70">
                  <c:v>0</c:v>
                </c:pt>
                <c:pt idx="71">
                  <c:v>0</c:v>
                </c:pt>
                <c:pt idx="72">
                  <c:v>0</c:v>
                </c:pt>
                <c:pt idx="73">
                  <c:v>0</c:v>
                </c:pt>
              </c:numCache>
            </c:numRef>
          </c:val>
          <c:extLst>
            <c:ext xmlns:c16="http://schemas.microsoft.com/office/drawing/2014/chart" uri="{C3380CC4-5D6E-409C-BE32-E72D297353CC}">
              <c16:uniqueId val="{00000000-7027-4363-ABE1-01D0B9EDD370}"/>
            </c:ext>
          </c:extLst>
        </c:ser>
        <c:dLbls>
          <c:showLegendKey val="0"/>
          <c:showVal val="0"/>
          <c:showCatName val="0"/>
          <c:showSerName val="0"/>
          <c:showPercent val="0"/>
          <c:showBubbleSize val="0"/>
        </c:dLbls>
        <c:gapWidth val="219"/>
        <c:overlap val="-27"/>
        <c:axId val="371480024"/>
        <c:axId val="376567168"/>
      </c:barChart>
      <c:catAx>
        <c:axId val="371480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567168"/>
        <c:crosses val="autoZero"/>
        <c:auto val="1"/>
        <c:lblAlgn val="ctr"/>
        <c:lblOffset val="100"/>
        <c:noMultiLvlLbl val="0"/>
      </c:catAx>
      <c:valAx>
        <c:axId val="376567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1480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Release</a:t>
            </a:r>
            <a:r>
              <a:rPr lang="en-US" baseline="0"/>
              <a:t> Incidents /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trendline>
            <c:spPr>
              <a:ln w="19050" cap="rnd">
                <a:solidFill>
                  <a:srgbClr val="FF0000"/>
                </a:solidFill>
                <a:prstDash val="dash"/>
              </a:ln>
              <a:effectLst/>
            </c:spPr>
            <c:trendlineType val="linear"/>
            <c:dispRSqr val="0"/>
            <c:dispEq val="0"/>
          </c:trendline>
          <c:cat>
            <c:numRef>
              <c:f>ALL_Trend!$B$2:$B$75</c:f>
              <c:numCache>
                <c:formatCode>General</c:formatCode>
                <c:ptCount val="74"/>
                <c:pt idx="0">
                  <c:v>1944</c:v>
                </c:pt>
                <c:pt idx="1">
                  <c:v>1945</c:v>
                </c:pt>
                <c:pt idx="2">
                  <c:v>1946</c:v>
                </c:pt>
                <c:pt idx="3">
                  <c:v>1947</c:v>
                </c:pt>
                <c:pt idx="4">
                  <c:v>1948</c:v>
                </c:pt>
                <c:pt idx="5">
                  <c:v>1949</c:v>
                </c:pt>
                <c:pt idx="6">
                  <c:v>1950</c:v>
                </c:pt>
                <c:pt idx="7">
                  <c:v>1951</c:v>
                </c:pt>
                <c:pt idx="8">
                  <c:v>1952</c:v>
                </c:pt>
                <c:pt idx="9">
                  <c:v>1953</c:v>
                </c:pt>
                <c:pt idx="10">
                  <c:v>1954</c:v>
                </c:pt>
                <c:pt idx="11">
                  <c:v>1955</c:v>
                </c:pt>
                <c:pt idx="12">
                  <c:v>1956</c:v>
                </c:pt>
                <c:pt idx="13">
                  <c:v>1957</c:v>
                </c:pt>
                <c:pt idx="14">
                  <c:v>1958</c:v>
                </c:pt>
                <c:pt idx="15">
                  <c:v>1959</c:v>
                </c:pt>
                <c:pt idx="16">
                  <c:v>1960</c:v>
                </c:pt>
                <c:pt idx="17">
                  <c:v>1961</c:v>
                </c:pt>
                <c:pt idx="18">
                  <c:v>1962</c:v>
                </c:pt>
                <c:pt idx="19">
                  <c:v>1963</c:v>
                </c:pt>
                <c:pt idx="20">
                  <c:v>1964</c:v>
                </c:pt>
                <c:pt idx="21">
                  <c:v>1965</c:v>
                </c:pt>
                <c:pt idx="22">
                  <c:v>1966</c:v>
                </c:pt>
                <c:pt idx="23">
                  <c:v>1967</c:v>
                </c:pt>
                <c:pt idx="24">
                  <c:v>1968</c:v>
                </c:pt>
                <c:pt idx="25">
                  <c:v>1969</c:v>
                </c:pt>
                <c:pt idx="26">
                  <c:v>1970</c:v>
                </c:pt>
                <c:pt idx="27">
                  <c:v>1971</c:v>
                </c:pt>
                <c:pt idx="28">
                  <c:v>1972</c:v>
                </c:pt>
                <c:pt idx="29">
                  <c:v>1973</c:v>
                </c:pt>
                <c:pt idx="30">
                  <c:v>1974</c:v>
                </c:pt>
                <c:pt idx="31">
                  <c:v>1975</c:v>
                </c:pt>
                <c:pt idx="32">
                  <c:v>1976</c:v>
                </c:pt>
                <c:pt idx="33">
                  <c:v>1977</c:v>
                </c:pt>
                <c:pt idx="34">
                  <c:v>1978</c:v>
                </c:pt>
                <c:pt idx="35">
                  <c:v>1979</c:v>
                </c:pt>
                <c:pt idx="36">
                  <c:v>1980</c:v>
                </c:pt>
                <c:pt idx="37">
                  <c:v>1981</c:v>
                </c:pt>
                <c:pt idx="38">
                  <c:v>1982</c:v>
                </c:pt>
                <c:pt idx="39">
                  <c:v>1983</c:v>
                </c:pt>
                <c:pt idx="40">
                  <c:v>1984</c:v>
                </c:pt>
                <c:pt idx="41">
                  <c:v>1985</c:v>
                </c:pt>
                <c:pt idx="42">
                  <c:v>1986</c:v>
                </c:pt>
                <c:pt idx="43">
                  <c:v>1987</c:v>
                </c:pt>
                <c:pt idx="44">
                  <c:v>1988</c:v>
                </c:pt>
                <c:pt idx="45">
                  <c:v>1989</c:v>
                </c:pt>
                <c:pt idx="46">
                  <c:v>1990</c:v>
                </c:pt>
                <c:pt idx="47">
                  <c:v>1991</c:v>
                </c:pt>
                <c:pt idx="48">
                  <c:v>1992</c:v>
                </c:pt>
                <c:pt idx="49">
                  <c:v>1993</c:v>
                </c:pt>
                <c:pt idx="50">
                  <c:v>1994</c:v>
                </c:pt>
                <c:pt idx="51">
                  <c:v>1995</c:v>
                </c:pt>
                <c:pt idx="52">
                  <c:v>1996</c:v>
                </c:pt>
                <c:pt idx="53">
                  <c:v>1997</c:v>
                </c:pt>
                <c:pt idx="54">
                  <c:v>1998</c:v>
                </c:pt>
                <c:pt idx="55">
                  <c:v>1999</c:v>
                </c:pt>
                <c:pt idx="56">
                  <c:v>2000</c:v>
                </c:pt>
                <c:pt idx="57">
                  <c:v>2001</c:v>
                </c:pt>
                <c:pt idx="58">
                  <c:v>2002</c:v>
                </c:pt>
                <c:pt idx="59">
                  <c:v>2003</c:v>
                </c:pt>
                <c:pt idx="60">
                  <c:v>2004</c:v>
                </c:pt>
                <c:pt idx="61">
                  <c:v>2005</c:v>
                </c:pt>
                <c:pt idx="62">
                  <c:v>2006</c:v>
                </c:pt>
                <c:pt idx="63">
                  <c:v>2007</c:v>
                </c:pt>
                <c:pt idx="64">
                  <c:v>2008</c:v>
                </c:pt>
                <c:pt idx="65">
                  <c:v>2009</c:v>
                </c:pt>
                <c:pt idx="66">
                  <c:v>2010</c:v>
                </c:pt>
                <c:pt idx="67">
                  <c:v>2011</c:v>
                </c:pt>
                <c:pt idx="68">
                  <c:v>2012</c:v>
                </c:pt>
                <c:pt idx="69">
                  <c:v>2013</c:v>
                </c:pt>
                <c:pt idx="70">
                  <c:v>2014</c:v>
                </c:pt>
                <c:pt idx="71">
                  <c:v>2015</c:v>
                </c:pt>
                <c:pt idx="72">
                  <c:v>2016</c:v>
                </c:pt>
                <c:pt idx="73">
                  <c:v>2017</c:v>
                </c:pt>
              </c:numCache>
            </c:numRef>
          </c:cat>
          <c:val>
            <c:numRef>
              <c:f>ALL_Trend!$C$2:$C$75</c:f>
              <c:numCache>
                <c:formatCode>General</c:formatCode>
                <c:ptCount val="74"/>
                <c:pt idx="0">
                  <c:v>0</c:v>
                </c:pt>
                <c:pt idx="1">
                  <c:v>0</c:v>
                </c:pt>
                <c:pt idx="2">
                  <c:v>0</c:v>
                </c:pt>
                <c:pt idx="3">
                  <c:v>2</c:v>
                </c:pt>
                <c:pt idx="4">
                  <c:v>1</c:v>
                </c:pt>
                <c:pt idx="5">
                  <c:v>3</c:v>
                </c:pt>
                <c:pt idx="6">
                  <c:v>0</c:v>
                </c:pt>
                <c:pt idx="7">
                  <c:v>0</c:v>
                </c:pt>
                <c:pt idx="8">
                  <c:v>1</c:v>
                </c:pt>
                <c:pt idx="9">
                  <c:v>1</c:v>
                </c:pt>
                <c:pt idx="10">
                  <c:v>2</c:v>
                </c:pt>
                <c:pt idx="11">
                  <c:v>0</c:v>
                </c:pt>
                <c:pt idx="12">
                  <c:v>0</c:v>
                </c:pt>
                <c:pt idx="13">
                  <c:v>0</c:v>
                </c:pt>
                <c:pt idx="14">
                  <c:v>1</c:v>
                </c:pt>
                <c:pt idx="15">
                  <c:v>0</c:v>
                </c:pt>
                <c:pt idx="16">
                  <c:v>0</c:v>
                </c:pt>
                <c:pt idx="17">
                  <c:v>0</c:v>
                </c:pt>
                <c:pt idx="18">
                  <c:v>0</c:v>
                </c:pt>
                <c:pt idx="19">
                  <c:v>0</c:v>
                </c:pt>
                <c:pt idx="20">
                  <c:v>5</c:v>
                </c:pt>
                <c:pt idx="21">
                  <c:v>3</c:v>
                </c:pt>
                <c:pt idx="22">
                  <c:v>1</c:v>
                </c:pt>
                <c:pt idx="23">
                  <c:v>1</c:v>
                </c:pt>
                <c:pt idx="24">
                  <c:v>0</c:v>
                </c:pt>
                <c:pt idx="25">
                  <c:v>1</c:v>
                </c:pt>
                <c:pt idx="26">
                  <c:v>1</c:v>
                </c:pt>
                <c:pt idx="27">
                  <c:v>2</c:v>
                </c:pt>
                <c:pt idx="28">
                  <c:v>2</c:v>
                </c:pt>
                <c:pt idx="29">
                  <c:v>4</c:v>
                </c:pt>
                <c:pt idx="30">
                  <c:v>0</c:v>
                </c:pt>
                <c:pt idx="31">
                  <c:v>2</c:v>
                </c:pt>
                <c:pt idx="32">
                  <c:v>2</c:v>
                </c:pt>
                <c:pt idx="33">
                  <c:v>1</c:v>
                </c:pt>
                <c:pt idx="34">
                  <c:v>4</c:v>
                </c:pt>
                <c:pt idx="35">
                  <c:v>0</c:v>
                </c:pt>
                <c:pt idx="36">
                  <c:v>3</c:v>
                </c:pt>
                <c:pt idx="37">
                  <c:v>7</c:v>
                </c:pt>
                <c:pt idx="38">
                  <c:v>3</c:v>
                </c:pt>
                <c:pt idx="39">
                  <c:v>1</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1</c:v>
                </c:pt>
                <c:pt idx="55">
                  <c:v>1</c:v>
                </c:pt>
                <c:pt idx="56">
                  <c:v>0</c:v>
                </c:pt>
                <c:pt idx="57">
                  <c:v>0</c:v>
                </c:pt>
                <c:pt idx="58">
                  <c:v>1</c:v>
                </c:pt>
                <c:pt idx="59">
                  <c:v>0</c:v>
                </c:pt>
                <c:pt idx="60">
                  <c:v>0</c:v>
                </c:pt>
                <c:pt idx="61">
                  <c:v>0</c:v>
                </c:pt>
                <c:pt idx="62">
                  <c:v>0</c:v>
                </c:pt>
                <c:pt idx="63">
                  <c:v>0</c:v>
                </c:pt>
                <c:pt idx="64">
                  <c:v>2</c:v>
                </c:pt>
                <c:pt idx="65">
                  <c:v>0</c:v>
                </c:pt>
                <c:pt idx="66">
                  <c:v>1</c:v>
                </c:pt>
                <c:pt idx="67">
                  <c:v>0</c:v>
                </c:pt>
                <c:pt idx="68">
                  <c:v>0</c:v>
                </c:pt>
                <c:pt idx="69">
                  <c:v>0</c:v>
                </c:pt>
                <c:pt idx="70">
                  <c:v>1</c:v>
                </c:pt>
                <c:pt idx="71">
                  <c:v>0</c:v>
                </c:pt>
                <c:pt idx="72">
                  <c:v>0</c:v>
                </c:pt>
                <c:pt idx="73">
                  <c:v>0</c:v>
                </c:pt>
              </c:numCache>
            </c:numRef>
          </c:val>
          <c:extLst>
            <c:ext xmlns:c16="http://schemas.microsoft.com/office/drawing/2014/chart" uri="{C3380CC4-5D6E-409C-BE32-E72D297353CC}">
              <c16:uniqueId val="{00000001-231A-4100-B7C7-B33558AEC753}"/>
            </c:ext>
          </c:extLst>
        </c:ser>
        <c:dLbls>
          <c:showLegendKey val="0"/>
          <c:showVal val="0"/>
          <c:showCatName val="0"/>
          <c:showSerName val="0"/>
          <c:showPercent val="0"/>
          <c:showBubbleSize val="0"/>
        </c:dLbls>
        <c:gapWidth val="219"/>
        <c:overlap val="-27"/>
        <c:axId val="367548344"/>
        <c:axId val="367548736"/>
      </c:barChart>
      <c:catAx>
        <c:axId val="3675483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7548736"/>
        <c:crosses val="autoZero"/>
        <c:auto val="1"/>
        <c:lblAlgn val="ctr"/>
        <c:lblOffset val="100"/>
        <c:noMultiLvlLbl val="0"/>
      </c:catAx>
      <c:valAx>
        <c:axId val="367548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7548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Release Incidents / decade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2236440825801067E-2"/>
          <c:y val="0.1574842609426553"/>
          <c:w val="0.92213815538601929"/>
          <c:h val="0.77442496353405732"/>
        </c:manualLayout>
      </c:layout>
      <c:barChart>
        <c:barDir val="col"/>
        <c:grouping val="clustered"/>
        <c:varyColors val="0"/>
        <c:ser>
          <c:idx val="0"/>
          <c:order val="0"/>
          <c:spPr>
            <a:solidFill>
              <a:schemeClr val="accent1"/>
            </a:solidFill>
            <a:ln>
              <a:noFill/>
            </a:ln>
            <a:effectLst/>
          </c:spPr>
          <c:invertIfNegative val="0"/>
          <c:trendline>
            <c:spPr>
              <a:ln w="19050" cap="rnd">
                <a:solidFill>
                  <a:srgbClr val="FF0000"/>
                </a:solidFill>
                <a:prstDash val="dash"/>
              </a:ln>
              <a:effectLst/>
            </c:spPr>
            <c:trendlineType val="linear"/>
            <c:dispRSqr val="0"/>
            <c:dispEq val="0"/>
          </c:trendline>
          <c:cat>
            <c:strRef>
              <c:f>ALL_Trend!$G$2:$G$9</c:f>
              <c:strCache>
                <c:ptCount val="8"/>
                <c:pt idx="0">
                  <c:v>1944-1953</c:v>
                </c:pt>
                <c:pt idx="1">
                  <c:v>1954-1963</c:v>
                </c:pt>
                <c:pt idx="2">
                  <c:v>1964-1973</c:v>
                </c:pt>
                <c:pt idx="3">
                  <c:v>1974-1983</c:v>
                </c:pt>
                <c:pt idx="4">
                  <c:v>1984-1993</c:v>
                </c:pt>
                <c:pt idx="5">
                  <c:v>1994-2003</c:v>
                </c:pt>
                <c:pt idx="6">
                  <c:v>2004-2013</c:v>
                </c:pt>
                <c:pt idx="7">
                  <c:v>2014-2017</c:v>
                </c:pt>
              </c:strCache>
            </c:strRef>
          </c:cat>
          <c:val>
            <c:numRef>
              <c:f>ALL_Trend!$H$2:$H$9</c:f>
              <c:numCache>
                <c:formatCode>General</c:formatCode>
                <c:ptCount val="8"/>
                <c:pt idx="0">
                  <c:v>8</c:v>
                </c:pt>
                <c:pt idx="1">
                  <c:v>3</c:v>
                </c:pt>
                <c:pt idx="2">
                  <c:v>20</c:v>
                </c:pt>
                <c:pt idx="3">
                  <c:v>23</c:v>
                </c:pt>
                <c:pt idx="4">
                  <c:v>0</c:v>
                </c:pt>
                <c:pt idx="5">
                  <c:v>3</c:v>
                </c:pt>
                <c:pt idx="6">
                  <c:v>3</c:v>
                </c:pt>
                <c:pt idx="7">
                  <c:v>1</c:v>
                </c:pt>
              </c:numCache>
            </c:numRef>
          </c:val>
          <c:extLst>
            <c:ext xmlns:c16="http://schemas.microsoft.com/office/drawing/2014/chart" uri="{C3380CC4-5D6E-409C-BE32-E72D297353CC}">
              <c16:uniqueId val="{00000001-7503-48F9-9282-9E99C5ED4F1E}"/>
            </c:ext>
          </c:extLst>
        </c:ser>
        <c:dLbls>
          <c:showLegendKey val="0"/>
          <c:showVal val="0"/>
          <c:showCatName val="0"/>
          <c:showSerName val="0"/>
          <c:showPercent val="0"/>
          <c:showBubbleSize val="0"/>
        </c:dLbls>
        <c:gapWidth val="219"/>
        <c:overlap val="-27"/>
        <c:axId val="367549520"/>
        <c:axId val="367549912"/>
      </c:barChart>
      <c:catAx>
        <c:axId val="36754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7549912"/>
        <c:crosses val="autoZero"/>
        <c:auto val="1"/>
        <c:lblAlgn val="ctr"/>
        <c:lblOffset val="100"/>
        <c:noMultiLvlLbl val="0"/>
      </c:catAx>
      <c:valAx>
        <c:axId val="367549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7549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Release Incidents / quarter century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trendline>
            <c:spPr>
              <a:ln w="19050" cap="rnd">
                <a:solidFill>
                  <a:srgbClr val="FF0000"/>
                </a:solidFill>
                <a:prstDash val="dash"/>
              </a:ln>
              <a:effectLst/>
            </c:spPr>
            <c:trendlineType val="linear"/>
            <c:dispRSqr val="0"/>
            <c:dispEq val="0"/>
          </c:trendline>
          <c:cat>
            <c:strRef>
              <c:f>ALL_Trend!$G$19:$G$21</c:f>
              <c:strCache>
                <c:ptCount val="3"/>
                <c:pt idx="0">
                  <c:v>1944-1968</c:v>
                </c:pt>
                <c:pt idx="1">
                  <c:v>1969-1993</c:v>
                </c:pt>
                <c:pt idx="2">
                  <c:v>1994-2017</c:v>
                </c:pt>
              </c:strCache>
            </c:strRef>
          </c:cat>
          <c:val>
            <c:numRef>
              <c:f>ALL_Trend!$H$19:$H$21</c:f>
              <c:numCache>
                <c:formatCode>General</c:formatCode>
                <c:ptCount val="3"/>
                <c:pt idx="0">
                  <c:v>21</c:v>
                </c:pt>
                <c:pt idx="1">
                  <c:v>33</c:v>
                </c:pt>
                <c:pt idx="2">
                  <c:v>7</c:v>
                </c:pt>
              </c:numCache>
            </c:numRef>
          </c:val>
          <c:extLst>
            <c:ext xmlns:c16="http://schemas.microsoft.com/office/drawing/2014/chart" uri="{C3380CC4-5D6E-409C-BE32-E72D297353CC}">
              <c16:uniqueId val="{00000001-BEC4-4151-A6CF-9E92955C3193}"/>
            </c:ext>
          </c:extLst>
        </c:ser>
        <c:dLbls>
          <c:showLegendKey val="0"/>
          <c:showVal val="0"/>
          <c:showCatName val="0"/>
          <c:showSerName val="0"/>
          <c:showPercent val="0"/>
          <c:showBubbleSize val="0"/>
        </c:dLbls>
        <c:gapWidth val="219"/>
        <c:overlap val="-27"/>
        <c:axId val="376497520"/>
        <c:axId val="376497912"/>
      </c:barChart>
      <c:catAx>
        <c:axId val="37649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497912"/>
        <c:crosses val="autoZero"/>
        <c:auto val="1"/>
        <c:lblAlgn val="ctr"/>
        <c:lblOffset val="100"/>
        <c:noMultiLvlLbl val="0"/>
      </c:catAx>
      <c:valAx>
        <c:axId val="376497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497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Release</a:t>
            </a:r>
            <a:r>
              <a:rPr lang="en-US" baseline="0"/>
              <a:t> Incidents / 15 years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trendline>
            <c:spPr>
              <a:ln w="19050" cap="rnd">
                <a:solidFill>
                  <a:srgbClr val="FF0000"/>
                </a:solidFill>
                <a:prstDash val="dash"/>
              </a:ln>
              <a:effectLst/>
            </c:spPr>
            <c:trendlineType val="linear"/>
            <c:dispRSqr val="0"/>
            <c:dispEq val="0"/>
          </c:trendline>
          <c:cat>
            <c:strRef>
              <c:f>ALL_Trend!$G$12:$G$16</c:f>
              <c:strCache>
                <c:ptCount val="5"/>
                <c:pt idx="0">
                  <c:v>1944-1958</c:v>
                </c:pt>
                <c:pt idx="1">
                  <c:v>1959-1973</c:v>
                </c:pt>
                <c:pt idx="2">
                  <c:v>1974-1988</c:v>
                </c:pt>
                <c:pt idx="3">
                  <c:v>1989-2003</c:v>
                </c:pt>
                <c:pt idx="4">
                  <c:v>2004-2017</c:v>
                </c:pt>
              </c:strCache>
            </c:strRef>
          </c:cat>
          <c:val>
            <c:numRef>
              <c:f>ALL_Trend!$H$12:$H$16</c:f>
              <c:numCache>
                <c:formatCode>General</c:formatCode>
                <c:ptCount val="5"/>
                <c:pt idx="0">
                  <c:v>11</c:v>
                </c:pt>
                <c:pt idx="1">
                  <c:v>20</c:v>
                </c:pt>
                <c:pt idx="2">
                  <c:v>23</c:v>
                </c:pt>
                <c:pt idx="3">
                  <c:v>3</c:v>
                </c:pt>
                <c:pt idx="4">
                  <c:v>4</c:v>
                </c:pt>
              </c:numCache>
            </c:numRef>
          </c:val>
          <c:extLst>
            <c:ext xmlns:c16="http://schemas.microsoft.com/office/drawing/2014/chart" uri="{C3380CC4-5D6E-409C-BE32-E72D297353CC}">
              <c16:uniqueId val="{00000001-0F49-4BB6-813B-18C66F396093}"/>
            </c:ext>
          </c:extLst>
        </c:ser>
        <c:dLbls>
          <c:showLegendKey val="0"/>
          <c:showVal val="0"/>
          <c:showCatName val="0"/>
          <c:showSerName val="0"/>
          <c:showPercent val="0"/>
          <c:showBubbleSize val="0"/>
        </c:dLbls>
        <c:gapWidth val="219"/>
        <c:overlap val="-27"/>
        <c:axId val="367550696"/>
        <c:axId val="367547952"/>
      </c:barChart>
      <c:catAx>
        <c:axId val="367550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7547952"/>
        <c:crosses val="autoZero"/>
        <c:auto val="1"/>
        <c:lblAlgn val="ctr"/>
        <c:lblOffset val="100"/>
        <c:noMultiLvlLbl val="0"/>
      </c:catAx>
      <c:valAx>
        <c:axId val="367547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7550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Operational Release Incidents / year</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trendline>
            <c:spPr>
              <a:ln w="19050" cap="rnd">
                <a:solidFill>
                  <a:srgbClr val="FF0000"/>
                </a:solidFill>
                <a:prstDash val="dash"/>
              </a:ln>
              <a:effectLst/>
            </c:spPr>
            <c:trendlineType val="linear"/>
            <c:dispRSqr val="0"/>
            <c:dispEq val="0"/>
          </c:trendline>
          <c:cat>
            <c:numRef>
              <c:f>Trend_Operational!$B$2:$B$75</c:f>
              <c:numCache>
                <c:formatCode>General</c:formatCode>
                <c:ptCount val="74"/>
                <c:pt idx="0">
                  <c:v>1944</c:v>
                </c:pt>
                <c:pt idx="1">
                  <c:v>1945</c:v>
                </c:pt>
                <c:pt idx="2">
                  <c:v>1946</c:v>
                </c:pt>
                <c:pt idx="3">
                  <c:v>1947</c:v>
                </c:pt>
                <c:pt idx="4">
                  <c:v>1948</c:v>
                </c:pt>
                <c:pt idx="5">
                  <c:v>1949</c:v>
                </c:pt>
                <c:pt idx="6">
                  <c:v>1950</c:v>
                </c:pt>
                <c:pt idx="7">
                  <c:v>1951</c:v>
                </c:pt>
                <c:pt idx="8">
                  <c:v>1952</c:v>
                </c:pt>
                <c:pt idx="9">
                  <c:v>1953</c:v>
                </c:pt>
                <c:pt idx="10">
                  <c:v>1954</c:v>
                </c:pt>
                <c:pt idx="11">
                  <c:v>1955</c:v>
                </c:pt>
                <c:pt idx="12">
                  <c:v>1956</c:v>
                </c:pt>
                <c:pt idx="13">
                  <c:v>1957</c:v>
                </c:pt>
                <c:pt idx="14">
                  <c:v>1958</c:v>
                </c:pt>
                <c:pt idx="15">
                  <c:v>1959</c:v>
                </c:pt>
                <c:pt idx="16">
                  <c:v>1960</c:v>
                </c:pt>
                <c:pt idx="17">
                  <c:v>1961</c:v>
                </c:pt>
                <c:pt idx="18">
                  <c:v>1962</c:v>
                </c:pt>
                <c:pt idx="19">
                  <c:v>1963</c:v>
                </c:pt>
                <c:pt idx="20">
                  <c:v>1964</c:v>
                </c:pt>
                <c:pt idx="21">
                  <c:v>1965</c:v>
                </c:pt>
                <c:pt idx="22">
                  <c:v>1966</c:v>
                </c:pt>
                <c:pt idx="23">
                  <c:v>1967</c:v>
                </c:pt>
                <c:pt idx="24">
                  <c:v>1968</c:v>
                </c:pt>
                <c:pt idx="25">
                  <c:v>1969</c:v>
                </c:pt>
                <c:pt idx="26">
                  <c:v>1970</c:v>
                </c:pt>
                <c:pt idx="27">
                  <c:v>1971</c:v>
                </c:pt>
                <c:pt idx="28">
                  <c:v>1972</c:v>
                </c:pt>
                <c:pt idx="29">
                  <c:v>1973</c:v>
                </c:pt>
                <c:pt idx="30">
                  <c:v>1974</c:v>
                </c:pt>
                <c:pt idx="31">
                  <c:v>1975</c:v>
                </c:pt>
                <c:pt idx="32">
                  <c:v>1976</c:v>
                </c:pt>
                <c:pt idx="33">
                  <c:v>1977</c:v>
                </c:pt>
                <c:pt idx="34">
                  <c:v>1978</c:v>
                </c:pt>
                <c:pt idx="35">
                  <c:v>1979</c:v>
                </c:pt>
                <c:pt idx="36">
                  <c:v>1980</c:v>
                </c:pt>
                <c:pt idx="37">
                  <c:v>1981</c:v>
                </c:pt>
                <c:pt idx="38">
                  <c:v>1982</c:v>
                </c:pt>
                <c:pt idx="39">
                  <c:v>1983</c:v>
                </c:pt>
                <c:pt idx="40">
                  <c:v>1984</c:v>
                </c:pt>
                <c:pt idx="41">
                  <c:v>1985</c:v>
                </c:pt>
                <c:pt idx="42">
                  <c:v>1986</c:v>
                </c:pt>
                <c:pt idx="43">
                  <c:v>1987</c:v>
                </c:pt>
                <c:pt idx="44">
                  <c:v>1988</c:v>
                </c:pt>
                <c:pt idx="45">
                  <c:v>1989</c:v>
                </c:pt>
                <c:pt idx="46">
                  <c:v>1990</c:v>
                </c:pt>
                <c:pt idx="47">
                  <c:v>1991</c:v>
                </c:pt>
                <c:pt idx="48">
                  <c:v>1992</c:v>
                </c:pt>
                <c:pt idx="49">
                  <c:v>1993</c:v>
                </c:pt>
                <c:pt idx="50">
                  <c:v>1994</c:v>
                </c:pt>
                <c:pt idx="51">
                  <c:v>1995</c:v>
                </c:pt>
                <c:pt idx="52">
                  <c:v>1996</c:v>
                </c:pt>
                <c:pt idx="53">
                  <c:v>1997</c:v>
                </c:pt>
                <c:pt idx="54">
                  <c:v>1998</c:v>
                </c:pt>
                <c:pt idx="55">
                  <c:v>1999</c:v>
                </c:pt>
                <c:pt idx="56">
                  <c:v>2000</c:v>
                </c:pt>
                <c:pt idx="57">
                  <c:v>2001</c:v>
                </c:pt>
                <c:pt idx="58">
                  <c:v>2002</c:v>
                </c:pt>
                <c:pt idx="59">
                  <c:v>2003</c:v>
                </c:pt>
                <c:pt idx="60">
                  <c:v>2004</c:v>
                </c:pt>
                <c:pt idx="61">
                  <c:v>2005</c:v>
                </c:pt>
                <c:pt idx="62">
                  <c:v>2006</c:v>
                </c:pt>
                <c:pt idx="63">
                  <c:v>2007</c:v>
                </c:pt>
                <c:pt idx="64">
                  <c:v>2008</c:v>
                </c:pt>
                <c:pt idx="65">
                  <c:v>2009</c:v>
                </c:pt>
                <c:pt idx="66">
                  <c:v>2010</c:v>
                </c:pt>
                <c:pt idx="67">
                  <c:v>2011</c:v>
                </c:pt>
                <c:pt idx="68">
                  <c:v>2012</c:v>
                </c:pt>
                <c:pt idx="69">
                  <c:v>2013</c:v>
                </c:pt>
                <c:pt idx="70">
                  <c:v>2014</c:v>
                </c:pt>
                <c:pt idx="71">
                  <c:v>2015</c:v>
                </c:pt>
                <c:pt idx="72">
                  <c:v>2016</c:v>
                </c:pt>
                <c:pt idx="73">
                  <c:v>2017</c:v>
                </c:pt>
              </c:numCache>
            </c:numRef>
          </c:cat>
          <c:val>
            <c:numRef>
              <c:f>Trend_Operational!$C$2:$C$75</c:f>
              <c:numCache>
                <c:formatCode>General</c:formatCode>
                <c:ptCount val="74"/>
                <c:pt idx="0">
                  <c:v>0</c:v>
                </c:pt>
                <c:pt idx="1">
                  <c:v>0</c:v>
                </c:pt>
                <c:pt idx="2">
                  <c:v>0</c:v>
                </c:pt>
                <c:pt idx="3">
                  <c:v>0</c:v>
                </c:pt>
                <c:pt idx="4">
                  <c:v>0</c:v>
                </c:pt>
                <c:pt idx="5">
                  <c:v>2</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c:v>
                </c:pt>
                <c:pt idx="27">
                  <c:v>2</c:v>
                </c:pt>
                <c:pt idx="28">
                  <c:v>1</c:v>
                </c:pt>
                <c:pt idx="29">
                  <c:v>1</c:v>
                </c:pt>
                <c:pt idx="30">
                  <c:v>0</c:v>
                </c:pt>
                <c:pt idx="31">
                  <c:v>1</c:v>
                </c:pt>
                <c:pt idx="32">
                  <c:v>1</c:v>
                </c:pt>
                <c:pt idx="33">
                  <c:v>0</c:v>
                </c:pt>
                <c:pt idx="34">
                  <c:v>0</c:v>
                </c:pt>
                <c:pt idx="35">
                  <c:v>0</c:v>
                </c:pt>
                <c:pt idx="36">
                  <c:v>2</c:v>
                </c:pt>
                <c:pt idx="37">
                  <c:v>0</c:v>
                </c:pt>
                <c:pt idx="38">
                  <c:v>2</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1</c:v>
                </c:pt>
                <c:pt idx="55">
                  <c:v>0</c:v>
                </c:pt>
                <c:pt idx="56">
                  <c:v>0</c:v>
                </c:pt>
                <c:pt idx="57">
                  <c:v>0</c:v>
                </c:pt>
                <c:pt idx="58">
                  <c:v>1</c:v>
                </c:pt>
                <c:pt idx="59">
                  <c:v>0</c:v>
                </c:pt>
                <c:pt idx="60">
                  <c:v>0</c:v>
                </c:pt>
                <c:pt idx="61">
                  <c:v>0</c:v>
                </c:pt>
                <c:pt idx="62">
                  <c:v>0</c:v>
                </c:pt>
                <c:pt idx="63">
                  <c:v>0</c:v>
                </c:pt>
                <c:pt idx="64">
                  <c:v>2</c:v>
                </c:pt>
                <c:pt idx="65">
                  <c:v>0</c:v>
                </c:pt>
                <c:pt idx="66">
                  <c:v>1</c:v>
                </c:pt>
                <c:pt idx="67">
                  <c:v>0</c:v>
                </c:pt>
                <c:pt idx="68">
                  <c:v>0</c:v>
                </c:pt>
                <c:pt idx="69">
                  <c:v>0</c:v>
                </c:pt>
                <c:pt idx="70">
                  <c:v>0</c:v>
                </c:pt>
                <c:pt idx="71">
                  <c:v>0</c:v>
                </c:pt>
                <c:pt idx="72">
                  <c:v>0</c:v>
                </c:pt>
                <c:pt idx="73">
                  <c:v>0</c:v>
                </c:pt>
              </c:numCache>
            </c:numRef>
          </c:val>
          <c:extLst>
            <c:ext xmlns:c16="http://schemas.microsoft.com/office/drawing/2014/chart" uri="{C3380CC4-5D6E-409C-BE32-E72D297353CC}">
              <c16:uniqueId val="{00000001-32C3-4328-9EA1-79235ADAC66C}"/>
            </c:ext>
          </c:extLst>
        </c:ser>
        <c:dLbls>
          <c:showLegendKey val="0"/>
          <c:showVal val="0"/>
          <c:showCatName val="0"/>
          <c:showSerName val="0"/>
          <c:showPercent val="0"/>
          <c:showBubbleSize val="0"/>
        </c:dLbls>
        <c:gapWidth val="219"/>
        <c:overlap val="-27"/>
        <c:axId val="367547168"/>
        <c:axId val="376498696"/>
      </c:barChart>
      <c:catAx>
        <c:axId val="36754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498696"/>
        <c:crosses val="autoZero"/>
        <c:auto val="1"/>
        <c:lblAlgn val="ctr"/>
        <c:lblOffset val="100"/>
        <c:noMultiLvlLbl val="0"/>
      </c:catAx>
      <c:valAx>
        <c:axId val="37649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7547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Operational Release Incidents / decade</a:t>
            </a:r>
            <a:endParaRPr lang="en-US">
              <a:effectLst/>
            </a:endParaRPr>
          </a:p>
        </c:rich>
      </c:tx>
      <c:layout>
        <c:manualLayout>
          <c:xMode val="edge"/>
          <c:yMode val="edge"/>
          <c:x val="0.20631958071487125"/>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trendline>
            <c:spPr>
              <a:ln w="19050" cap="rnd">
                <a:solidFill>
                  <a:srgbClr val="FF0000"/>
                </a:solidFill>
                <a:prstDash val="dash"/>
              </a:ln>
              <a:effectLst/>
            </c:spPr>
            <c:trendlineType val="linear"/>
            <c:dispRSqr val="0"/>
            <c:dispEq val="0"/>
          </c:trendline>
          <c:cat>
            <c:strRef>
              <c:f>Trend_Operational!$G$2:$G$9</c:f>
              <c:strCache>
                <c:ptCount val="8"/>
                <c:pt idx="0">
                  <c:v>1944-1953</c:v>
                </c:pt>
                <c:pt idx="1">
                  <c:v>1954-1963</c:v>
                </c:pt>
                <c:pt idx="2">
                  <c:v>1964-1973</c:v>
                </c:pt>
                <c:pt idx="3">
                  <c:v>1974-1983</c:v>
                </c:pt>
                <c:pt idx="4">
                  <c:v>1984-1993</c:v>
                </c:pt>
                <c:pt idx="5">
                  <c:v>1994-2003</c:v>
                </c:pt>
                <c:pt idx="6">
                  <c:v>2004-2013</c:v>
                </c:pt>
                <c:pt idx="7">
                  <c:v>2014-2017</c:v>
                </c:pt>
              </c:strCache>
            </c:strRef>
          </c:cat>
          <c:val>
            <c:numRef>
              <c:f>Trend_Operational!$H$2:$H$9</c:f>
              <c:numCache>
                <c:formatCode>General</c:formatCode>
                <c:ptCount val="8"/>
                <c:pt idx="0">
                  <c:v>2</c:v>
                </c:pt>
                <c:pt idx="1">
                  <c:v>0</c:v>
                </c:pt>
                <c:pt idx="2">
                  <c:v>5</c:v>
                </c:pt>
                <c:pt idx="3">
                  <c:v>6</c:v>
                </c:pt>
                <c:pt idx="4">
                  <c:v>0</c:v>
                </c:pt>
                <c:pt idx="5">
                  <c:v>2</c:v>
                </c:pt>
                <c:pt idx="6">
                  <c:v>3</c:v>
                </c:pt>
                <c:pt idx="7">
                  <c:v>0</c:v>
                </c:pt>
              </c:numCache>
            </c:numRef>
          </c:val>
          <c:extLst>
            <c:ext xmlns:c16="http://schemas.microsoft.com/office/drawing/2014/chart" uri="{C3380CC4-5D6E-409C-BE32-E72D297353CC}">
              <c16:uniqueId val="{00000001-25BC-4646-9C12-52A62DE55914}"/>
            </c:ext>
          </c:extLst>
        </c:ser>
        <c:dLbls>
          <c:showLegendKey val="0"/>
          <c:showVal val="0"/>
          <c:showCatName val="0"/>
          <c:showSerName val="0"/>
          <c:showPercent val="0"/>
          <c:showBubbleSize val="0"/>
        </c:dLbls>
        <c:gapWidth val="219"/>
        <c:overlap val="-27"/>
        <c:axId val="376499480"/>
        <c:axId val="376499872"/>
      </c:barChart>
      <c:catAx>
        <c:axId val="376499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499872"/>
        <c:crosses val="autoZero"/>
        <c:auto val="1"/>
        <c:lblAlgn val="ctr"/>
        <c:lblOffset val="100"/>
        <c:noMultiLvlLbl val="0"/>
      </c:catAx>
      <c:valAx>
        <c:axId val="376499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499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Operational Release Incidents / 15 years</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trendline>
            <c:spPr>
              <a:ln w="19050" cap="rnd">
                <a:solidFill>
                  <a:srgbClr val="FF0000"/>
                </a:solidFill>
                <a:prstDash val="dash"/>
              </a:ln>
              <a:effectLst/>
            </c:spPr>
            <c:trendlineType val="linear"/>
            <c:dispRSqr val="0"/>
            <c:dispEq val="0"/>
          </c:trendline>
          <c:cat>
            <c:strRef>
              <c:f>Trend_Operational!$G$12:$G$16</c:f>
              <c:strCache>
                <c:ptCount val="5"/>
                <c:pt idx="0">
                  <c:v>1944-1958</c:v>
                </c:pt>
                <c:pt idx="1">
                  <c:v>1959-1973</c:v>
                </c:pt>
                <c:pt idx="2">
                  <c:v>1974-1988</c:v>
                </c:pt>
                <c:pt idx="3">
                  <c:v>1989-2003</c:v>
                </c:pt>
                <c:pt idx="4">
                  <c:v>2004-2017</c:v>
                </c:pt>
              </c:strCache>
            </c:strRef>
          </c:cat>
          <c:val>
            <c:numRef>
              <c:f>Trend_Operational!$H$12:$H$16</c:f>
              <c:numCache>
                <c:formatCode>General</c:formatCode>
                <c:ptCount val="5"/>
                <c:pt idx="0">
                  <c:v>2</c:v>
                </c:pt>
                <c:pt idx="1">
                  <c:v>5</c:v>
                </c:pt>
                <c:pt idx="2">
                  <c:v>6</c:v>
                </c:pt>
                <c:pt idx="3">
                  <c:v>2</c:v>
                </c:pt>
                <c:pt idx="4">
                  <c:v>3</c:v>
                </c:pt>
              </c:numCache>
            </c:numRef>
          </c:val>
          <c:extLst>
            <c:ext xmlns:c16="http://schemas.microsoft.com/office/drawing/2014/chart" uri="{C3380CC4-5D6E-409C-BE32-E72D297353CC}">
              <c16:uniqueId val="{00000001-8E36-41C2-9E80-D822FECF8C3D}"/>
            </c:ext>
          </c:extLst>
        </c:ser>
        <c:dLbls>
          <c:showLegendKey val="0"/>
          <c:showVal val="0"/>
          <c:showCatName val="0"/>
          <c:showSerName val="0"/>
          <c:showPercent val="0"/>
          <c:showBubbleSize val="0"/>
        </c:dLbls>
        <c:gapWidth val="219"/>
        <c:overlap val="-27"/>
        <c:axId val="376500656"/>
        <c:axId val="376501048"/>
      </c:barChart>
      <c:catAx>
        <c:axId val="37650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501048"/>
        <c:crosses val="autoZero"/>
        <c:auto val="1"/>
        <c:lblAlgn val="ctr"/>
        <c:lblOffset val="100"/>
        <c:noMultiLvlLbl val="0"/>
      </c:catAx>
      <c:valAx>
        <c:axId val="376501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500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Operational Release Incidents / quarter century</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trendline>
            <c:spPr>
              <a:ln w="19050" cap="rnd">
                <a:solidFill>
                  <a:srgbClr val="FF0000"/>
                </a:solidFill>
                <a:prstDash val="dash"/>
              </a:ln>
              <a:effectLst/>
            </c:spPr>
            <c:trendlineType val="linear"/>
            <c:dispRSqr val="0"/>
            <c:dispEq val="0"/>
          </c:trendline>
          <c:cat>
            <c:strRef>
              <c:f>Trend_Operational!$G$19:$G$21</c:f>
              <c:strCache>
                <c:ptCount val="3"/>
                <c:pt idx="0">
                  <c:v>1944-1968</c:v>
                </c:pt>
                <c:pt idx="1">
                  <c:v>1969-1993</c:v>
                </c:pt>
                <c:pt idx="2">
                  <c:v>1994-2017</c:v>
                </c:pt>
              </c:strCache>
            </c:strRef>
          </c:cat>
          <c:val>
            <c:numRef>
              <c:f>Trend_Operational!$H$19:$H$21</c:f>
              <c:numCache>
                <c:formatCode>General</c:formatCode>
                <c:ptCount val="3"/>
                <c:pt idx="0">
                  <c:v>2</c:v>
                </c:pt>
                <c:pt idx="1">
                  <c:v>11</c:v>
                </c:pt>
                <c:pt idx="2">
                  <c:v>5</c:v>
                </c:pt>
              </c:numCache>
            </c:numRef>
          </c:val>
          <c:extLst>
            <c:ext xmlns:c16="http://schemas.microsoft.com/office/drawing/2014/chart" uri="{C3380CC4-5D6E-409C-BE32-E72D297353CC}">
              <c16:uniqueId val="{00000001-554A-4D62-B104-1258A426C3AD}"/>
            </c:ext>
          </c:extLst>
        </c:ser>
        <c:dLbls>
          <c:showLegendKey val="0"/>
          <c:showVal val="0"/>
          <c:showCatName val="0"/>
          <c:showSerName val="0"/>
          <c:showPercent val="0"/>
          <c:showBubbleSize val="0"/>
        </c:dLbls>
        <c:gapWidth val="219"/>
        <c:overlap val="-27"/>
        <c:axId val="371476496"/>
        <c:axId val="371476888"/>
      </c:barChart>
      <c:catAx>
        <c:axId val="371476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1476888"/>
        <c:crosses val="autoZero"/>
        <c:auto val="1"/>
        <c:lblAlgn val="ctr"/>
        <c:lblOffset val="100"/>
        <c:noMultiLvlLbl val="0"/>
      </c:catAx>
      <c:valAx>
        <c:axId val="371476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1476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8</xdr:col>
      <xdr:colOff>219075</xdr:colOff>
      <xdr:row>4</xdr:row>
      <xdr:rowOff>38100</xdr:rowOff>
    </xdr:from>
    <xdr:to>
      <xdr:col>12</xdr:col>
      <xdr:colOff>1095375</xdr:colOff>
      <xdr:row>19</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0425" y="809625"/>
          <a:ext cx="404812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590550</xdr:colOff>
      <xdr:row>4</xdr:row>
      <xdr:rowOff>171450</xdr:rowOff>
    </xdr:from>
    <xdr:to>
      <xdr:col>17</xdr:col>
      <xdr:colOff>180975</xdr:colOff>
      <xdr:row>20</xdr:row>
      <xdr:rowOff>95250</xdr:rowOff>
    </xdr:to>
    <xdr:pic>
      <xdr:nvPicPr>
        <xdr:cNvPr id="2" name="Picture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1085850"/>
          <a:ext cx="6905625" cy="3019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19050</xdr:colOff>
      <xdr:row>8</xdr:row>
      <xdr:rowOff>76200</xdr:rowOff>
    </xdr:from>
    <xdr:to>
      <xdr:col>6</xdr:col>
      <xdr:colOff>95250</xdr:colOff>
      <xdr:row>8</xdr:row>
      <xdr:rowOff>76200</xdr:rowOff>
    </xdr:to>
    <xdr:cxnSp macro="">
      <xdr:nvCxnSpPr>
        <xdr:cNvPr id="4" name="Straight Arrow Connector 3">
          <a:extLst>
            <a:ext uri="{FF2B5EF4-FFF2-40B4-BE49-F238E27FC236}">
              <a16:creationId xmlns:a16="http://schemas.microsoft.com/office/drawing/2014/main" id="{00000000-0008-0000-0E00-000004000000}"/>
            </a:ext>
          </a:extLst>
        </xdr:cNvPr>
        <xdr:cNvCxnSpPr/>
      </xdr:nvCxnSpPr>
      <xdr:spPr>
        <a:xfrm>
          <a:off x="6115050" y="1762125"/>
          <a:ext cx="685800" cy="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219075</xdr:colOff>
      <xdr:row>4</xdr:row>
      <xdr:rowOff>38100</xdr:rowOff>
    </xdr:from>
    <xdr:to>
      <xdr:col>12</xdr:col>
      <xdr:colOff>1095375</xdr:colOff>
      <xdr:row>19</xdr:row>
      <xdr:rowOff>68356</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0425" y="809625"/>
          <a:ext cx="404812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321767</xdr:colOff>
      <xdr:row>85</xdr:row>
      <xdr:rowOff>20330</xdr:rowOff>
    </xdr:from>
    <xdr:to>
      <xdr:col>9</xdr:col>
      <xdr:colOff>530678</xdr:colOff>
      <xdr:row>105</xdr:row>
      <xdr:rowOff>40822</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29747</xdr:colOff>
      <xdr:row>0</xdr:row>
      <xdr:rowOff>165084</xdr:rowOff>
    </xdr:from>
    <xdr:to>
      <xdr:col>27</xdr:col>
      <xdr:colOff>257175</xdr:colOff>
      <xdr:row>27</xdr:row>
      <xdr:rowOff>88884</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577611</xdr:colOff>
      <xdr:row>28</xdr:row>
      <xdr:rowOff>175319</xdr:rowOff>
    </xdr:from>
    <xdr:to>
      <xdr:col>18</xdr:col>
      <xdr:colOff>230229</xdr:colOff>
      <xdr:row>46</xdr:row>
      <xdr:rowOff>140582</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600075</xdr:colOff>
      <xdr:row>47</xdr:row>
      <xdr:rowOff>80961</xdr:rowOff>
    </xdr:from>
    <xdr:to>
      <xdr:col>17</xdr:col>
      <xdr:colOff>504825</xdr:colOff>
      <xdr:row>65</xdr:row>
      <xdr:rowOff>66674</xdr:rowOff>
    </xdr:to>
    <xdr:graphicFrame macro="">
      <xdr:nvGraphicFramePr>
        <xdr:cNvPr id="6" name="Chart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400049</xdr:colOff>
      <xdr:row>28</xdr:row>
      <xdr:rowOff>176211</xdr:rowOff>
    </xdr:from>
    <xdr:to>
      <xdr:col>28</xdr:col>
      <xdr:colOff>238124</xdr:colOff>
      <xdr:row>46</xdr:row>
      <xdr:rowOff>142874</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57149</xdr:colOff>
      <xdr:row>1</xdr:row>
      <xdr:rowOff>42862</xdr:rowOff>
    </xdr:from>
    <xdr:to>
      <xdr:col>21</xdr:col>
      <xdr:colOff>409574</xdr:colOff>
      <xdr:row>15</xdr:row>
      <xdr:rowOff>119062</xdr:rowOff>
    </xdr:to>
    <xdr:graphicFrame macro="">
      <xdr:nvGraphicFramePr>
        <xdr:cNvPr id="6" name="Chart 5">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561975</xdr:colOff>
      <xdr:row>16</xdr:row>
      <xdr:rowOff>42862</xdr:rowOff>
    </xdr:from>
    <xdr:to>
      <xdr:col>18</xdr:col>
      <xdr:colOff>504825</xdr:colOff>
      <xdr:row>30</xdr:row>
      <xdr:rowOff>119062</xdr:rowOff>
    </xdr:to>
    <xdr:graphicFrame macro="">
      <xdr:nvGraphicFramePr>
        <xdr:cNvPr id="7" name="Chart 6">
          <a:extLst>
            <a:ext uri="{FF2B5EF4-FFF2-40B4-BE49-F238E27FC236}">
              <a16:creationId xmlns:a16="http://schemas.microsoft.com/office/drawing/2014/main" id="{00000000-0008-0000-0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523875</xdr:colOff>
      <xdr:row>31</xdr:row>
      <xdr:rowOff>61912</xdr:rowOff>
    </xdr:from>
    <xdr:to>
      <xdr:col>18</xdr:col>
      <xdr:colOff>514350</xdr:colOff>
      <xdr:row>45</xdr:row>
      <xdr:rowOff>138112</xdr:rowOff>
    </xdr:to>
    <xdr:graphicFrame macro="">
      <xdr:nvGraphicFramePr>
        <xdr:cNvPr id="8" name="Chart 7">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485775</xdr:colOff>
      <xdr:row>46</xdr:row>
      <xdr:rowOff>90487</xdr:rowOff>
    </xdr:from>
    <xdr:to>
      <xdr:col>18</xdr:col>
      <xdr:colOff>504825</xdr:colOff>
      <xdr:row>60</xdr:row>
      <xdr:rowOff>166687</xdr:rowOff>
    </xdr:to>
    <xdr:graphicFrame macro="">
      <xdr:nvGraphicFramePr>
        <xdr:cNvPr id="9" name="Chart 8">
          <a:extLst>
            <a:ext uri="{FF2B5EF4-FFF2-40B4-BE49-F238E27FC236}">
              <a16:creationId xmlns:a16="http://schemas.microsoft.com/office/drawing/2014/main" id="{00000000-0008-0000-07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9524</xdr:colOff>
      <xdr:row>1</xdr:row>
      <xdr:rowOff>0</xdr:rowOff>
    </xdr:from>
    <xdr:to>
      <xdr:col>22</xdr:col>
      <xdr:colOff>95249</xdr:colOff>
      <xdr:row>24</xdr:row>
      <xdr:rowOff>100012</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0</xdr:row>
      <xdr:rowOff>171450</xdr:rowOff>
    </xdr:from>
    <xdr:to>
      <xdr:col>24</xdr:col>
      <xdr:colOff>85725</xdr:colOff>
      <xdr:row>26</xdr:row>
      <xdr:rowOff>33337</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9525</xdr:colOff>
      <xdr:row>1</xdr:row>
      <xdr:rowOff>47625</xdr:rowOff>
    </xdr:from>
    <xdr:to>
      <xdr:col>24</xdr:col>
      <xdr:colOff>333375</xdr:colOff>
      <xdr:row>26</xdr:row>
      <xdr:rowOff>71437</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1389530</xdr:colOff>
      <xdr:row>30</xdr:row>
      <xdr:rowOff>123263</xdr:rowOff>
    </xdr:from>
    <xdr:to>
      <xdr:col>10</xdr:col>
      <xdr:colOff>4224618</xdr:colOff>
      <xdr:row>40</xdr:row>
      <xdr:rowOff>22412</xdr:rowOff>
    </xdr:to>
    <xdr:sp macro="" textlink="">
      <xdr:nvSpPr>
        <xdr:cNvPr id="2" name="Rounded Rectangular Callout 1">
          <a:extLst>
            <a:ext uri="{FF2B5EF4-FFF2-40B4-BE49-F238E27FC236}">
              <a16:creationId xmlns:a16="http://schemas.microsoft.com/office/drawing/2014/main" id="{00000000-0008-0000-0B00-000002000000}"/>
            </a:ext>
          </a:extLst>
        </xdr:cNvPr>
        <xdr:cNvSpPr/>
      </xdr:nvSpPr>
      <xdr:spPr>
        <a:xfrm>
          <a:off x="13973736" y="6409763"/>
          <a:ext cx="2835088" cy="1804149"/>
        </a:xfrm>
        <a:prstGeom prst="wedgeRoundRectCallout">
          <a:avLst>
            <a:gd name="adj1" fmla="val 71579"/>
            <a:gd name="adj2" fmla="val 12558"/>
            <a:gd name="adj3" fmla="val 16667"/>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the numerical value "1,97" </a:t>
          </a:r>
          <a:r>
            <a:rPr lang="en-US" sz="1100" baseline="0">
              <a:solidFill>
                <a:schemeClr val="tx1"/>
              </a:solidFill>
            </a:rPr>
            <a:t>seems to have a typo in it.    </a:t>
          </a:r>
        </a:p>
        <a:p>
          <a:pPr algn="l"/>
          <a:r>
            <a:rPr lang="en-US" sz="1100" baseline="0">
              <a:solidFill>
                <a:schemeClr val="tx1"/>
              </a:solidFill>
            </a:rPr>
            <a:t>Due to the comma which is meant as a 3 digit seperator we don't know if this is "197" or "1,970".  </a:t>
          </a:r>
        </a:p>
        <a:p>
          <a:pPr algn="l"/>
          <a:r>
            <a:rPr lang="en-US" sz="1100" baseline="0">
              <a:solidFill>
                <a:schemeClr val="tx1"/>
              </a:solidFill>
            </a:rPr>
            <a:t>If the comma as not there, it would be 197, with the comma there is a reason to believe that it may have been 1,970 but the "0" was left out. </a:t>
          </a:r>
          <a:endParaRPr lang="en-US" sz="1100">
            <a:solidFill>
              <a:schemeClr val="tx1"/>
            </a:solidFill>
          </a:endParaRPr>
        </a:p>
      </xdr:txBody>
    </xdr:sp>
    <xdr:clientData/>
  </xdr:twoCellAnchor>
  <xdr:twoCellAnchor>
    <xdr:from>
      <xdr:col>10</xdr:col>
      <xdr:colOff>1355911</xdr:colOff>
      <xdr:row>43</xdr:row>
      <xdr:rowOff>89648</xdr:rowOff>
    </xdr:from>
    <xdr:to>
      <xdr:col>10</xdr:col>
      <xdr:colOff>4190999</xdr:colOff>
      <xdr:row>48</xdr:row>
      <xdr:rowOff>67236</xdr:rowOff>
    </xdr:to>
    <xdr:sp macro="" textlink="">
      <xdr:nvSpPr>
        <xdr:cNvPr id="3" name="Rounded Rectangular Callout 2">
          <a:extLst>
            <a:ext uri="{FF2B5EF4-FFF2-40B4-BE49-F238E27FC236}">
              <a16:creationId xmlns:a16="http://schemas.microsoft.com/office/drawing/2014/main" id="{00000000-0008-0000-0B00-000003000000}"/>
            </a:ext>
          </a:extLst>
        </xdr:cNvPr>
        <xdr:cNvSpPr/>
      </xdr:nvSpPr>
      <xdr:spPr>
        <a:xfrm>
          <a:off x="13940117" y="8852648"/>
          <a:ext cx="2835088" cy="930088"/>
        </a:xfrm>
        <a:prstGeom prst="wedgeRoundRectCallout">
          <a:avLst>
            <a:gd name="adj1" fmla="val 81065"/>
            <a:gd name="adj2" fmla="val 12558"/>
            <a:gd name="adj3" fmla="val 16667"/>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The rows with the "Release?" column left blank are assumbed to be no</a:t>
          </a:r>
          <a:r>
            <a:rPr lang="en-US" sz="1100" baseline="0">
              <a:solidFill>
                <a:schemeClr val="tx1"/>
              </a:solidFill>
            </a:rPr>
            <a:t> incident.  </a:t>
          </a:r>
        </a:p>
        <a:p>
          <a:pPr algn="l"/>
          <a:r>
            <a:rPr lang="en-US" sz="1100" baseline="0">
              <a:solidFill>
                <a:schemeClr val="tx1"/>
              </a:solidFill>
            </a:rPr>
            <a:t>In other words the tanks operated since the construction year without any releases. </a:t>
          </a:r>
          <a:endParaRPr lang="en-US" sz="1100">
            <a:solidFill>
              <a:schemeClr val="tx1"/>
            </a:solidFill>
          </a:endParaRPr>
        </a:p>
      </xdr:txBody>
    </xdr:sp>
    <xdr:clientData/>
  </xdr:twoCellAnchor>
  <xdr:twoCellAnchor>
    <xdr:from>
      <xdr:col>10</xdr:col>
      <xdr:colOff>1154206</xdr:colOff>
      <xdr:row>96</xdr:row>
      <xdr:rowOff>33617</xdr:rowOff>
    </xdr:from>
    <xdr:to>
      <xdr:col>10</xdr:col>
      <xdr:colOff>3989294</xdr:colOff>
      <xdr:row>101</xdr:row>
      <xdr:rowOff>112058</xdr:rowOff>
    </xdr:to>
    <xdr:sp macro="" textlink="">
      <xdr:nvSpPr>
        <xdr:cNvPr id="4" name="Rounded Rectangular Callout 3">
          <a:extLst>
            <a:ext uri="{FF2B5EF4-FFF2-40B4-BE49-F238E27FC236}">
              <a16:creationId xmlns:a16="http://schemas.microsoft.com/office/drawing/2014/main" id="{00000000-0008-0000-0B00-000004000000}"/>
            </a:ext>
          </a:extLst>
        </xdr:cNvPr>
        <xdr:cNvSpPr/>
      </xdr:nvSpPr>
      <xdr:spPr>
        <a:xfrm>
          <a:off x="13738412" y="18893117"/>
          <a:ext cx="2835088" cy="1030941"/>
        </a:xfrm>
        <a:prstGeom prst="wedgeRoundRectCallout">
          <a:avLst>
            <a:gd name="adj1" fmla="val 81065"/>
            <a:gd name="adj2" fmla="val 12558"/>
            <a:gd name="adj3" fmla="val 16667"/>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Currently the</a:t>
          </a:r>
          <a:r>
            <a:rPr lang="en-US" sz="1100" baseline="0">
              <a:solidFill>
                <a:schemeClr val="tx1"/>
              </a:solidFill>
            </a:rPr>
            <a:t> row with "Release?" data of "Maybe" is assumed as no release.   In the next update we will consider this to be a release incident to be on the conservative side.  </a:t>
          </a:r>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85" zoomScaleNormal="85" workbookViewId="0"/>
  </sheetViews>
  <sheetFormatPr defaultRowHeight="15" x14ac:dyDescent="0.25"/>
  <cols>
    <col min="3" max="3" width="29.5703125" customWidth="1"/>
    <col min="4" max="4" width="19" customWidth="1"/>
    <col min="5" max="6" width="12.7109375" customWidth="1"/>
    <col min="7" max="7" width="15" customWidth="1"/>
    <col min="8" max="8" width="10.7109375" customWidth="1"/>
    <col min="10" max="11" width="12.85546875" customWidth="1"/>
    <col min="13" max="13" width="10.42578125" customWidth="1"/>
    <col min="14" max="14" width="25.140625" customWidth="1"/>
    <col min="15" max="15" width="20.42578125" customWidth="1"/>
    <col min="16" max="16" width="13" customWidth="1"/>
    <col min="17" max="17" width="17.85546875" customWidth="1"/>
    <col min="21" max="21" width="16.85546875" customWidth="1"/>
  </cols>
  <sheetData>
    <row r="1" spans="2:13" ht="15.75" thickBot="1" x14ac:dyDescent="0.3"/>
    <row r="2" spans="2:13" ht="15.75" customHeight="1" thickBot="1" x14ac:dyDescent="0.3">
      <c r="B2" s="407" t="s">
        <v>654</v>
      </c>
      <c r="C2" s="408"/>
      <c r="D2" s="408"/>
      <c r="E2" s="408"/>
      <c r="F2" s="408"/>
      <c r="G2" s="408"/>
      <c r="H2" s="408"/>
      <c r="I2" s="408"/>
      <c r="J2" s="408"/>
      <c r="K2" s="408"/>
      <c r="L2" s="409"/>
    </row>
    <row r="3" spans="2:13" ht="45" customHeight="1" x14ac:dyDescent="0.25">
      <c r="B3" s="411" t="str">
        <f>OGP!B4</f>
        <v>Atmospheric Storage Tanks
Fixed/ floating roof</v>
      </c>
      <c r="C3" s="412"/>
      <c r="D3" s="412"/>
      <c r="E3" s="257"/>
      <c r="F3" s="257"/>
      <c r="G3" s="258" t="s">
        <v>656</v>
      </c>
      <c r="H3" s="258" t="s">
        <v>818</v>
      </c>
      <c r="I3" s="258"/>
      <c r="J3" s="257"/>
      <c r="K3" s="264"/>
      <c r="L3" s="259"/>
      <c r="M3" s="80"/>
    </row>
    <row r="4" spans="2:13" x14ac:dyDescent="0.25">
      <c r="B4" s="413" t="str">
        <f>OGP!C4</f>
        <v xml:space="preserve">Liquid spill outside tank </v>
      </c>
      <c r="C4" s="414"/>
      <c r="D4" s="414"/>
      <c r="E4" s="5"/>
      <c r="F4" s="5"/>
      <c r="G4" s="29">
        <f>OGP!D4</f>
        <v>2.8E-3</v>
      </c>
      <c r="H4" s="230">
        <f>1/G4</f>
        <v>357.14285714285717</v>
      </c>
      <c r="I4" s="6"/>
      <c r="J4" s="5"/>
      <c r="K4" s="265"/>
      <c r="L4" s="21"/>
      <c r="M4" s="80"/>
    </row>
    <row r="5" spans="2:13" ht="15.75" thickBot="1" x14ac:dyDescent="0.3">
      <c r="B5" s="394" t="str">
        <f>OGP!C5</f>
        <v xml:space="preserve">Tank rupture </v>
      </c>
      <c r="C5" s="395"/>
      <c r="D5" s="395"/>
      <c r="E5" s="9"/>
      <c r="F5" s="9"/>
      <c r="G5" s="32">
        <f>OGP!D5</f>
        <v>3.0000000000000001E-6</v>
      </c>
      <c r="H5" s="231">
        <f>1/G5</f>
        <v>333333.33333333331</v>
      </c>
      <c r="I5" s="23"/>
      <c r="J5" s="9"/>
      <c r="K5" s="266"/>
      <c r="L5" s="25"/>
      <c r="M5" s="80"/>
    </row>
    <row r="6" spans="2:13" x14ac:dyDescent="0.25">
      <c r="C6" s="2"/>
      <c r="F6" s="4"/>
      <c r="H6" s="4"/>
      <c r="I6" s="4"/>
      <c r="J6" s="4"/>
      <c r="K6" s="135"/>
    </row>
    <row r="7" spans="2:13" ht="15.75" thickBot="1" x14ac:dyDescent="0.3">
      <c r="K7" s="136"/>
    </row>
    <row r="8" spans="2:13" ht="15.75" thickBot="1" x14ac:dyDescent="0.3">
      <c r="B8" s="401" t="s">
        <v>657</v>
      </c>
      <c r="C8" s="402"/>
      <c r="D8" s="402"/>
      <c r="E8" s="402"/>
      <c r="F8" s="402"/>
      <c r="G8" s="402"/>
      <c r="H8" s="402"/>
      <c r="I8" s="402"/>
      <c r="J8" s="402"/>
      <c r="K8" s="402"/>
      <c r="L8" s="403"/>
    </row>
    <row r="9" spans="2:13" ht="30" x14ac:dyDescent="0.25">
      <c r="B9" s="260" t="s">
        <v>118</v>
      </c>
      <c r="C9" s="261" t="s">
        <v>121</v>
      </c>
      <c r="D9" s="262" t="s">
        <v>119</v>
      </c>
      <c r="E9" s="262"/>
      <c r="F9" s="262"/>
      <c r="G9" s="258" t="s">
        <v>656</v>
      </c>
      <c r="H9" s="258" t="s">
        <v>818</v>
      </c>
      <c r="I9" s="258" t="s">
        <v>114</v>
      </c>
      <c r="J9" s="258" t="s">
        <v>120</v>
      </c>
      <c r="K9" s="258" t="s">
        <v>115</v>
      </c>
      <c r="L9" s="263" t="s">
        <v>116</v>
      </c>
      <c r="M9" s="123"/>
    </row>
    <row r="10" spans="2:13" x14ac:dyDescent="0.25">
      <c r="B10" s="20" t="s">
        <v>659</v>
      </c>
      <c r="C10" s="28" t="str">
        <f>B4</f>
        <v xml:space="preserve">Liquid spill outside tank </v>
      </c>
      <c r="D10" s="19" t="s">
        <v>113</v>
      </c>
      <c r="E10" s="35"/>
      <c r="F10" s="35"/>
      <c r="G10" s="29">
        <v>2.81E-3</v>
      </c>
      <c r="H10" s="230">
        <f>1/G10</f>
        <v>355.87188612099646</v>
      </c>
      <c r="I10" s="30">
        <v>9.2900000000000008E-6</v>
      </c>
      <c r="J10" s="30">
        <v>1.16E-3</v>
      </c>
      <c r="K10" s="30">
        <v>9.9100000000000004E-3</v>
      </c>
      <c r="L10" s="31">
        <v>32.6</v>
      </c>
      <c r="M10" s="171"/>
    </row>
    <row r="11" spans="2:13" ht="15.75" thickBot="1" x14ac:dyDescent="0.3">
      <c r="B11" s="22" t="s">
        <v>658</v>
      </c>
      <c r="C11" s="9" t="str">
        <f>B5</f>
        <v xml:space="preserve">Tank rupture </v>
      </c>
      <c r="D11" s="24" t="s">
        <v>113</v>
      </c>
      <c r="E11" s="36"/>
      <c r="F11" s="36"/>
      <c r="G11" s="32">
        <v>3.01E-6</v>
      </c>
      <c r="H11" s="231">
        <f>1/G11</f>
        <v>332225.91362126247</v>
      </c>
      <c r="I11" s="33">
        <v>9.9599999999999995E-9</v>
      </c>
      <c r="J11" s="33">
        <v>1.24E-6</v>
      </c>
      <c r="K11" s="33">
        <v>1.06E-5</v>
      </c>
      <c r="L11" s="34">
        <v>32.6</v>
      </c>
      <c r="M11" s="171"/>
    </row>
    <row r="12" spans="2:13" s="327" customFormat="1" ht="15.75" thickBot="1" x14ac:dyDescent="0.3">
      <c r="B12" s="55"/>
      <c r="C12" s="55"/>
      <c r="D12" s="56"/>
      <c r="E12" s="392"/>
      <c r="F12" s="392"/>
      <c r="G12" s="58"/>
      <c r="H12" s="393"/>
      <c r="I12" s="59"/>
      <c r="J12" s="59"/>
      <c r="K12" s="59"/>
      <c r="L12" s="57"/>
      <c r="M12" s="171"/>
    </row>
    <row r="13" spans="2:13" s="327" customFormat="1" ht="15.75" thickBot="1" x14ac:dyDescent="0.3">
      <c r="B13" s="401" t="s">
        <v>957</v>
      </c>
      <c r="C13" s="402"/>
      <c r="D13" s="402"/>
      <c r="E13" s="402"/>
      <c r="F13" s="402"/>
      <c r="G13" s="402"/>
      <c r="H13" s="402"/>
      <c r="I13" s="402"/>
      <c r="J13" s="402"/>
      <c r="K13" s="402"/>
      <c r="L13" s="403"/>
      <c r="M13" s="171"/>
    </row>
    <row r="14" spans="2:13" s="327" customFormat="1" ht="30" x14ac:dyDescent="0.25">
      <c r="B14" s="260" t="s">
        <v>118</v>
      </c>
      <c r="C14" s="261" t="s">
        <v>121</v>
      </c>
      <c r="D14" s="262" t="s">
        <v>119</v>
      </c>
      <c r="E14" s="262"/>
      <c r="F14" s="262"/>
      <c r="G14" s="258" t="s">
        <v>656</v>
      </c>
      <c r="H14" s="258" t="s">
        <v>818</v>
      </c>
      <c r="I14" s="258" t="s">
        <v>114</v>
      </c>
      <c r="J14" s="258" t="s">
        <v>120</v>
      </c>
      <c r="K14" s="258" t="s">
        <v>115</v>
      </c>
      <c r="L14" s="263" t="s">
        <v>116</v>
      </c>
      <c r="M14" s="171"/>
    </row>
    <row r="15" spans="2:13" ht="25.5" customHeight="1" x14ac:dyDescent="0.25">
      <c r="B15" s="20" t="s">
        <v>958</v>
      </c>
      <c r="C15" s="28" t="s">
        <v>960</v>
      </c>
      <c r="D15" s="19" t="s">
        <v>962</v>
      </c>
      <c r="E15" s="35"/>
      <c r="F15" s="35"/>
      <c r="G15" s="29">
        <v>1.24E-2</v>
      </c>
      <c r="H15" s="230">
        <f>1/G15</f>
        <v>80.645161290322577</v>
      </c>
      <c r="I15" s="30">
        <v>7.9600000000000001E-3</v>
      </c>
      <c r="J15" s="30">
        <v>1.2E-2</v>
      </c>
      <c r="K15" s="30">
        <v>1.7100000000000001E-2</v>
      </c>
      <c r="L15" s="31">
        <v>1.47</v>
      </c>
    </row>
    <row r="16" spans="2:13" ht="30.75" thickBot="1" x14ac:dyDescent="0.3">
      <c r="B16" s="22" t="s">
        <v>959</v>
      </c>
      <c r="C16" s="9" t="s">
        <v>961</v>
      </c>
      <c r="D16" s="19" t="s">
        <v>963</v>
      </c>
      <c r="E16" s="36"/>
      <c r="F16" s="36"/>
      <c r="G16" s="32">
        <v>2.9900000000000002E-6</v>
      </c>
      <c r="H16" s="231">
        <f>1/G16</f>
        <v>334448.16053511703</v>
      </c>
      <c r="I16" s="33">
        <v>9.9900000000000005E-9</v>
      </c>
      <c r="J16" s="33">
        <v>1.2300000000000001E-6</v>
      </c>
      <c r="K16" s="33">
        <v>1.0499999999999999E-5</v>
      </c>
      <c r="L16" s="34">
        <v>32.6</v>
      </c>
    </row>
    <row r="17" spans="2:15" ht="28.5" customHeight="1" x14ac:dyDescent="0.25">
      <c r="B17" s="55"/>
      <c r="C17" s="55"/>
      <c r="D17" s="56"/>
      <c r="E17" s="392"/>
      <c r="F17" s="392"/>
      <c r="G17" s="58"/>
      <c r="H17" s="393"/>
      <c r="I17" s="59"/>
      <c r="J17" s="59"/>
      <c r="K17" s="59"/>
      <c r="L17" s="57"/>
      <c r="M17" s="123"/>
      <c r="N17" s="4"/>
      <c r="O17" s="4"/>
    </row>
    <row r="18" spans="2:15" x14ac:dyDescent="0.25">
      <c r="B18" s="55"/>
      <c r="C18" s="55"/>
      <c r="D18" s="56"/>
      <c r="E18" s="392"/>
      <c r="F18" s="392"/>
      <c r="G18" s="58"/>
      <c r="H18" s="393"/>
      <c r="I18" s="59"/>
      <c r="J18" s="59"/>
      <c r="K18" s="59"/>
      <c r="L18" s="57"/>
      <c r="M18" s="171"/>
      <c r="N18" s="4"/>
      <c r="O18" s="4"/>
    </row>
    <row r="19" spans="2:15" ht="15.75" thickBot="1" x14ac:dyDescent="0.3">
      <c r="C19" s="2"/>
      <c r="F19" s="4"/>
      <c r="H19" s="4"/>
      <c r="I19" s="4"/>
      <c r="J19" s="4"/>
      <c r="K19" s="135"/>
      <c r="M19" s="171"/>
      <c r="N19" s="4"/>
      <c r="O19" s="4"/>
    </row>
    <row r="20" spans="2:15" ht="15.75" thickBot="1" x14ac:dyDescent="0.3">
      <c r="B20" s="401" t="s">
        <v>704</v>
      </c>
      <c r="C20" s="402"/>
      <c r="D20" s="402"/>
      <c r="E20" s="402"/>
      <c r="F20" s="402"/>
      <c r="G20" s="402"/>
      <c r="H20" s="402"/>
      <c r="I20" s="402"/>
      <c r="J20" s="402"/>
      <c r="K20" s="402"/>
      <c r="L20" s="403"/>
    </row>
    <row r="21" spans="2:15" ht="30" x14ac:dyDescent="0.25">
      <c r="B21" s="260" t="s">
        <v>118</v>
      </c>
      <c r="C21" s="261" t="s">
        <v>121</v>
      </c>
      <c r="D21" s="262" t="s">
        <v>119</v>
      </c>
      <c r="E21" s="258" t="s">
        <v>124</v>
      </c>
      <c r="F21" s="170" t="s">
        <v>495</v>
      </c>
      <c r="G21" s="258" t="s">
        <v>656</v>
      </c>
      <c r="H21" s="258" t="s">
        <v>818</v>
      </c>
      <c r="I21" s="258" t="s">
        <v>114</v>
      </c>
      <c r="J21" s="258" t="s">
        <v>120</v>
      </c>
      <c r="K21" s="258" t="s">
        <v>115</v>
      </c>
      <c r="L21" s="263" t="s">
        <v>116</v>
      </c>
    </row>
    <row r="22" spans="2:15" x14ac:dyDescent="0.25">
      <c r="B22" s="20" t="s">
        <v>660</v>
      </c>
      <c r="C22" s="5" t="s">
        <v>663</v>
      </c>
      <c r="D22" s="19" t="s">
        <v>122</v>
      </c>
      <c r="E22" s="27">
        <f>NavyBulkTank_SpillReleaseData!J206</f>
        <v>10</v>
      </c>
      <c r="F22" s="27">
        <f>NavyBulkTank_SpillReleaseData!H206</f>
        <v>7050</v>
      </c>
      <c r="G22" s="29">
        <v>1.4499999999999999E-3</v>
      </c>
      <c r="H22" s="230">
        <f>1/G22</f>
        <v>689.65517241379314</v>
      </c>
      <c r="I22" s="30">
        <v>7.9000000000000001E-4</v>
      </c>
      <c r="J22" s="30">
        <v>1.3799999999999999E-3</v>
      </c>
      <c r="K22" s="30">
        <v>2.2100000000000002E-3</v>
      </c>
      <c r="L22" s="31">
        <v>1.67</v>
      </c>
    </row>
    <row r="23" spans="2:15" ht="29.25" customHeight="1" thickBot="1" x14ac:dyDescent="0.3">
      <c r="B23" s="22" t="s">
        <v>661</v>
      </c>
      <c r="C23" s="9" t="s">
        <v>662</v>
      </c>
      <c r="D23" s="24" t="s">
        <v>122</v>
      </c>
      <c r="E23" s="26">
        <f>NavyBulkTank_SpillReleaseData!J207</f>
        <v>0</v>
      </c>
      <c r="F23" s="26">
        <f>NavyBulkTank_SpillReleaseData!H206</f>
        <v>7050</v>
      </c>
      <c r="G23" s="32">
        <v>2.8899999999999999E-6</v>
      </c>
      <c r="H23" s="231">
        <f>1/G23</f>
        <v>346020.76124567474</v>
      </c>
      <c r="I23" s="33">
        <v>9.5999999999999999E-9</v>
      </c>
      <c r="J23" s="33">
        <v>1.19E-6</v>
      </c>
      <c r="K23" s="33">
        <v>1.0200000000000001E-5</v>
      </c>
      <c r="L23" s="34">
        <v>32.6</v>
      </c>
      <c r="N23" s="4"/>
    </row>
    <row r="24" spans="2:15" ht="17.25" customHeight="1" x14ac:dyDescent="0.25">
      <c r="C24" s="2"/>
      <c r="F24" s="4"/>
      <c r="H24" s="4"/>
      <c r="I24" s="4"/>
      <c r="J24" s="4"/>
      <c r="K24" s="135"/>
      <c r="M24" s="171"/>
      <c r="N24" s="4"/>
    </row>
    <row r="25" spans="2:15" ht="17.25" customHeight="1" thickBot="1" x14ac:dyDescent="0.3">
      <c r="K25" s="136"/>
      <c r="M25" s="57"/>
      <c r="N25" s="4"/>
    </row>
    <row r="26" spans="2:15" ht="17.25" customHeight="1" x14ac:dyDescent="0.25">
      <c r="B26" s="398" t="s">
        <v>917</v>
      </c>
      <c r="C26" s="399"/>
      <c r="D26" s="399"/>
      <c r="E26" s="399"/>
      <c r="F26" s="399"/>
      <c r="G26" s="399"/>
      <c r="H26" s="399"/>
      <c r="I26" s="399"/>
      <c r="J26" s="399"/>
      <c r="K26" s="399"/>
      <c r="L26" s="400"/>
      <c r="M26" s="57"/>
      <c r="N26" s="4"/>
    </row>
    <row r="27" spans="2:15" ht="17.25" customHeight="1" x14ac:dyDescent="0.25">
      <c r="B27" s="38" t="s">
        <v>118</v>
      </c>
      <c r="C27" s="39" t="s">
        <v>121</v>
      </c>
      <c r="D27" s="37" t="s">
        <v>119</v>
      </c>
      <c r="E27" s="40" t="s">
        <v>124</v>
      </c>
      <c r="F27" s="170" t="s">
        <v>495</v>
      </c>
      <c r="G27" s="40" t="s">
        <v>656</v>
      </c>
      <c r="H27" s="40" t="s">
        <v>818</v>
      </c>
      <c r="I27" s="40" t="s">
        <v>114</v>
      </c>
      <c r="J27" s="40" t="s">
        <v>120</v>
      </c>
      <c r="K27" s="40" t="s">
        <v>115</v>
      </c>
      <c r="L27" s="41" t="s">
        <v>116</v>
      </c>
      <c r="M27" s="57"/>
    </row>
    <row r="28" spans="2:15" ht="17.25" customHeight="1" x14ac:dyDescent="0.25">
      <c r="B28" s="20" t="s">
        <v>664</v>
      </c>
      <c r="C28" s="5" t="s">
        <v>125</v>
      </c>
      <c r="D28" s="19" t="s">
        <v>123</v>
      </c>
      <c r="E28" s="27">
        <f>All_Tanks_RH!J7</f>
        <v>6</v>
      </c>
      <c r="F28" s="410">
        <f>All_Tanks_RH!I7</f>
        <v>45.374829001367985</v>
      </c>
      <c r="G28" s="29">
        <v>2.3800000000000002E-3</v>
      </c>
      <c r="H28" s="88">
        <f t="shared" ref="H28:H67" si="0">1/G28</f>
        <v>420.16806722689074</v>
      </c>
      <c r="I28" s="30">
        <v>1.42E-3</v>
      </c>
      <c r="J28" s="30">
        <v>2.2100000000000002E-3</v>
      </c>
      <c r="K28" s="30">
        <v>3.31E-3</v>
      </c>
      <c r="L28" s="31">
        <v>1.53</v>
      </c>
      <c r="M28" s="57"/>
    </row>
    <row r="29" spans="2:15" ht="17.25" customHeight="1" thickBot="1" x14ac:dyDescent="0.3">
      <c r="B29" s="22" t="s">
        <v>665</v>
      </c>
      <c r="C29" s="9" t="s">
        <v>126</v>
      </c>
      <c r="D29" s="24" t="s">
        <v>123</v>
      </c>
      <c r="E29" s="26">
        <v>0</v>
      </c>
      <c r="F29" s="397"/>
      <c r="G29" s="32">
        <v>2.8899999999999999E-6</v>
      </c>
      <c r="H29" s="151">
        <f t="shared" si="0"/>
        <v>346020.76124567474</v>
      </c>
      <c r="I29" s="33">
        <v>9.5599999999999992E-9</v>
      </c>
      <c r="J29" s="33">
        <v>1.19E-6</v>
      </c>
      <c r="K29" s="33">
        <v>1.0200000000000001E-5</v>
      </c>
      <c r="L29" s="34">
        <v>32.6</v>
      </c>
      <c r="M29" s="57"/>
    </row>
    <row r="30" spans="2:15" ht="17.25" customHeight="1" x14ac:dyDescent="0.25">
      <c r="B30" s="20" t="s">
        <v>666</v>
      </c>
      <c r="C30" s="5" t="s">
        <v>127</v>
      </c>
      <c r="D30" s="19" t="s">
        <v>123</v>
      </c>
      <c r="E30" s="383">
        <v>2</v>
      </c>
      <c r="F30" s="396">
        <f>All_Tanks_RH!I8</f>
        <v>68.742818057455537</v>
      </c>
      <c r="G30" s="29">
        <v>1.72E-3</v>
      </c>
      <c r="H30" s="88">
        <f t="shared" si="0"/>
        <v>581.39534883720933</v>
      </c>
      <c r="I30" s="30">
        <v>9.6900000000000003E-4</v>
      </c>
      <c r="J30" s="30">
        <v>1.64E-3</v>
      </c>
      <c r="K30" s="30">
        <v>2.5600000000000002E-3</v>
      </c>
      <c r="L30" s="31">
        <v>1.62</v>
      </c>
      <c r="M30" s="57"/>
    </row>
    <row r="31" spans="2:15" ht="17.25" customHeight="1" thickBot="1" x14ac:dyDescent="0.3">
      <c r="B31" s="22" t="s">
        <v>667</v>
      </c>
      <c r="C31" s="9" t="s">
        <v>128</v>
      </c>
      <c r="D31" s="24" t="s">
        <v>123</v>
      </c>
      <c r="E31" s="26">
        <v>0</v>
      </c>
      <c r="F31" s="397"/>
      <c r="G31" s="32">
        <v>2.8900000000000001E-5</v>
      </c>
      <c r="H31" s="151">
        <f t="shared" si="0"/>
        <v>34602.076124567473</v>
      </c>
      <c r="I31" s="33">
        <v>9.5599999999999992E-9</v>
      </c>
      <c r="J31" s="33">
        <v>1.19E-9</v>
      </c>
      <c r="K31" s="33">
        <v>1.0200000000000001E-5</v>
      </c>
      <c r="L31" s="34">
        <v>32.6</v>
      </c>
      <c r="M31" s="57"/>
    </row>
    <row r="32" spans="2:15" ht="17.25" customHeight="1" x14ac:dyDescent="0.25">
      <c r="B32" s="20" t="s">
        <v>668</v>
      </c>
      <c r="C32" s="5" t="s">
        <v>129</v>
      </c>
      <c r="D32" s="19" t="s">
        <v>123</v>
      </c>
      <c r="E32" s="27">
        <f>All_Tanks_RH!J9</f>
        <v>1</v>
      </c>
      <c r="F32" s="396">
        <f>All_Tanks_RH!I9</f>
        <v>71.718194254445962</v>
      </c>
      <c r="G32" s="29">
        <v>1.58E-3</v>
      </c>
      <c r="H32" s="88">
        <f t="shared" si="0"/>
        <v>632.91139240506322</v>
      </c>
      <c r="I32" s="30">
        <v>8.7600000000000004E-4</v>
      </c>
      <c r="J32" s="30">
        <v>1.5100000000000001E-3</v>
      </c>
      <c r="K32" s="30">
        <v>2.3800000000000002E-3</v>
      </c>
      <c r="L32" s="31">
        <v>1.65</v>
      </c>
      <c r="M32" s="57"/>
    </row>
    <row r="33" spans="2:13" ht="17.25" customHeight="1" thickBot="1" x14ac:dyDescent="0.3">
      <c r="B33" s="22" t="s">
        <v>669</v>
      </c>
      <c r="C33" s="9" t="s">
        <v>130</v>
      </c>
      <c r="D33" s="24" t="s">
        <v>123</v>
      </c>
      <c r="E33" s="26">
        <v>0</v>
      </c>
      <c r="F33" s="397"/>
      <c r="G33" s="32">
        <v>2.8900000000000001E-5</v>
      </c>
      <c r="H33" s="151">
        <f t="shared" si="0"/>
        <v>34602.076124567473</v>
      </c>
      <c r="I33" s="33">
        <v>9.5599999999999992E-9</v>
      </c>
      <c r="J33" s="33">
        <v>1.19E-9</v>
      </c>
      <c r="K33" s="33">
        <v>1.0200000000000001E-5</v>
      </c>
      <c r="L33" s="34">
        <v>32.6</v>
      </c>
      <c r="M33" s="57"/>
    </row>
    <row r="34" spans="2:13" ht="17.25" customHeight="1" x14ac:dyDescent="0.25">
      <c r="B34" s="20" t="s">
        <v>670</v>
      </c>
      <c r="C34" s="5" t="s">
        <v>131</v>
      </c>
      <c r="D34" s="19" t="s">
        <v>123</v>
      </c>
      <c r="E34" s="27">
        <f>All_Tanks_RH!J10</f>
        <v>0</v>
      </c>
      <c r="F34" s="396">
        <f>All_Tanks_RH!I10</f>
        <v>71.975376196990425</v>
      </c>
      <c r="G34" s="29">
        <v>1.4400000000000001E-3</v>
      </c>
      <c r="H34" s="88">
        <f t="shared" si="0"/>
        <v>694.44444444444446</v>
      </c>
      <c r="I34" s="30">
        <v>7.8100000000000001E-4</v>
      </c>
      <c r="J34" s="30">
        <v>1.3699999999999999E-3</v>
      </c>
      <c r="K34" s="30">
        <v>2.1900000000000001E-3</v>
      </c>
      <c r="L34" s="31">
        <v>1.67</v>
      </c>
      <c r="M34" s="57"/>
    </row>
    <row r="35" spans="2:13" ht="17.25" customHeight="1" thickBot="1" x14ac:dyDescent="0.3">
      <c r="B35" s="22" t="s">
        <v>671</v>
      </c>
      <c r="C35" s="9" t="s">
        <v>132</v>
      </c>
      <c r="D35" s="24" t="s">
        <v>123</v>
      </c>
      <c r="E35" s="26">
        <v>0</v>
      </c>
      <c r="F35" s="397"/>
      <c r="G35" s="32">
        <v>2.8900000000000001E-5</v>
      </c>
      <c r="H35" s="151">
        <f t="shared" si="0"/>
        <v>34602.076124567473</v>
      </c>
      <c r="I35" s="33">
        <v>9.5599999999999992E-9</v>
      </c>
      <c r="J35" s="33">
        <v>1.19E-9</v>
      </c>
      <c r="K35" s="33">
        <v>1.0200000000000001E-5</v>
      </c>
      <c r="L35" s="34">
        <v>32.6</v>
      </c>
      <c r="M35" s="57"/>
    </row>
    <row r="36" spans="2:13" ht="17.25" customHeight="1" x14ac:dyDescent="0.25">
      <c r="B36" s="20" t="s">
        <v>672</v>
      </c>
      <c r="C36" s="5" t="s">
        <v>163</v>
      </c>
      <c r="D36" s="19" t="s">
        <v>123</v>
      </c>
      <c r="E36" s="383">
        <v>1</v>
      </c>
      <c r="F36" s="396">
        <f>All_Tanks_RH!I11</f>
        <v>64.593707250341993</v>
      </c>
      <c r="G36" s="29">
        <v>1.58E-3</v>
      </c>
      <c r="H36" s="88">
        <f t="shared" si="0"/>
        <v>632.91139240506322</v>
      </c>
      <c r="I36" s="30">
        <v>8.7699999999999996E-4</v>
      </c>
      <c r="J36" s="30">
        <v>1.5100000000000001E-3</v>
      </c>
      <c r="K36" s="30">
        <v>2.3800000000000002E-3</v>
      </c>
      <c r="L36" s="31">
        <v>1.65</v>
      </c>
      <c r="M36" s="57"/>
    </row>
    <row r="37" spans="2:13" ht="17.25" customHeight="1" thickBot="1" x14ac:dyDescent="0.3">
      <c r="B37" s="22" t="s">
        <v>673</v>
      </c>
      <c r="C37" s="9" t="s">
        <v>162</v>
      </c>
      <c r="D37" s="24" t="s">
        <v>123</v>
      </c>
      <c r="E37" s="26">
        <v>0</v>
      </c>
      <c r="F37" s="397"/>
      <c r="G37" s="32">
        <v>2.8900000000000001E-5</v>
      </c>
      <c r="H37" s="151">
        <f t="shared" si="0"/>
        <v>34602.076124567473</v>
      </c>
      <c r="I37" s="33">
        <v>9.5599999999999992E-9</v>
      </c>
      <c r="J37" s="33">
        <v>1.19E-9</v>
      </c>
      <c r="K37" s="33">
        <v>1.0200000000000001E-5</v>
      </c>
      <c r="L37" s="34">
        <v>32.6</v>
      </c>
      <c r="M37" s="57"/>
    </row>
    <row r="38" spans="2:13" ht="17.25" customHeight="1" x14ac:dyDescent="0.25">
      <c r="B38" s="20" t="s">
        <v>674</v>
      </c>
      <c r="C38" s="5" t="s">
        <v>161</v>
      </c>
      <c r="D38" s="19" t="s">
        <v>123</v>
      </c>
      <c r="E38" s="46">
        <f>All_Tanks_RH!J12</f>
        <v>1</v>
      </c>
      <c r="F38" s="405">
        <f>All_Tanks_RH!I12</f>
        <v>64.153214774281807</v>
      </c>
      <c r="G38" s="29">
        <v>1.58E-3</v>
      </c>
      <c r="H38" s="88">
        <f t="shared" si="0"/>
        <v>632.91139240506322</v>
      </c>
      <c r="I38" s="30">
        <v>8.7699999999999996E-4</v>
      </c>
      <c r="J38" s="30">
        <v>1.5100000000000001E-3</v>
      </c>
      <c r="K38" s="30">
        <v>2.3800000000000002E-3</v>
      </c>
      <c r="L38" s="31">
        <v>1.65</v>
      </c>
      <c r="M38" s="57"/>
    </row>
    <row r="39" spans="2:13" ht="17.25" customHeight="1" thickBot="1" x14ac:dyDescent="0.3">
      <c r="B39" s="22" t="s">
        <v>675</v>
      </c>
      <c r="C39" s="9" t="s">
        <v>160</v>
      </c>
      <c r="D39" s="24" t="s">
        <v>123</v>
      </c>
      <c r="E39" s="26">
        <v>0</v>
      </c>
      <c r="F39" s="406"/>
      <c r="G39" s="32">
        <v>2.8900000000000001E-5</v>
      </c>
      <c r="H39" s="151">
        <f t="shared" si="0"/>
        <v>34602.076124567473</v>
      </c>
      <c r="I39" s="33">
        <v>9.5599999999999992E-9</v>
      </c>
      <c r="J39" s="33">
        <v>1.19E-9</v>
      </c>
      <c r="K39" s="33">
        <v>1.0200000000000001E-5</v>
      </c>
      <c r="L39" s="34">
        <v>32.6</v>
      </c>
      <c r="M39" s="57"/>
    </row>
    <row r="40" spans="2:13" x14ac:dyDescent="0.25">
      <c r="B40" s="20" t="s">
        <v>676</v>
      </c>
      <c r="C40" s="5" t="s">
        <v>164</v>
      </c>
      <c r="D40" s="19" t="s">
        <v>123</v>
      </c>
      <c r="E40" s="27">
        <f>All_Tanks_RH!J13</f>
        <v>0</v>
      </c>
      <c r="F40" s="396">
        <f>All_Tanks_RH!I13</f>
        <v>69.42681258549932</v>
      </c>
      <c r="G40" s="29">
        <v>1.4400000000000001E-3</v>
      </c>
      <c r="H40" s="88">
        <f t="shared" si="0"/>
        <v>694.44444444444446</v>
      </c>
      <c r="I40" s="30">
        <v>7.8100000000000001E-4</v>
      </c>
      <c r="J40" s="30">
        <v>1.3699999999999999E-3</v>
      </c>
      <c r="K40" s="30">
        <v>2.1900000000000001E-3</v>
      </c>
      <c r="L40" s="31">
        <v>1.67</v>
      </c>
      <c r="M40" s="57"/>
    </row>
    <row r="41" spans="2:13" ht="15.75" thickBot="1" x14ac:dyDescent="0.3">
      <c r="B41" s="22" t="s">
        <v>677</v>
      </c>
      <c r="C41" s="9" t="s">
        <v>159</v>
      </c>
      <c r="D41" s="24" t="s">
        <v>123</v>
      </c>
      <c r="E41" s="26">
        <v>0</v>
      </c>
      <c r="F41" s="397"/>
      <c r="G41" s="32">
        <v>2.8900000000000001E-5</v>
      </c>
      <c r="H41" s="151">
        <f t="shared" si="0"/>
        <v>34602.076124567473</v>
      </c>
      <c r="I41" s="33">
        <v>9.5599999999999992E-9</v>
      </c>
      <c r="J41" s="33">
        <v>1.19E-9</v>
      </c>
      <c r="K41" s="33">
        <v>1.0200000000000001E-5</v>
      </c>
      <c r="L41" s="34">
        <v>32.6</v>
      </c>
      <c r="M41" s="57"/>
    </row>
    <row r="42" spans="2:13" x14ac:dyDescent="0.25">
      <c r="B42" s="20" t="s">
        <v>678</v>
      </c>
      <c r="C42" s="5" t="s">
        <v>158</v>
      </c>
      <c r="D42" s="19" t="s">
        <v>123</v>
      </c>
      <c r="E42" s="27">
        <f>All_Tanks_RH!J14</f>
        <v>0</v>
      </c>
      <c r="F42" s="396">
        <f>All_Tanks_RH!I14</f>
        <v>70.625170998632015</v>
      </c>
      <c r="G42" s="29">
        <v>1.4400000000000001E-3</v>
      </c>
      <c r="H42" s="88">
        <f t="shared" si="0"/>
        <v>694.44444444444446</v>
      </c>
      <c r="I42" s="30">
        <v>7.8100000000000001E-4</v>
      </c>
      <c r="J42" s="30">
        <v>1.3699999999999999E-3</v>
      </c>
      <c r="K42" s="30">
        <v>2.1900000000000001E-3</v>
      </c>
      <c r="L42" s="31">
        <v>1.67</v>
      </c>
      <c r="M42" s="57"/>
    </row>
    <row r="43" spans="2:13" ht="15.75" thickBot="1" x14ac:dyDescent="0.3">
      <c r="B43" s="22" t="s">
        <v>679</v>
      </c>
      <c r="C43" s="9" t="s">
        <v>157</v>
      </c>
      <c r="D43" s="24" t="s">
        <v>123</v>
      </c>
      <c r="E43" s="26">
        <v>0</v>
      </c>
      <c r="F43" s="397"/>
      <c r="G43" s="32">
        <v>2.8900000000000001E-5</v>
      </c>
      <c r="H43" s="151">
        <f t="shared" si="0"/>
        <v>34602.076124567473</v>
      </c>
      <c r="I43" s="33">
        <v>9.5599999999999992E-9</v>
      </c>
      <c r="J43" s="33">
        <v>1.19E-9</v>
      </c>
      <c r="K43" s="33">
        <v>1.0200000000000001E-5</v>
      </c>
      <c r="L43" s="34">
        <v>32.6</v>
      </c>
      <c r="M43" s="57"/>
    </row>
    <row r="44" spans="2:13" x14ac:dyDescent="0.25">
      <c r="B44" s="7" t="s">
        <v>680</v>
      </c>
      <c r="C44" s="238" t="s">
        <v>156</v>
      </c>
      <c r="D44" s="239" t="s">
        <v>123</v>
      </c>
      <c r="E44" s="249">
        <f>All_Tanks_RH!J15</f>
        <v>1</v>
      </c>
      <c r="F44" s="396">
        <f>All_Tanks_RH!I15</f>
        <v>70.945280437756495</v>
      </c>
      <c r="G44" s="241">
        <v>1.58E-3</v>
      </c>
      <c r="H44" s="250">
        <f t="shared" si="0"/>
        <v>632.91139240506322</v>
      </c>
      <c r="I44" s="242">
        <v>8.7600000000000004E-4</v>
      </c>
      <c r="J44" s="242">
        <v>1.5100000000000001E-3</v>
      </c>
      <c r="K44" s="242">
        <v>2.3800000000000002E-3</v>
      </c>
      <c r="L44" s="243">
        <v>1.65</v>
      </c>
      <c r="M44" s="57"/>
    </row>
    <row r="45" spans="2:13" ht="15.75" thickBot="1" x14ac:dyDescent="0.3">
      <c r="B45" s="22" t="s">
        <v>681</v>
      </c>
      <c r="C45" s="9" t="s">
        <v>155</v>
      </c>
      <c r="D45" s="24" t="s">
        <v>123</v>
      </c>
      <c r="E45" s="26">
        <v>0</v>
      </c>
      <c r="F45" s="397"/>
      <c r="G45" s="32">
        <v>2.8900000000000001E-5</v>
      </c>
      <c r="H45" s="151">
        <f t="shared" si="0"/>
        <v>34602.076124567473</v>
      </c>
      <c r="I45" s="33">
        <v>9.5599999999999992E-9</v>
      </c>
      <c r="J45" s="33">
        <v>1.19E-9</v>
      </c>
      <c r="K45" s="33">
        <v>1.0200000000000001E-5</v>
      </c>
      <c r="L45" s="34">
        <v>32.6</v>
      </c>
      <c r="M45" s="57"/>
    </row>
    <row r="46" spans="2:13" x14ac:dyDescent="0.25">
      <c r="B46" s="7" t="s">
        <v>682</v>
      </c>
      <c r="C46" s="238" t="s">
        <v>154</v>
      </c>
      <c r="D46" s="239" t="s">
        <v>123</v>
      </c>
      <c r="E46" s="240">
        <f>All_Tanks_RH!J16</f>
        <v>1</v>
      </c>
      <c r="F46" s="396">
        <f>All_Tanks_RH!I16</f>
        <v>64.797537619699042</v>
      </c>
      <c r="G46" s="241">
        <v>1.58E-3</v>
      </c>
      <c r="H46" s="250">
        <f t="shared" si="0"/>
        <v>632.91139240506322</v>
      </c>
      <c r="I46" s="242">
        <v>8.7699999999999996E-4</v>
      </c>
      <c r="J46" s="242">
        <v>1.5100000000000001E-3</v>
      </c>
      <c r="K46" s="242">
        <v>2.3800000000000002E-3</v>
      </c>
      <c r="L46" s="243">
        <v>1.65</v>
      </c>
      <c r="M46" s="57"/>
    </row>
    <row r="47" spans="2:13" ht="15.75" thickBot="1" x14ac:dyDescent="0.3">
      <c r="B47" s="22" t="s">
        <v>683</v>
      </c>
      <c r="C47" s="9" t="s">
        <v>153</v>
      </c>
      <c r="D47" s="24" t="s">
        <v>123</v>
      </c>
      <c r="E47" s="26">
        <v>0</v>
      </c>
      <c r="F47" s="397"/>
      <c r="G47" s="32">
        <v>2.8900000000000001E-5</v>
      </c>
      <c r="H47" s="151">
        <f t="shared" si="0"/>
        <v>34602.076124567473</v>
      </c>
      <c r="I47" s="33">
        <v>9.5599999999999992E-9</v>
      </c>
      <c r="J47" s="33">
        <v>1.19E-9</v>
      </c>
      <c r="K47" s="33">
        <v>1.0200000000000001E-5</v>
      </c>
      <c r="L47" s="34">
        <v>32.6</v>
      </c>
      <c r="M47" s="57"/>
    </row>
    <row r="48" spans="2:13" x14ac:dyDescent="0.25">
      <c r="B48" s="7" t="s">
        <v>688</v>
      </c>
      <c r="C48" s="238" t="s">
        <v>152</v>
      </c>
      <c r="D48" s="239" t="s">
        <v>123</v>
      </c>
      <c r="E48" s="249">
        <f>All_Tanks_RH!J17</f>
        <v>1</v>
      </c>
      <c r="F48" s="396">
        <f>All_Tanks_RH!I17</f>
        <v>71.099863201094394</v>
      </c>
      <c r="G48" s="241">
        <v>1.58E-3</v>
      </c>
      <c r="H48" s="250">
        <f t="shared" si="0"/>
        <v>632.91139240506322</v>
      </c>
      <c r="I48" s="242">
        <v>8.7600000000000004E-4</v>
      </c>
      <c r="J48" s="242">
        <v>1.5100000000000001E-3</v>
      </c>
      <c r="K48" s="242">
        <v>2.3800000000000002E-3</v>
      </c>
      <c r="L48" s="243">
        <v>1.65</v>
      </c>
      <c r="M48" s="57"/>
    </row>
    <row r="49" spans="2:13" ht="15.75" thickBot="1" x14ac:dyDescent="0.3">
      <c r="B49" s="22" t="s">
        <v>689</v>
      </c>
      <c r="C49" s="9" t="s">
        <v>151</v>
      </c>
      <c r="D49" s="24" t="s">
        <v>123</v>
      </c>
      <c r="E49" s="26">
        <v>0</v>
      </c>
      <c r="F49" s="397"/>
      <c r="G49" s="32">
        <v>2.8900000000000001E-5</v>
      </c>
      <c r="H49" s="151">
        <f t="shared" si="0"/>
        <v>34602.076124567473</v>
      </c>
      <c r="I49" s="33">
        <v>9.5599999999999992E-9</v>
      </c>
      <c r="J49" s="33">
        <v>1.19E-9</v>
      </c>
      <c r="K49" s="33">
        <v>1.0200000000000001E-5</v>
      </c>
      <c r="L49" s="34">
        <v>32.6</v>
      </c>
      <c r="M49" s="57"/>
    </row>
    <row r="50" spans="2:13" x14ac:dyDescent="0.25">
      <c r="B50" s="7" t="s">
        <v>690</v>
      </c>
      <c r="C50" s="238" t="s">
        <v>150</v>
      </c>
      <c r="D50" s="239" t="s">
        <v>123</v>
      </c>
      <c r="E50" s="240">
        <f>All_Tanks_RH!J18</f>
        <v>0</v>
      </c>
      <c r="F50" s="396">
        <f>All_Tanks_RH!I18</f>
        <v>64.470588235294116</v>
      </c>
      <c r="G50" s="241">
        <v>1.4400000000000001E-3</v>
      </c>
      <c r="H50" s="250">
        <f t="shared" si="0"/>
        <v>694.44444444444446</v>
      </c>
      <c r="I50" s="242">
        <v>7.8200000000000003E-4</v>
      </c>
      <c r="J50" s="242">
        <v>1.3699999999999999E-3</v>
      </c>
      <c r="K50" s="242">
        <v>2.1900000000000001E-3</v>
      </c>
      <c r="L50" s="243">
        <v>1.67</v>
      </c>
      <c r="M50" s="57"/>
    </row>
    <row r="51" spans="2:13" ht="15.75" thickBot="1" x14ac:dyDescent="0.3">
      <c r="B51" s="22" t="s">
        <v>691</v>
      </c>
      <c r="C51" s="9" t="s">
        <v>149</v>
      </c>
      <c r="D51" s="24" t="s">
        <v>123</v>
      </c>
      <c r="E51" s="26">
        <v>0</v>
      </c>
      <c r="F51" s="397"/>
      <c r="G51" s="32">
        <v>2.8900000000000001E-5</v>
      </c>
      <c r="H51" s="151">
        <f t="shared" si="0"/>
        <v>34602.076124567473</v>
      </c>
      <c r="I51" s="33">
        <v>9.5599999999999992E-9</v>
      </c>
      <c r="J51" s="33">
        <v>1.19E-9</v>
      </c>
      <c r="K51" s="33">
        <v>1.0200000000000001E-5</v>
      </c>
      <c r="L51" s="34">
        <v>32.6</v>
      </c>
      <c r="M51" s="57"/>
    </row>
    <row r="52" spans="2:13" x14ac:dyDescent="0.25">
      <c r="B52" s="7" t="s">
        <v>692</v>
      </c>
      <c r="C52" s="238" t="s">
        <v>148</v>
      </c>
      <c r="D52" s="239" t="s">
        <v>123</v>
      </c>
      <c r="E52" s="240">
        <f>All_Tanks_RH!J19</f>
        <v>1</v>
      </c>
      <c r="F52" s="405">
        <f>All_Tanks_RH!I19</f>
        <v>65.010000000000005</v>
      </c>
      <c r="G52" s="241">
        <v>1.58E-3</v>
      </c>
      <c r="H52" s="250">
        <f t="shared" si="0"/>
        <v>632.91139240506322</v>
      </c>
      <c r="I52" s="242">
        <v>8.7699999999999996E-4</v>
      </c>
      <c r="J52" s="242">
        <v>1.5100000000000001E-3</v>
      </c>
      <c r="K52" s="242">
        <v>2.3800000000000002E-3</v>
      </c>
      <c r="L52" s="243">
        <v>1.65</v>
      </c>
      <c r="M52" s="57"/>
    </row>
    <row r="53" spans="2:13" ht="15.75" thickBot="1" x14ac:dyDescent="0.3">
      <c r="B53" s="22" t="s">
        <v>693</v>
      </c>
      <c r="C53" s="9" t="s">
        <v>147</v>
      </c>
      <c r="D53" s="24" t="s">
        <v>123</v>
      </c>
      <c r="E53" s="26">
        <v>0</v>
      </c>
      <c r="F53" s="406"/>
      <c r="G53" s="32">
        <v>2.8900000000000001E-5</v>
      </c>
      <c r="H53" s="151">
        <f t="shared" si="0"/>
        <v>34602.076124567473</v>
      </c>
      <c r="I53" s="33">
        <v>9.5599999999999992E-9</v>
      </c>
      <c r="J53" s="33">
        <v>1.19E-9</v>
      </c>
      <c r="K53" s="33">
        <v>1.0200000000000001E-5</v>
      </c>
      <c r="L53" s="34">
        <v>32.6</v>
      </c>
      <c r="M53" s="57"/>
    </row>
    <row r="54" spans="2:13" x14ac:dyDescent="0.25">
      <c r="B54" s="7" t="s">
        <v>694</v>
      </c>
      <c r="C54" s="238" t="s">
        <v>146</v>
      </c>
      <c r="D54" s="239" t="s">
        <v>123</v>
      </c>
      <c r="E54" s="249">
        <f>All_Tanks_RH!J20</f>
        <v>1</v>
      </c>
      <c r="F54" s="396">
        <f>All_Tanks_RH!I20</f>
        <v>70.92</v>
      </c>
      <c r="G54" s="241">
        <v>1.58E-3</v>
      </c>
      <c r="H54" s="250">
        <f t="shared" si="0"/>
        <v>632.91139240506322</v>
      </c>
      <c r="I54" s="242">
        <v>8.7600000000000004E-4</v>
      </c>
      <c r="J54" s="242">
        <v>1.5100000000000001E-3</v>
      </c>
      <c r="K54" s="242">
        <v>2.3800000000000002E-3</v>
      </c>
      <c r="L54" s="243">
        <v>1.65</v>
      </c>
      <c r="M54" s="57"/>
    </row>
    <row r="55" spans="2:13" ht="15.75" thickBot="1" x14ac:dyDescent="0.3">
      <c r="B55" s="22" t="s">
        <v>695</v>
      </c>
      <c r="C55" s="9" t="s">
        <v>145</v>
      </c>
      <c r="D55" s="24" t="s">
        <v>123</v>
      </c>
      <c r="E55" s="26">
        <v>0</v>
      </c>
      <c r="F55" s="397"/>
      <c r="G55" s="32">
        <v>2.8900000000000001E-5</v>
      </c>
      <c r="H55" s="151">
        <f t="shared" si="0"/>
        <v>34602.076124567473</v>
      </c>
      <c r="I55" s="33">
        <v>9.5599999999999992E-9</v>
      </c>
      <c r="J55" s="33">
        <v>1.19E-9</v>
      </c>
      <c r="K55" s="33">
        <v>1.0200000000000001E-5</v>
      </c>
      <c r="L55" s="34">
        <v>32.6</v>
      </c>
      <c r="M55" s="57"/>
    </row>
    <row r="56" spans="2:13" x14ac:dyDescent="0.25">
      <c r="B56" s="7" t="s">
        <v>696</v>
      </c>
      <c r="C56" s="238" t="s">
        <v>144</v>
      </c>
      <c r="D56" s="239" t="s">
        <v>123</v>
      </c>
      <c r="E56" s="240">
        <f>All_Tanks_RH!J21</f>
        <v>0</v>
      </c>
      <c r="F56" s="405">
        <f>All_Tanks_RH!I21</f>
        <v>67.79343365253078</v>
      </c>
      <c r="G56" s="241">
        <v>1.4400000000000001E-3</v>
      </c>
      <c r="H56" s="250">
        <f t="shared" si="0"/>
        <v>694.44444444444446</v>
      </c>
      <c r="I56" s="242">
        <v>7.8200000000000003E-4</v>
      </c>
      <c r="J56" s="242">
        <v>1.3699999999999999E-3</v>
      </c>
      <c r="K56" s="242">
        <v>2.1900000000000001E-3</v>
      </c>
      <c r="L56" s="243">
        <v>1.67</v>
      </c>
      <c r="M56" s="57"/>
    </row>
    <row r="57" spans="2:13" ht="15.75" thickBot="1" x14ac:dyDescent="0.3">
      <c r="B57" s="22" t="s">
        <v>697</v>
      </c>
      <c r="C57" s="9" t="s">
        <v>143</v>
      </c>
      <c r="D57" s="24" t="s">
        <v>123</v>
      </c>
      <c r="E57" s="26">
        <v>0</v>
      </c>
      <c r="F57" s="406"/>
      <c r="G57" s="32">
        <v>2.8900000000000001E-5</v>
      </c>
      <c r="H57" s="151">
        <f t="shared" si="0"/>
        <v>34602.076124567473</v>
      </c>
      <c r="I57" s="33">
        <v>9.5599999999999992E-9</v>
      </c>
      <c r="J57" s="33">
        <v>1.19E-9</v>
      </c>
      <c r="K57" s="33">
        <v>1.0200000000000001E-5</v>
      </c>
      <c r="L57" s="34">
        <v>32.6</v>
      </c>
      <c r="M57" s="57"/>
    </row>
    <row r="58" spans="2:13" x14ac:dyDescent="0.25">
      <c r="B58" s="7" t="s">
        <v>698</v>
      </c>
      <c r="C58" s="238" t="s">
        <v>142</v>
      </c>
      <c r="D58" s="239" t="s">
        <v>123</v>
      </c>
      <c r="E58" s="249">
        <f>All_Tanks_RH!J22</f>
        <v>1</v>
      </c>
      <c r="F58" s="396">
        <f>All_Tanks_RH!I22</f>
        <v>68.395348837209298</v>
      </c>
      <c r="G58" s="241">
        <v>1.58E-3</v>
      </c>
      <c r="H58" s="250">
        <f t="shared" si="0"/>
        <v>632.91139240506322</v>
      </c>
      <c r="I58" s="242">
        <v>8.7600000000000004E-4</v>
      </c>
      <c r="J58" s="242">
        <v>1.5100000000000001E-3</v>
      </c>
      <c r="K58" s="242">
        <v>2.3800000000000002E-3</v>
      </c>
      <c r="L58" s="243">
        <v>1.65</v>
      </c>
      <c r="M58" s="57"/>
    </row>
    <row r="59" spans="2:13" ht="15.75" thickBot="1" x14ac:dyDescent="0.3">
      <c r="B59" s="22" t="s">
        <v>699</v>
      </c>
      <c r="C59" s="9" t="s">
        <v>141</v>
      </c>
      <c r="D59" s="24" t="s">
        <v>123</v>
      </c>
      <c r="E59" s="26">
        <v>0</v>
      </c>
      <c r="F59" s="397"/>
      <c r="G59" s="32">
        <v>2.8900000000000001E-5</v>
      </c>
      <c r="H59" s="151">
        <f t="shared" si="0"/>
        <v>34602.076124567473</v>
      </c>
      <c r="I59" s="33">
        <v>9.5599999999999992E-9</v>
      </c>
      <c r="J59" s="33">
        <v>1.19E-9</v>
      </c>
      <c r="K59" s="33">
        <v>1.0200000000000001E-5</v>
      </c>
      <c r="L59" s="34">
        <v>32.6</v>
      </c>
      <c r="M59" s="57"/>
    </row>
    <row r="60" spans="2:13" x14ac:dyDescent="0.25">
      <c r="B60" s="7" t="s">
        <v>700</v>
      </c>
      <c r="C60" s="238" t="s">
        <v>140</v>
      </c>
      <c r="D60" s="239" t="s">
        <v>123</v>
      </c>
      <c r="E60" s="249">
        <f>All_Tanks_RH!J23</f>
        <v>1</v>
      </c>
      <c r="F60" s="396">
        <f>All_Tanks_RH!I23</f>
        <v>70.33</v>
      </c>
      <c r="G60" s="241">
        <v>1.58E-3</v>
      </c>
      <c r="H60" s="250">
        <f t="shared" si="0"/>
        <v>632.91139240506322</v>
      </c>
      <c r="I60" s="242">
        <v>8.7600000000000004E-4</v>
      </c>
      <c r="J60" s="242">
        <v>1.5100000000000001E-3</v>
      </c>
      <c r="K60" s="242">
        <v>2.3800000000000002E-3</v>
      </c>
      <c r="L60" s="243">
        <v>1.65</v>
      </c>
      <c r="M60" s="57"/>
    </row>
    <row r="61" spans="2:13" ht="15.75" thickBot="1" x14ac:dyDescent="0.3">
      <c r="B61" s="22" t="s">
        <v>701</v>
      </c>
      <c r="C61" s="9" t="s">
        <v>139</v>
      </c>
      <c r="D61" s="24" t="s">
        <v>123</v>
      </c>
      <c r="E61" s="26">
        <v>0</v>
      </c>
      <c r="F61" s="397"/>
      <c r="G61" s="32">
        <v>2.8900000000000001E-5</v>
      </c>
      <c r="H61" s="151">
        <f t="shared" si="0"/>
        <v>34602.076124567473</v>
      </c>
      <c r="I61" s="33">
        <v>9.5599999999999992E-9</v>
      </c>
      <c r="J61" s="33">
        <v>1.19E-9</v>
      </c>
      <c r="K61" s="33">
        <v>1.0200000000000001E-5</v>
      </c>
      <c r="L61" s="34">
        <v>32.6</v>
      </c>
      <c r="M61" s="57"/>
    </row>
    <row r="62" spans="2:13" x14ac:dyDescent="0.25">
      <c r="B62" s="7" t="s">
        <v>702</v>
      </c>
      <c r="C62" s="238" t="s">
        <v>138</v>
      </c>
      <c r="D62" s="239" t="s">
        <v>123</v>
      </c>
      <c r="E62" s="249">
        <f>All_Tanks_RH!J24</f>
        <v>0</v>
      </c>
      <c r="F62" s="396">
        <f>All_Tanks_RH!I24</f>
        <v>71.015047879616958</v>
      </c>
      <c r="G62" s="241">
        <v>1.4400000000000001E-3</v>
      </c>
      <c r="H62" s="250">
        <f t="shared" si="0"/>
        <v>694.44444444444446</v>
      </c>
      <c r="I62" s="242">
        <v>7.8100000000000001E-4</v>
      </c>
      <c r="J62" s="242">
        <v>1.3699999999999999E-3</v>
      </c>
      <c r="K62" s="242">
        <v>2.1900000000000001E-3</v>
      </c>
      <c r="L62" s="243">
        <v>1.67</v>
      </c>
      <c r="M62" s="57"/>
    </row>
    <row r="63" spans="2:13" ht="15.75" thickBot="1" x14ac:dyDescent="0.3">
      <c r="B63" s="22" t="s">
        <v>703</v>
      </c>
      <c r="C63" s="9" t="s">
        <v>137</v>
      </c>
      <c r="D63" s="24" t="s">
        <v>123</v>
      </c>
      <c r="E63" s="26">
        <v>0</v>
      </c>
      <c r="F63" s="397"/>
      <c r="G63" s="32">
        <v>2.8900000000000001E-5</v>
      </c>
      <c r="H63" s="151">
        <f t="shared" si="0"/>
        <v>34602.076124567473</v>
      </c>
      <c r="I63" s="33">
        <v>9.5599999999999992E-9</v>
      </c>
      <c r="J63" s="33">
        <v>1.19E-9</v>
      </c>
      <c r="K63" s="33">
        <v>1.0200000000000001E-5</v>
      </c>
      <c r="L63" s="34">
        <v>32.6</v>
      </c>
      <c r="M63" s="57"/>
    </row>
    <row r="64" spans="2:13" x14ac:dyDescent="0.25">
      <c r="B64" s="7" t="s">
        <v>687</v>
      </c>
      <c r="C64" s="238" t="s">
        <v>136</v>
      </c>
      <c r="D64" s="239" t="s">
        <v>123</v>
      </c>
      <c r="E64" s="249">
        <f>All_Tanks_RH!J25</f>
        <v>0</v>
      </c>
      <c r="F64" s="396">
        <f>All_Tanks_RH!I25</f>
        <v>33.264021887824896</v>
      </c>
      <c r="G64" s="241">
        <v>1.4499999999999999E-3</v>
      </c>
      <c r="H64" s="250">
        <f t="shared" si="0"/>
        <v>689.65517241379314</v>
      </c>
      <c r="I64" s="242">
        <v>7.8600000000000002E-4</v>
      </c>
      <c r="J64" s="242">
        <v>1.3799999999999999E-3</v>
      </c>
      <c r="K64" s="242">
        <v>2.2000000000000001E-3</v>
      </c>
      <c r="L64" s="243">
        <v>1.67</v>
      </c>
    </row>
    <row r="65" spans="2:12" ht="15.75" thickBot="1" x14ac:dyDescent="0.3">
      <c r="B65" s="22" t="s">
        <v>686</v>
      </c>
      <c r="C65" s="9" t="s">
        <v>135</v>
      </c>
      <c r="D65" s="24" t="s">
        <v>123</v>
      </c>
      <c r="E65" s="26">
        <v>0</v>
      </c>
      <c r="F65" s="397"/>
      <c r="G65" s="32">
        <v>2.8900000000000001E-5</v>
      </c>
      <c r="H65" s="151">
        <f t="shared" si="0"/>
        <v>34602.076124567473</v>
      </c>
      <c r="I65" s="33">
        <v>9.5599999999999992E-9</v>
      </c>
      <c r="J65" s="33">
        <v>1.19E-9</v>
      </c>
      <c r="K65" s="33">
        <v>1.0200000000000001E-5</v>
      </c>
      <c r="L65" s="34">
        <v>32.6</v>
      </c>
    </row>
    <row r="66" spans="2:12" x14ac:dyDescent="0.25">
      <c r="B66" s="235" t="s">
        <v>685</v>
      </c>
      <c r="C66" s="28" t="s">
        <v>134</v>
      </c>
      <c r="D66" s="236" t="s">
        <v>123</v>
      </c>
      <c r="E66" s="237">
        <f>All_Tanks_RH!J26</f>
        <v>0</v>
      </c>
      <c r="F66" s="404">
        <f>All_Tanks_RH!I26</f>
        <v>70.998632010943908</v>
      </c>
      <c r="G66" s="232">
        <v>1.4400000000000001E-3</v>
      </c>
      <c r="H66" s="251">
        <f t="shared" si="0"/>
        <v>694.44444444444446</v>
      </c>
      <c r="I66" s="233">
        <v>7.8100000000000001E-4</v>
      </c>
      <c r="J66" s="233">
        <v>1.3699999999999999E-3</v>
      </c>
      <c r="K66" s="233">
        <v>2.1900000000000001E-3</v>
      </c>
      <c r="L66" s="234">
        <v>1.67</v>
      </c>
    </row>
    <row r="67" spans="2:12" ht="15.75" thickBot="1" x14ac:dyDescent="0.3">
      <c r="B67" s="22" t="s">
        <v>684</v>
      </c>
      <c r="C67" s="9" t="s">
        <v>133</v>
      </c>
      <c r="D67" s="24" t="s">
        <v>123</v>
      </c>
      <c r="E67" s="26">
        <v>0</v>
      </c>
      <c r="F67" s="397"/>
      <c r="G67" s="32">
        <v>2.8900000000000001E-5</v>
      </c>
      <c r="H67" s="151">
        <f t="shared" si="0"/>
        <v>34602.076124567473</v>
      </c>
      <c r="I67" s="33">
        <v>9.5599999999999992E-9</v>
      </c>
      <c r="J67" s="33">
        <v>1.19E-9</v>
      </c>
      <c r="K67" s="33">
        <v>1.0200000000000001E-5</v>
      </c>
      <c r="L67" s="34">
        <v>32.6</v>
      </c>
    </row>
  </sheetData>
  <sheetProtection algorithmName="SHA-512" hashValue="ft669g+P5+N1zaTBkdLf+X7CXNS/9mDYz7liOzmvr49blrTZ1DaCRhIRvHE/PBWVuUAF35l8syQRNEJ72KE/kw==" saltValue="m0HJlOUViDx+CQj4kOtISg==" spinCount="100000" sheet="1" objects="1" scenarios="1"/>
  <mergeCells count="28">
    <mergeCell ref="B2:L2"/>
    <mergeCell ref="F62:F63"/>
    <mergeCell ref="F42:F43"/>
    <mergeCell ref="F44:F45"/>
    <mergeCell ref="F46:F47"/>
    <mergeCell ref="F48:F49"/>
    <mergeCell ref="F50:F51"/>
    <mergeCell ref="F40:F41"/>
    <mergeCell ref="F28:F29"/>
    <mergeCell ref="F30:F31"/>
    <mergeCell ref="F32:F33"/>
    <mergeCell ref="F34:F35"/>
    <mergeCell ref="F36:F37"/>
    <mergeCell ref="F38:F39"/>
    <mergeCell ref="B3:D3"/>
    <mergeCell ref="B4:D4"/>
    <mergeCell ref="F66:F67"/>
    <mergeCell ref="F52:F53"/>
    <mergeCell ref="F54:F55"/>
    <mergeCell ref="F56:F57"/>
    <mergeCell ref="F58:F59"/>
    <mergeCell ref="F60:F61"/>
    <mergeCell ref="B5:D5"/>
    <mergeCell ref="F64:F65"/>
    <mergeCell ref="B26:L26"/>
    <mergeCell ref="B20:L20"/>
    <mergeCell ref="B8:L8"/>
    <mergeCell ref="B13:L1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76"/>
  <sheetViews>
    <sheetView workbookViewId="0"/>
  </sheetViews>
  <sheetFormatPr defaultRowHeight="15" x14ac:dyDescent="0.25"/>
  <cols>
    <col min="3" max="3" width="12" customWidth="1"/>
  </cols>
  <sheetData>
    <row r="1" spans="1:3" x14ac:dyDescent="0.25">
      <c r="A1" s="5"/>
      <c r="B1" s="5"/>
      <c r="C1" s="120" t="s">
        <v>823</v>
      </c>
    </row>
    <row r="2" spans="1:3" x14ac:dyDescent="0.25">
      <c r="A2" s="5">
        <v>1</v>
      </c>
      <c r="B2" s="5">
        <v>1944</v>
      </c>
      <c r="C2" s="5">
        <f>COUNTIFS('RedHill Release Incidents'!$A$2:$A$66,B2,'RedHill Release Incidents'!$Q$2:$Q$66,"OP",'RedHill Release Incidents'!$O$2:$O$66,"TT")</f>
        <v>0</v>
      </c>
    </row>
    <row r="3" spans="1:3" x14ac:dyDescent="0.25">
      <c r="A3" s="5">
        <v>2</v>
      </c>
      <c r="B3" s="5">
        <v>1945</v>
      </c>
      <c r="C3" s="5">
        <f>COUNTIFS('RedHill Release Incidents'!$A$2:$A$66,B3,'RedHill Release Incidents'!$Q$2:$Q$66,"OP",'RedHill Release Incidents'!$O$2:$O$66,"TT")</f>
        <v>0</v>
      </c>
    </row>
    <row r="4" spans="1:3" x14ac:dyDescent="0.25">
      <c r="A4" s="5">
        <v>3</v>
      </c>
      <c r="B4" s="5">
        <v>1946</v>
      </c>
      <c r="C4" s="5">
        <f>COUNTIFS('RedHill Release Incidents'!$A$2:$A$66,B4,'RedHill Release Incidents'!$Q$2:$Q$66,"OP",'RedHill Release Incidents'!$O$2:$O$66,"TT")</f>
        <v>0</v>
      </c>
    </row>
    <row r="5" spans="1:3" x14ac:dyDescent="0.25">
      <c r="A5" s="5">
        <v>4</v>
      </c>
      <c r="B5" s="5">
        <v>1947</v>
      </c>
      <c r="C5" s="5">
        <f>COUNTIFS('RedHill Release Incidents'!$A$2:$A$66,B5,'RedHill Release Incidents'!$Q$2:$Q$66,"OP",'RedHill Release Incidents'!$O$2:$O$66,"TT")</f>
        <v>2</v>
      </c>
    </row>
    <row r="6" spans="1:3" x14ac:dyDescent="0.25">
      <c r="A6" s="5">
        <v>5</v>
      </c>
      <c r="B6" s="5">
        <v>1948</v>
      </c>
      <c r="C6" s="5">
        <f>COUNTIFS('RedHill Release Incidents'!$A$2:$A$66,B6,'RedHill Release Incidents'!$Q$2:$Q$66,"OP",'RedHill Release Incidents'!$O$2:$O$66,"TT")</f>
        <v>1</v>
      </c>
    </row>
    <row r="7" spans="1:3" x14ac:dyDescent="0.25">
      <c r="A7" s="5">
        <v>6</v>
      </c>
      <c r="B7" s="5">
        <v>1949</v>
      </c>
      <c r="C7" s="5">
        <f>COUNTIFS('RedHill Release Incidents'!$A$2:$A$66,B7,'RedHill Release Incidents'!$Q$2:$Q$66,"OP",'RedHill Release Incidents'!$O$2:$O$66,"TT")</f>
        <v>1</v>
      </c>
    </row>
    <row r="8" spans="1:3" x14ac:dyDescent="0.25">
      <c r="A8" s="5">
        <v>7</v>
      </c>
      <c r="B8" s="5">
        <v>1950</v>
      </c>
      <c r="C8" s="5">
        <f>COUNTIFS('RedHill Release Incidents'!$A$2:$A$66,B8,'RedHill Release Incidents'!$Q$2:$Q$66,"OP",'RedHill Release Incidents'!$O$2:$O$66,"TT")</f>
        <v>0</v>
      </c>
    </row>
    <row r="9" spans="1:3" x14ac:dyDescent="0.25">
      <c r="A9" s="5">
        <v>8</v>
      </c>
      <c r="B9" s="5">
        <v>1951</v>
      </c>
      <c r="C9" s="5">
        <f>COUNTIFS('RedHill Release Incidents'!$A$2:$A$66,B9,'RedHill Release Incidents'!$Q$2:$Q$66,"OP",'RedHill Release Incidents'!$O$2:$O$66,"TT")</f>
        <v>0</v>
      </c>
    </row>
    <row r="10" spans="1:3" x14ac:dyDescent="0.25">
      <c r="A10" s="5">
        <v>9</v>
      </c>
      <c r="B10" s="5">
        <v>1952</v>
      </c>
      <c r="C10" s="5">
        <f>COUNTIFS('RedHill Release Incidents'!$A$2:$A$66,B10,'RedHill Release Incidents'!$Q$2:$Q$66,"OP",'RedHill Release Incidents'!$O$2:$O$66,"TT")</f>
        <v>1</v>
      </c>
    </row>
    <row r="11" spans="1:3" x14ac:dyDescent="0.25">
      <c r="A11" s="5">
        <v>10</v>
      </c>
      <c r="B11" s="5">
        <v>1953</v>
      </c>
      <c r="C11" s="5">
        <f>COUNTIFS('RedHill Release Incidents'!$A$2:$A$66,B11,'RedHill Release Incidents'!$Q$2:$Q$66,"OP",'RedHill Release Incidents'!$O$2:$O$66,"TT")</f>
        <v>0</v>
      </c>
    </row>
    <row r="12" spans="1:3" x14ac:dyDescent="0.25">
      <c r="A12" s="5">
        <v>11</v>
      </c>
      <c r="B12" s="5">
        <v>1954</v>
      </c>
      <c r="C12" s="5">
        <f>COUNTIFS('RedHill Release Incidents'!$A$2:$A$66,B12,'RedHill Release Incidents'!$Q$2:$Q$66,"OP",'RedHill Release Incidents'!$O$2:$O$66,"TT")</f>
        <v>1</v>
      </c>
    </row>
    <row r="13" spans="1:3" x14ac:dyDescent="0.25">
      <c r="A13" s="5">
        <v>12</v>
      </c>
      <c r="B13" s="5">
        <v>1955</v>
      </c>
      <c r="C13" s="5">
        <f>COUNTIFS('RedHill Release Incidents'!$A$2:$A$66,B13,'RedHill Release Incidents'!$Q$2:$Q$66,"OP",'RedHill Release Incidents'!$O$2:$O$66,"TT")</f>
        <v>0</v>
      </c>
    </row>
    <row r="14" spans="1:3" x14ac:dyDescent="0.25">
      <c r="A14" s="5">
        <v>13</v>
      </c>
      <c r="B14" s="5">
        <v>1956</v>
      </c>
      <c r="C14" s="5">
        <f>COUNTIFS('RedHill Release Incidents'!$A$2:$A$66,B14,'RedHill Release Incidents'!$Q$2:$Q$66,"OP",'RedHill Release Incidents'!$O$2:$O$66,"TT")</f>
        <v>0</v>
      </c>
    </row>
    <row r="15" spans="1:3" x14ac:dyDescent="0.25">
      <c r="A15" s="5">
        <v>14</v>
      </c>
      <c r="B15" s="5">
        <v>1957</v>
      </c>
      <c r="C15" s="5">
        <f>COUNTIFS('RedHill Release Incidents'!$A$2:$A$66,B15,'RedHill Release Incidents'!$Q$2:$Q$66,"OP",'RedHill Release Incidents'!$O$2:$O$66,"TT")</f>
        <v>0</v>
      </c>
    </row>
    <row r="16" spans="1:3" x14ac:dyDescent="0.25">
      <c r="A16" s="5">
        <v>15</v>
      </c>
      <c r="B16" s="5">
        <v>1958</v>
      </c>
      <c r="C16" s="5">
        <f>COUNTIFS('RedHill Release Incidents'!$A$2:$A$66,B16,'RedHill Release Incidents'!$Q$2:$Q$66,"OP",'RedHill Release Incidents'!$O$2:$O$66,"TT")</f>
        <v>1</v>
      </c>
    </row>
    <row r="17" spans="1:3" x14ac:dyDescent="0.25">
      <c r="A17" s="5">
        <v>16</v>
      </c>
      <c r="B17" s="5">
        <v>1959</v>
      </c>
      <c r="C17" s="5">
        <f>COUNTIFS('RedHill Release Incidents'!$A$2:$A$66,B17,'RedHill Release Incidents'!$Q$2:$Q$66,"OP",'RedHill Release Incidents'!$O$2:$O$66,"TT")</f>
        <v>0</v>
      </c>
    </row>
    <row r="18" spans="1:3" x14ac:dyDescent="0.25">
      <c r="A18" s="5">
        <v>17</v>
      </c>
      <c r="B18" s="5">
        <v>1960</v>
      </c>
      <c r="C18" s="5">
        <f>COUNTIFS('RedHill Release Incidents'!$A$2:$A$66,B18,'RedHill Release Incidents'!$Q$2:$Q$66,"OP",'RedHill Release Incidents'!$O$2:$O$66,"TT")</f>
        <v>0</v>
      </c>
    </row>
    <row r="19" spans="1:3" x14ac:dyDescent="0.25">
      <c r="A19" s="5">
        <v>18</v>
      </c>
      <c r="B19" s="5">
        <v>1961</v>
      </c>
      <c r="C19" s="5">
        <f>COUNTIFS('RedHill Release Incidents'!$A$2:$A$66,B19,'RedHill Release Incidents'!$Q$2:$Q$66,"OP",'RedHill Release Incidents'!$O$2:$O$66,"TT")</f>
        <v>0</v>
      </c>
    </row>
    <row r="20" spans="1:3" x14ac:dyDescent="0.25">
      <c r="A20" s="5">
        <v>19</v>
      </c>
      <c r="B20" s="5">
        <v>1962</v>
      </c>
      <c r="C20" s="5">
        <f>COUNTIFS('RedHill Release Incidents'!$A$2:$A$66,B20,'RedHill Release Incidents'!$Q$2:$Q$66,"OP",'RedHill Release Incidents'!$O$2:$O$66,"TT")</f>
        <v>0</v>
      </c>
    </row>
    <row r="21" spans="1:3" x14ac:dyDescent="0.25">
      <c r="A21" s="5">
        <v>20</v>
      </c>
      <c r="B21" s="5">
        <v>1963</v>
      </c>
      <c r="C21" s="5">
        <f>COUNTIFS('RedHill Release Incidents'!$A$2:$A$66,B21,'RedHill Release Incidents'!$Q$2:$Q$66,"OP",'RedHill Release Incidents'!$O$2:$O$66,"TT")</f>
        <v>0</v>
      </c>
    </row>
    <row r="22" spans="1:3" x14ac:dyDescent="0.25">
      <c r="A22" s="5">
        <v>21</v>
      </c>
      <c r="B22" s="5">
        <v>1964</v>
      </c>
      <c r="C22" s="5">
        <f>COUNTIFS('RedHill Release Incidents'!$A$2:$A$66,B22,'RedHill Release Incidents'!$Q$2:$Q$66,"OP",'RedHill Release Incidents'!$O$2:$O$66,"TT")</f>
        <v>5</v>
      </c>
    </row>
    <row r="23" spans="1:3" x14ac:dyDescent="0.25">
      <c r="A23" s="5">
        <v>22</v>
      </c>
      <c r="B23" s="5">
        <v>1965</v>
      </c>
      <c r="C23" s="5">
        <f>COUNTIFS('RedHill Release Incidents'!$A$2:$A$66,B23,'RedHill Release Incidents'!$Q$2:$Q$66,"OP",'RedHill Release Incidents'!$O$2:$O$66,"TT")</f>
        <v>2</v>
      </c>
    </row>
    <row r="24" spans="1:3" x14ac:dyDescent="0.25">
      <c r="A24" s="5">
        <v>23</v>
      </c>
      <c r="B24" s="5">
        <v>1966</v>
      </c>
      <c r="C24" s="5">
        <f>COUNTIFS('RedHill Release Incidents'!$A$2:$A$66,B24,'RedHill Release Incidents'!$Q$2:$Q$66,"OP",'RedHill Release Incidents'!$O$2:$O$66,"TT")</f>
        <v>0</v>
      </c>
    </row>
    <row r="25" spans="1:3" x14ac:dyDescent="0.25">
      <c r="A25" s="5">
        <v>24</v>
      </c>
      <c r="B25" s="5">
        <v>1967</v>
      </c>
      <c r="C25" s="5">
        <f>COUNTIFS('RedHill Release Incidents'!$A$2:$A$66,B25,'RedHill Release Incidents'!$Q$2:$Q$66,"OP",'RedHill Release Incidents'!$O$2:$O$66,"TT")</f>
        <v>0</v>
      </c>
    </row>
    <row r="26" spans="1:3" x14ac:dyDescent="0.25">
      <c r="A26" s="5">
        <v>25</v>
      </c>
      <c r="B26" s="5">
        <v>1968</v>
      </c>
      <c r="C26" s="5">
        <f>COUNTIFS('RedHill Release Incidents'!$A$2:$A$66,B26,'RedHill Release Incidents'!$Q$2:$Q$66,"OP",'RedHill Release Incidents'!$O$2:$O$66,"TT")</f>
        <v>0</v>
      </c>
    </row>
    <row r="27" spans="1:3" x14ac:dyDescent="0.25">
      <c r="A27" s="5">
        <v>26</v>
      </c>
      <c r="B27" s="5">
        <v>1969</v>
      </c>
      <c r="C27" s="5">
        <f>COUNTIFS('RedHill Release Incidents'!$A$2:$A$66,B27,'RedHill Release Incidents'!$Q$2:$Q$66,"OP",'RedHill Release Incidents'!$O$2:$O$66,"TT")</f>
        <v>1</v>
      </c>
    </row>
    <row r="28" spans="1:3" x14ac:dyDescent="0.25">
      <c r="A28" s="5">
        <v>27</v>
      </c>
      <c r="B28" s="5">
        <v>1970</v>
      </c>
      <c r="C28" s="5">
        <f>COUNTIFS('RedHill Release Incidents'!$A$2:$A$66,B28,'RedHill Release Incidents'!$Q$2:$Q$66,"OP",'RedHill Release Incidents'!$O$2:$O$66,"TT")</f>
        <v>0</v>
      </c>
    </row>
    <row r="29" spans="1:3" x14ac:dyDescent="0.25">
      <c r="A29" s="5">
        <v>28</v>
      </c>
      <c r="B29" s="5">
        <v>1971</v>
      </c>
      <c r="C29" s="5">
        <f>COUNTIFS('RedHill Release Incidents'!$A$2:$A$66,B29,'RedHill Release Incidents'!$Q$2:$Q$66,"OP",'RedHill Release Incidents'!$O$2:$O$66,"TT")</f>
        <v>0</v>
      </c>
    </row>
    <row r="30" spans="1:3" x14ac:dyDescent="0.25">
      <c r="A30" s="5">
        <v>29</v>
      </c>
      <c r="B30" s="5">
        <v>1972</v>
      </c>
      <c r="C30" s="5">
        <f>COUNTIFS('RedHill Release Incidents'!$A$2:$A$66,B30,'RedHill Release Incidents'!$Q$2:$Q$66,"OP",'RedHill Release Incidents'!$O$2:$O$66,"TT")</f>
        <v>1</v>
      </c>
    </row>
    <row r="31" spans="1:3" x14ac:dyDescent="0.25">
      <c r="A31" s="5">
        <v>30</v>
      </c>
      <c r="B31" s="5">
        <v>1973</v>
      </c>
      <c r="C31" s="5">
        <f>COUNTIFS('RedHill Release Incidents'!$A$2:$A$66,B31,'RedHill Release Incidents'!$Q$2:$Q$66,"OP",'RedHill Release Incidents'!$O$2:$O$66,"TT")</f>
        <v>2</v>
      </c>
    </row>
    <row r="32" spans="1:3" x14ac:dyDescent="0.25">
      <c r="A32" s="5">
        <v>31</v>
      </c>
      <c r="B32" s="5">
        <v>1974</v>
      </c>
      <c r="C32" s="5">
        <f>COUNTIFS('RedHill Release Incidents'!$A$2:$A$66,B32,'RedHill Release Incidents'!$Q$2:$Q$66,"OP",'RedHill Release Incidents'!$O$2:$O$66,"TT")</f>
        <v>0</v>
      </c>
    </row>
    <row r="33" spans="1:3" x14ac:dyDescent="0.25">
      <c r="A33" s="5">
        <v>32</v>
      </c>
      <c r="B33" s="5">
        <v>1975</v>
      </c>
      <c r="C33" s="5">
        <f>COUNTIFS('RedHill Release Incidents'!$A$2:$A$66,B33,'RedHill Release Incidents'!$Q$2:$Q$66,"OP",'RedHill Release Incidents'!$O$2:$O$66,"TT")</f>
        <v>1</v>
      </c>
    </row>
    <row r="34" spans="1:3" x14ac:dyDescent="0.25">
      <c r="A34" s="5">
        <v>33</v>
      </c>
      <c r="B34" s="5">
        <v>1976</v>
      </c>
      <c r="C34" s="5">
        <f>COUNTIFS('RedHill Release Incidents'!$A$2:$A$66,B34,'RedHill Release Incidents'!$Q$2:$Q$66,"OP",'RedHill Release Incidents'!$O$2:$O$66,"TT")</f>
        <v>1</v>
      </c>
    </row>
    <row r="35" spans="1:3" x14ac:dyDescent="0.25">
      <c r="A35" s="5">
        <v>34</v>
      </c>
      <c r="B35" s="5">
        <v>1977</v>
      </c>
      <c r="C35" s="5">
        <f>COUNTIFS('RedHill Release Incidents'!$A$2:$A$66,B35,'RedHill Release Incidents'!$Q$2:$Q$66,"OP",'RedHill Release Incidents'!$O$2:$O$66,"TT")</f>
        <v>1</v>
      </c>
    </row>
    <row r="36" spans="1:3" x14ac:dyDescent="0.25">
      <c r="A36" s="5">
        <v>35</v>
      </c>
      <c r="B36" s="5">
        <v>1978</v>
      </c>
      <c r="C36" s="5">
        <f>COUNTIFS('RedHill Release Incidents'!$A$2:$A$66,B36,'RedHill Release Incidents'!$Q$2:$Q$66,"OP",'RedHill Release Incidents'!$O$2:$O$66,"TT")</f>
        <v>3</v>
      </c>
    </row>
    <row r="37" spans="1:3" x14ac:dyDescent="0.25">
      <c r="A37" s="5">
        <v>36</v>
      </c>
      <c r="B37" s="5">
        <v>1979</v>
      </c>
      <c r="C37" s="5">
        <f>COUNTIFS('RedHill Release Incidents'!$A$2:$A$66,B37,'RedHill Release Incidents'!$Q$2:$Q$66,"OP",'RedHill Release Incidents'!$O$2:$O$66,"TT")</f>
        <v>0</v>
      </c>
    </row>
    <row r="38" spans="1:3" x14ac:dyDescent="0.25">
      <c r="A38" s="5">
        <v>37</v>
      </c>
      <c r="B38" s="5">
        <v>1980</v>
      </c>
      <c r="C38" s="5">
        <f>COUNTIFS('RedHill Release Incidents'!$A$2:$A$66,B38,'RedHill Release Incidents'!$Q$2:$Q$66,"OP",'RedHill Release Incidents'!$O$2:$O$66,"TT")</f>
        <v>0</v>
      </c>
    </row>
    <row r="39" spans="1:3" x14ac:dyDescent="0.25">
      <c r="A39" s="5">
        <v>38</v>
      </c>
      <c r="B39" s="5">
        <v>1981</v>
      </c>
      <c r="C39" s="5">
        <f>COUNTIFS('RedHill Release Incidents'!$A$2:$A$66,B39,'RedHill Release Incidents'!$Q$2:$Q$66,"OP",'RedHill Release Incidents'!$O$2:$O$66,"TT")</f>
        <v>0</v>
      </c>
    </row>
    <row r="40" spans="1:3" x14ac:dyDescent="0.25">
      <c r="A40" s="5">
        <v>39</v>
      </c>
      <c r="B40" s="5">
        <v>1982</v>
      </c>
      <c r="C40" s="5">
        <f>COUNTIFS('RedHill Release Incidents'!$A$2:$A$66,B40,'RedHill Release Incidents'!$Q$2:$Q$66,"OP",'RedHill Release Incidents'!$O$2:$O$66,"TT")</f>
        <v>0</v>
      </c>
    </row>
    <row r="41" spans="1:3" x14ac:dyDescent="0.25">
      <c r="A41" s="5">
        <v>40</v>
      </c>
      <c r="B41" s="5">
        <v>1983</v>
      </c>
      <c r="C41" s="5">
        <f>COUNTIFS('RedHill Release Incidents'!$A$2:$A$66,B41,'RedHill Release Incidents'!$Q$2:$Q$66,"OP",'RedHill Release Incidents'!$O$2:$O$66,"TT")</f>
        <v>0</v>
      </c>
    </row>
    <row r="42" spans="1:3" x14ac:dyDescent="0.25">
      <c r="A42" s="5">
        <v>41</v>
      </c>
      <c r="B42" s="5">
        <v>1984</v>
      </c>
      <c r="C42" s="5">
        <f>COUNTIFS('RedHill Release Incidents'!$A$2:$A$66,B42,'RedHill Release Incidents'!$Q$2:$Q$66,"OP",'RedHill Release Incidents'!$O$2:$O$66,"TT")</f>
        <v>0</v>
      </c>
    </row>
    <row r="43" spans="1:3" x14ac:dyDescent="0.25">
      <c r="A43" s="5">
        <v>42</v>
      </c>
      <c r="B43" s="5">
        <v>1985</v>
      </c>
      <c r="C43" s="5">
        <f>COUNTIFS('RedHill Release Incidents'!$A$2:$A$66,B43,'RedHill Release Incidents'!$Q$2:$Q$66,"OP",'RedHill Release Incidents'!$O$2:$O$66,"TT")</f>
        <v>0</v>
      </c>
    </row>
    <row r="44" spans="1:3" x14ac:dyDescent="0.25">
      <c r="A44" s="5">
        <v>43</v>
      </c>
      <c r="B44" s="5">
        <v>1986</v>
      </c>
      <c r="C44" s="5">
        <f>COUNTIFS('RedHill Release Incidents'!$A$2:$A$66,B44,'RedHill Release Incidents'!$Q$2:$Q$66,"OP",'RedHill Release Incidents'!$O$2:$O$66,"TT")</f>
        <v>0</v>
      </c>
    </row>
    <row r="45" spans="1:3" x14ac:dyDescent="0.25">
      <c r="A45" s="5">
        <v>44</v>
      </c>
      <c r="B45" s="5">
        <v>1987</v>
      </c>
      <c r="C45" s="5">
        <f>COUNTIFS('RedHill Release Incidents'!$A$2:$A$66,B45,'RedHill Release Incidents'!$Q$2:$Q$66,"OP",'RedHill Release Incidents'!$O$2:$O$66,"TT")</f>
        <v>0</v>
      </c>
    </row>
    <row r="46" spans="1:3" x14ac:dyDescent="0.25">
      <c r="A46" s="5">
        <v>45</v>
      </c>
      <c r="B46" s="5">
        <v>1988</v>
      </c>
      <c r="C46" s="5">
        <f>COUNTIFS('RedHill Release Incidents'!$A$2:$A$66,B46,'RedHill Release Incidents'!$Q$2:$Q$66,"OP",'RedHill Release Incidents'!$O$2:$O$66,"TT")</f>
        <v>0</v>
      </c>
    </row>
    <row r="47" spans="1:3" x14ac:dyDescent="0.25">
      <c r="A47" s="5">
        <v>46</v>
      </c>
      <c r="B47" s="5">
        <v>1989</v>
      </c>
      <c r="C47" s="5">
        <f>COUNTIFS('RedHill Release Incidents'!$A$2:$A$66,B47,'RedHill Release Incidents'!$Q$2:$Q$66,"OP",'RedHill Release Incidents'!$O$2:$O$66,"TT")</f>
        <v>0</v>
      </c>
    </row>
    <row r="48" spans="1:3" x14ac:dyDescent="0.25">
      <c r="A48" s="5">
        <v>47</v>
      </c>
      <c r="B48" s="5">
        <v>1990</v>
      </c>
      <c r="C48" s="5">
        <f>COUNTIFS('RedHill Release Incidents'!$A$2:$A$66,B48,'RedHill Release Incidents'!$Q$2:$Q$66,"OP",'RedHill Release Incidents'!$O$2:$O$66,"TT")</f>
        <v>0</v>
      </c>
    </row>
    <row r="49" spans="1:3" x14ac:dyDescent="0.25">
      <c r="A49" s="5">
        <v>48</v>
      </c>
      <c r="B49" s="5">
        <v>1991</v>
      </c>
      <c r="C49" s="5">
        <f>COUNTIFS('RedHill Release Incidents'!$A$2:$A$66,B49,'RedHill Release Incidents'!$Q$2:$Q$66,"OP",'RedHill Release Incidents'!$O$2:$O$66,"TT")</f>
        <v>0</v>
      </c>
    </row>
    <row r="50" spans="1:3" x14ac:dyDescent="0.25">
      <c r="A50" s="5">
        <v>49</v>
      </c>
      <c r="B50" s="5">
        <v>1992</v>
      </c>
      <c r="C50" s="5">
        <f>COUNTIFS('RedHill Release Incidents'!$A$2:$A$66,B50,'RedHill Release Incidents'!$Q$2:$Q$66,"OP",'RedHill Release Incidents'!$O$2:$O$66,"TT")</f>
        <v>0</v>
      </c>
    </row>
    <row r="51" spans="1:3" x14ac:dyDescent="0.25">
      <c r="A51" s="5">
        <v>50</v>
      </c>
      <c r="B51" s="5">
        <v>1993</v>
      </c>
      <c r="C51" s="5">
        <f>COUNTIFS('RedHill Release Incidents'!$A$2:$A$66,B51,'RedHill Release Incidents'!$Q$2:$Q$66,"OP",'RedHill Release Incidents'!$O$2:$O$66,"TT")</f>
        <v>0</v>
      </c>
    </row>
    <row r="52" spans="1:3" x14ac:dyDescent="0.25">
      <c r="A52" s="5">
        <v>51</v>
      </c>
      <c r="B52" s="5">
        <v>1994</v>
      </c>
      <c r="C52" s="5">
        <f>COUNTIFS('RedHill Release Incidents'!$A$2:$A$66,B52,'RedHill Release Incidents'!$Q$2:$Q$66,"OP",'RedHill Release Incidents'!$O$2:$O$66,"TT")</f>
        <v>0</v>
      </c>
    </row>
    <row r="53" spans="1:3" x14ac:dyDescent="0.25">
      <c r="A53" s="5">
        <v>52</v>
      </c>
      <c r="B53" s="5">
        <v>1995</v>
      </c>
      <c r="C53" s="5">
        <f>COUNTIFS('RedHill Release Incidents'!$A$2:$A$66,B53,'RedHill Release Incidents'!$Q$2:$Q$66,"OP",'RedHill Release Incidents'!$O$2:$O$66,"TT")</f>
        <v>0</v>
      </c>
    </row>
    <row r="54" spans="1:3" x14ac:dyDescent="0.25">
      <c r="A54" s="5">
        <v>53</v>
      </c>
      <c r="B54" s="5">
        <v>1996</v>
      </c>
      <c r="C54" s="5">
        <f>COUNTIFS('RedHill Release Incidents'!$A$2:$A$66,B54,'RedHill Release Incidents'!$Q$2:$Q$66,"OP",'RedHill Release Incidents'!$O$2:$O$66,"TT")</f>
        <v>0</v>
      </c>
    </row>
    <row r="55" spans="1:3" x14ac:dyDescent="0.25">
      <c r="A55" s="5">
        <v>54</v>
      </c>
      <c r="B55" s="5">
        <v>1997</v>
      </c>
      <c r="C55" s="5">
        <f>COUNTIFS('RedHill Release Incidents'!$A$2:$A$66,B55,'RedHill Release Incidents'!$Q$2:$Q$66,"OP",'RedHill Release Incidents'!$O$2:$O$66,"TT")</f>
        <v>0</v>
      </c>
    </row>
    <row r="56" spans="1:3" x14ac:dyDescent="0.25">
      <c r="A56" s="5">
        <v>55</v>
      </c>
      <c r="B56" s="5">
        <v>1998</v>
      </c>
      <c r="C56" s="5">
        <f>COUNTIFS('RedHill Release Incidents'!$A$2:$A$66,B56,'RedHill Release Incidents'!$Q$2:$Q$66,"OP",'RedHill Release Incidents'!$O$2:$O$66,"TT")</f>
        <v>0</v>
      </c>
    </row>
    <row r="57" spans="1:3" x14ac:dyDescent="0.25">
      <c r="A57" s="5">
        <v>56</v>
      </c>
      <c r="B57" s="5">
        <v>1999</v>
      </c>
      <c r="C57" s="5">
        <f>COUNTIFS('RedHill Release Incidents'!$A$2:$A$66,B57,'RedHill Release Incidents'!$Q$2:$Q$66,"OP",'RedHill Release Incidents'!$O$2:$O$66,"TT")</f>
        <v>1</v>
      </c>
    </row>
    <row r="58" spans="1:3" x14ac:dyDescent="0.25">
      <c r="A58" s="5">
        <v>57</v>
      </c>
      <c r="B58" s="5">
        <v>2000</v>
      </c>
      <c r="C58" s="5">
        <f>COUNTIFS('RedHill Release Incidents'!$A$2:$A$66,B58,'RedHill Release Incidents'!$Q$2:$Q$66,"OP",'RedHill Release Incidents'!$O$2:$O$66,"TT")</f>
        <v>0</v>
      </c>
    </row>
    <row r="59" spans="1:3" x14ac:dyDescent="0.25">
      <c r="A59" s="5">
        <v>58</v>
      </c>
      <c r="B59" s="5">
        <v>2001</v>
      </c>
      <c r="C59" s="5">
        <f>COUNTIFS('RedHill Release Incidents'!$A$2:$A$66,B59,'RedHill Release Incidents'!$Q$2:$Q$66,"OP",'RedHill Release Incidents'!$O$2:$O$66,"TT")</f>
        <v>0</v>
      </c>
    </row>
    <row r="60" spans="1:3" x14ac:dyDescent="0.25">
      <c r="A60" s="5">
        <v>59</v>
      </c>
      <c r="B60" s="5">
        <v>2002</v>
      </c>
      <c r="C60" s="5">
        <f>COUNTIFS('RedHill Release Incidents'!$A$2:$A$66,B60,'RedHill Release Incidents'!$Q$2:$Q$66,"OP",'RedHill Release Incidents'!$O$2:$O$66,"TT")</f>
        <v>0</v>
      </c>
    </row>
    <row r="61" spans="1:3" x14ac:dyDescent="0.25">
      <c r="A61" s="5">
        <v>60</v>
      </c>
      <c r="B61" s="5">
        <v>2003</v>
      </c>
      <c r="C61" s="5">
        <f>COUNTIFS('RedHill Release Incidents'!$A$2:$A$66,B61,'RedHill Release Incidents'!$Q$2:$Q$66,"OP",'RedHill Release Incidents'!$O$2:$O$66,"TT")</f>
        <v>0</v>
      </c>
    </row>
    <row r="62" spans="1:3" x14ac:dyDescent="0.25">
      <c r="A62" s="5">
        <v>61</v>
      </c>
      <c r="B62" s="5">
        <v>2004</v>
      </c>
      <c r="C62" s="5">
        <f>COUNTIFS('RedHill Release Incidents'!$A$2:$A$66,B62,'RedHill Release Incidents'!$Q$2:$Q$66,"OP",'RedHill Release Incidents'!$O$2:$O$66,"TT")</f>
        <v>0</v>
      </c>
    </row>
    <row r="63" spans="1:3" x14ac:dyDescent="0.25">
      <c r="A63" s="5">
        <v>62</v>
      </c>
      <c r="B63" s="5">
        <v>2005</v>
      </c>
      <c r="C63" s="5">
        <f>COUNTIFS('RedHill Release Incidents'!$A$2:$A$66,B63,'RedHill Release Incidents'!$Q$2:$Q$66,"OP",'RedHill Release Incidents'!$O$2:$O$66,"TT")</f>
        <v>0</v>
      </c>
    </row>
    <row r="64" spans="1:3" x14ac:dyDescent="0.25">
      <c r="A64" s="5">
        <v>63</v>
      </c>
      <c r="B64" s="5">
        <v>2006</v>
      </c>
      <c r="C64" s="5">
        <f>COUNTIFS('RedHill Release Incidents'!$A$2:$A$66,B64,'RedHill Release Incidents'!$Q$2:$Q$66,"OP",'RedHill Release Incidents'!$O$2:$O$66,"TT")</f>
        <v>0</v>
      </c>
    </row>
    <row r="65" spans="1:3" x14ac:dyDescent="0.25">
      <c r="A65" s="5">
        <v>64</v>
      </c>
      <c r="B65" s="5">
        <v>2007</v>
      </c>
      <c r="C65" s="5">
        <f>COUNTIFS('RedHill Release Incidents'!$A$2:$A$66,B65,'RedHill Release Incidents'!$Q$2:$Q$66,"OP",'RedHill Release Incidents'!$O$2:$O$66,"TT")</f>
        <v>0</v>
      </c>
    </row>
    <row r="66" spans="1:3" x14ac:dyDescent="0.25">
      <c r="A66" s="5">
        <v>65</v>
      </c>
      <c r="B66" s="5">
        <v>2008</v>
      </c>
      <c r="C66" s="5">
        <f>COUNTIFS('RedHill Release Incidents'!$A$2:$A$66,B66,'RedHill Release Incidents'!$Q$2:$Q$66,"OP",'RedHill Release Incidents'!$O$2:$O$66,"TT")</f>
        <v>0</v>
      </c>
    </row>
    <row r="67" spans="1:3" x14ac:dyDescent="0.25">
      <c r="A67" s="5">
        <v>66</v>
      </c>
      <c r="B67" s="5">
        <v>2009</v>
      </c>
      <c r="C67" s="5">
        <f>COUNTIFS('RedHill Release Incidents'!$A$2:$A$66,B67,'RedHill Release Incidents'!$Q$2:$Q$66,"OP",'RedHill Release Incidents'!$O$2:$O$66,"TT")</f>
        <v>0</v>
      </c>
    </row>
    <row r="68" spans="1:3" x14ac:dyDescent="0.25">
      <c r="A68" s="5">
        <v>67</v>
      </c>
      <c r="B68" s="5">
        <v>2010</v>
      </c>
      <c r="C68" s="5">
        <f>COUNTIFS('RedHill Release Incidents'!$A$2:$A$66,B68,'RedHill Release Incidents'!$Q$2:$Q$66,"OP",'RedHill Release Incidents'!$O$2:$O$66,"TT")</f>
        <v>0</v>
      </c>
    </row>
    <row r="69" spans="1:3" x14ac:dyDescent="0.25">
      <c r="A69" s="5">
        <v>68</v>
      </c>
      <c r="B69" s="5">
        <v>2011</v>
      </c>
      <c r="C69" s="5">
        <f>COUNTIFS('RedHill Release Incidents'!$A$2:$A$66,B69,'RedHill Release Incidents'!$Q$2:$Q$66,"OP",'RedHill Release Incidents'!$O$2:$O$66,"TT")</f>
        <v>0</v>
      </c>
    </row>
    <row r="70" spans="1:3" x14ac:dyDescent="0.25">
      <c r="A70" s="5">
        <v>69</v>
      </c>
      <c r="B70" s="5">
        <v>2012</v>
      </c>
      <c r="C70" s="5">
        <f>COUNTIFS('RedHill Release Incidents'!$A$2:$A$66,B70,'RedHill Release Incidents'!$Q$2:$Q$66,"OP",'RedHill Release Incidents'!$O$2:$O$66,"TT")</f>
        <v>0</v>
      </c>
    </row>
    <row r="71" spans="1:3" x14ac:dyDescent="0.25">
      <c r="A71" s="5">
        <v>70</v>
      </c>
      <c r="B71" s="5">
        <v>2013</v>
      </c>
      <c r="C71" s="5">
        <f>COUNTIFS('RedHill Release Incidents'!$A$2:$A$66,B71,'RedHill Release Incidents'!$Q$2:$Q$66,"OP",'RedHill Release Incidents'!$O$2:$O$66,"TT")</f>
        <v>0</v>
      </c>
    </row>
    <row r="72" spans="1:3" x14ac:dyDescent="0.25">
      <c r="A72" s="5">
        <v>71</v>
      </c>
      <c r="B72" s="5">
        <v>2014</v>
      </c>
      <c r="C72" s="5">
        <f>COUNTIFS('RedHill Release Incidents'!$A$2:$A$66,B72,'RedHill Release Incidents'!$Q$2:$Q$66,"OP",'RedHill Release Incidents'!$O$2:$O$66,"TT")</f>
        <v>0</v>
      </c>
    </row>
    <row r="73" spans="1:3" x14ac:dyDescent="0.25">
      <c r="A73" s="5">
        <v>72</v>
      </c>
      <c r="B73" s="5">
        <v>2015</v>
      </c>
      <c r="C73" s="5">
        <f>COUNTIFS('RedHill Release Incidents'!$A$2:$A$66,B73,'RedHill Release Incidents'!$Q$2:$Q$66,"OP",'RedHill Release Incidents'!$O$2:$O$66,"TT")</f>
        <v>0</v>
      </c>
    </row>
    <row r="74" spans="1:3" x14ac:dyDescent="0.25">
      <c r="A74" s="5">
        <v>73</v>
      </c>
      <c r="B74" s="5">
        <v>2016</v>
      </c>
      <c r="C74" s="5">
        <f>COUNTIFS('RedHill Release Incidents'!$A$2:$A$66,B74,'RedHill Release Incidents'!$Q$2:$Q$66,"OP",'RedHill Release Incidents'!$O$2:$O$66,"TT")</f>
        <v>0</v>
      </c>
    </row>
    <row r="75" spans="1:3" x14ac:dyDescent="0.25">
      <c r="A75" s="5">
        <v>74</v>
      </c>
      <c r="B75" s="5">
        <v>2017</v>
      </c>
      <c r="C75" s="5">
        <f>COUNTIFS('RedHill Release Incidents'!$A$2:$A$66,B75,'RedHill Release Incidents'!$Q$2:$Q$66,"OP",'RedHill Release Incidents'!$O$2:$O$66,"TT")</f>
        <v>0</v>
      </c>
    </row>
    <row r="76" spans="1:3" x14ac:dyDescent="0.25">
      <c r="C76">
        <f>SUM(C5:C72)</f>
        <v>25</v>
      </c>
    </row>
  </sheetData>
  <sheetProtection algorithmName="SHA-512" hashValue="WvCUWuNGthyqOG9fqkcH1EZZVcujJl8IWlY57YwFAiX1Ez9vek8UuDw4foYJNadTSP72yUKio1k3+lV2qwOskw==" saltValue="WYs6lkJAeIH4myfU+VL8DQ=="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76"/>
  <sheetViews>
    <sheetView workbookViewId="0"/>
  </sheetViews>
  <sheetFormatPr defaultRowHeight="15" x14ac:dyDescent="0.25"/>
  <cols>
    <col min="3" max="3" width="16.140625" customWidth="1"/>
  </cols>
  <sheetData>
    <row r="1" spans="1:3" x14ac:dyDescent="0.25">
      <c r="A1" s="5"/>
      <c r="B1" s="5"/>
      <c r="C1" s="120" t="s">
        <v>824</v>
      </c>
    </row>
    <row r="2" spans="1:3" x14ac:dyDescent="0.25">
      <c r="A2" s="5">
        <v>1</v>
      </c>
      <c r="B2" s="5">
        <v>1944</v>
      </c>
      <c r="C2" s="5">
        <f>COUNTIFS('RedHill Release Incidents'!$A$2:$A$66,B2,'RedHill Release Incidents'!$Q$2:$Q$66,"OP",'RedHill Release Incidents'!$O$2:$O$66,"!TT")</f>
        <v>0</v>
      </c>
    </row>
    <row r="3" spans="1:3" x14ac:dyDescent="0.25">
      <c r="A3" s="5">
        <v>2</v>
      </c>
      <c r="B3" s="5">
        <v>1945</v>
      </c>
      <c r="C3" s="5">
        <f>COUNTIFS('RedHill Release Incidents'!$A$2:$A$66,B3,'RedHill Release Incidents'!$Q$2:$Q$66,"OP",'RedHill Release Incidents'!$O$2:$O$66,"!TT")</f>
        <v>0</v>
      </c>
    </row>
    <row r="4" spans="1:3" x14ac:dyDescent="0.25">
      <c r="A4" s="5">
        <v>3</v>
      </c>
      <c r="B4" s="5">
        <v>1946</v>
      </c>
      <c r="C4" s="5">
        <f>COUNTIFS('RedHill Release Incidents'!$A$2:$A$66,B4,'RedHill Release Incidents'!$Q$2:$Q$66,"OP",'RedHill Release Incidents'!$O$2:$O$66,"!TT")</f>
        <v>0</v>
      </c>
    </row>
    <row r="5" spans="1:3" x14ac:dyDescent="0.25">
      <c r="A5" s="5">
        <v>4</v>
      </c>
      <c r="B5" s="5">
        <v>1947</v>
      </c>
      <c r="C5" s="5">
        <f>COUNTIFS('RedHill Release Incidents'!$A$2:$A$66,B5,'RedHill Release Incidents'!$Q$2:$Q$66,"OP",'RedHill Release Incidents'!$O$2:$O$66,"!TT")</f>
        <v>0</v>
      </c>
    </row>
    <row r="6" spans="1:3" x14ac:dyDescent="0.25">
      <c r="A6" s="5">
        <v>5</v>
      </c>
      <c r="B6" s="5">
        <v>1948</v>
      </c>
      <c r="C6" s="5">
        <f>COUNTIFS('RedHill Release Incidents'!$A$2:$A$66,B6,'RedHill Release Incidents'!$Q$2:$Q$66,"OP",'RedHill Release Incidents'!$O$2:$O$66,"!TT")</f>
        <v>0</v>
      </c>
    </row>
    <row r="7" spans="1:3" x14ac:dyDescent="0.25">
      <c r="A7" s="5">
        <v>6</v>
      </c>
      <c r="B7" s="5">
        <v>1949</v>
      </c>
      <c r="C7" s="5">
        <f>COUNTIFS('RedHill Release Incidents'!$A$2:$A$66,B7,'RedHill Release Incidents'!$Q$2:$Q$66,"OP",'RedHill Release Incidents'!$O$2:$O$66,"!TT")</f>
        <v>2</v>
      </c>
    </row>
    <row r="8" spans="1:3" x14ac:dyDescent="0.25">
      <c r="A8" s="5">
        <v>7</v>
      </c>
      <c r="B8" s="5">
        <v>1950</v>
      </c>
      <c r="C8" s="5">
        <f>COUNTIFS('RedHill Release Incidents'!$A$2:$A$66,B8,'RedHill Release Incidents'!$Q$2:$Q$66,"OP",'RedHill Release Incidents'!$O$2:$O$66,"!TT")</f>
        <v>0</v>
      </c>
    </row>
    <row r="9" spans="1:3" x14ac:dyDescent="0.25">
      <c r="A9" s="5">
        <v>8</v>
      </c>
      <c r="B9" s="5">
        <v>1951</v>
      </c>
      <c r="C9" s="5">
        <f>COUNTIFS('RedHill Release Incidents'!$A$2:$A$66,B9,'RedHill Release Incidents'!$Q$2:$Q$66,"OP",'RedHill Release Incidents'!$O$2:$O$66,"!TT")</f>
        <v>0</v>
      </c>
    </row>
    <row r="10" spans="1:3" x14ac:dyDescent="0.25">
      <c r="A10" s="5">
        <v>9</v>
      </c>
      <c r="B10" s="5">
        <v>1952</v>
      </c>
      <c r="C10" s="5">
        <f>COUNTIFS('RedHill Release Incidents'!$A$2:$A$66,B10,'RedHill Release Incidents'!$Q$2:$Q$66,"OP",'RedHill Release Incidents'!$O$2:$O$66,"!TT")</f>
        <v>0</v>
      </c>
    </row>
    <row r="11" spans="1:3" x14ac:dyDescent="0.25">
      <c r="A11" s="5">
        <v>10</v>
      </c>
      <c r="B11" s="5">
        <v>1953</v>
      </c>
      <c r="C11" s="5">
        <f>COUNTIFS('RedHill Release Incidents'!$A$2:$A$66,B11,'RedHill Release Incidents'!$Q$2:$Q$66,"OP",'RedHill Release Incidents'!$O$2:$O$66,"!TT")</f>
        <v>0</v>
      </c>
    </row>
    <row r="12" spans="1:3" x14ac:dyDescent="0.25">
      <c r="A12" s="5">
        <v>11</v>
      </c>
      <c r="B12" s="5">
        <v>1954</v>
      </c>
      <c r="C12" s="5">
        <f>COUNTIFS('RedHill Release Incidents'!$A$2:$A$66,B12,'RedHill Release Incidents'!$Q$2:$Q$66,"OP",'RedHill Release Incidents'!$O$2:$O$66,"!TT")</f>
        <v>0</v>
      </c>
    </row>
    <row r="13" spans="1:3" x14ac:dyDescent="0.25">
      <c r="A13" s="5">
        <v>12</v>
      </c>
      <c r="B13" s="5">
        <v>1955</v>
      </c>
      <c r="C13" s="5">
        <f>COUNTIFS('RedHill Release Incidents'!$A$2:$A$66,B13,'RedHill Release Incidents'!$Q$2:$Q$66,"OP",'RedHill Release Incidents'!$O$2:$O$66,"!TT")</f>
        <v>0</v>
      </c>
    </row>
    <row r="14" spans="1:3" x14ac:dyDescent="0.25">
      <c r="A14" s="5">
        <v>13</v>
      </c>
      <c r="B14" s="5">
        <v>1956</v>
      </c>
      <c r="C14" s="5">
        <f>COUNTIFS('RedHill Release Incidents'!$A$2:$A$66,B14,'RedHill Release Incidents'!$Q$2:$Q$66,"OP",'RedHill Release Incidents'!$O$2:$O$66,"!TT")</f>
        <v>0</v>
      </c>
    </row>
    <row r="15" spans="1:3" x14ac:dyDescent="0.25">
      <c r="A15" s="5">
        <v>14</v>
      </c>
      <c r="B15" s="5">
        <v>1957</v>
      </c>
      <c r="C15" s="5">
        <f>COUNTIFS('RedHill Release Incidents'!$A$2:$A$66,B15,'RedHill Release Incidents'!$Q$2:$Q$66,"OP",'RedHill Release Incidents'!$O$2:$O$66,"!TT")</f>
        <v>0</v>
      </c>
    </row>
    <row r="16" spans="1:3" x14ac:dyDescent="0.25">
      <c r="A16" s="5">
        <v>15</v>
      </c>
      <c r="B16" s="5">
        <v>1958</v>
      </c>
      <c r="C16" s="5">
        <f>COUNTIFS('RedHill Release Incidents'!$A$2:$A$66,B16,'RedHill Release Incidents'!$Q$2:$Q$66,"OP",'RedHill Release Incidents'!$O$2:$O$66,"!TT")</f>
        <v>0</v>
      </c>
    </row>
    <row r="17" spans="1:3" x14ac:dyDescent="0.25">
      <c r="A17" s="5">
        <v>16</v>
      </c>
      <c r="B17" s="5">
        <v>1959</v>
      </c>
      <c r="C17" s="5">
        <f>COUNTIFS('RedHill Release Incidents'!$A$2:$A$66,B17,'RedHill Release Incidents'!$Q$2:$Q$66,"OP",'RedHill Release Incidents'!$O$2:$O$66,"!TT")</f>
        <v>0</v>
      </c>
    </row>
    <row r="18" spans="1:3" x14ac:dyDescent="0.25">
      <c r="A18" s="5">
        <v>17</v>
      </c>
      <c r="B18" s="5">
        <v>1960</v>
      </c>
      <c r="C18" s="5">
        <f>COUNTIFS('RedHill Release Incidents'!$A$2:$A$66,B18,'RedHill Release Incidents'!$Q$2:$Q$66,"OP",'RedHill Release Incidents'!$O$2:$O$66,"!TT")</f>
        <v>0</v>
      </c>
    </row>
    <row r="19" spans="1:3" x14ac:dyDescent="0.25">
      <c r="A19" s="5">
        <v>18</v>
      </c>
      <c r="B19" s="5">
        <v>1961</v>
      </c>
      <c r="C19" s="5">
        <f>COUNTIFS('RedHill Release Incidents'!$A$2:$A$66,B19,'RedHill Release Incidents'!$Q$2:$Q$66,"OP",'RedHill Release Incidents'!$O$2:$O$66,"!TT")</f>
        <v>0</v>
      </c>
    </row>
    <row r="20" spans="1:3" x14ac:dyDescent="0.25">
      <c r="A20" s="5">
        <v>19</v>
      </c>
      <c r="B20" s="5">
        <v>1962</v>
      </c>
      <c r="C20" s="5">
        <f>COUNTIFS('RedHill Release Incidents'!$A$2:$A$66,B20,'RedHill Release Incidents'!$Q$2:$Q$66,"OP",'RedHill Release Incidents'!$O$2:$O$66,"!TT")</f>
        <v>0</v>
      </c>
    </row>
    <row r="21" spans="1:3" x14ac:dyDescent="0.25">
      <c r="A21" s="5">
        <v>20</v>
      </c>
      <c r="B21" s="5">
        <v>1963</v>
      </c>
      <c r="C21" s="5">
        <f>COUNTIFS('RedHill Release Incidents'!$A$2:$A$66,B21,'RedHill Release Incidents'!$Q$2:$Q$66,"OP",'RedHill Release Incidents'!$O$2:$O$66,"!TT")</f>
        <v>0</v>
      </c>
    </row>
    <row r="22" spans="1:3" x14ac:dyDescent="0.25">
      <c r="A22" s="5">
        <v>21</v>
      </c>
      <c r="B22" s="5">
        <v>1964</v>
      </c>
      <c r="C22" s="5">
        <f>COUNTIFS('RedHill Release Incidents'!$A$2:$A$66,B22,'RedHill Release Incidents'!$Q$2:$Q$66,"OP",'RedHill Release Incidents'!$O$2:$O$66,"!TT")</f>
        <v>0</v>
      </c>
    </row>
    <row r="23" spans="1:3" x14ac:dyDescent="0.25">
      <c r="A23" s="5">
        <v>22</v>
      </c>
      <c r="B23" s="5">
        <v>1965</v>
      </c>
      <c r="C23" s="5">
        <f>COUNTIFS('RedHill Release Incidents'!$A$2:$A$66,B23,'RedHill Release Incidents'!$Q$2:$Q$66,"OP",'RedHill Release Incidents'!$O$2:$O$66,"!TT")</f>
        <v>0</v>
      </c>
    </row>
    <row r="24" spans="1:3" x14ac:dyDescent="0.25">
      <c r="A24" s="5">
        <v>23</v>
      </c>
      <c r="B24" s="5">
        <v>1966</v>
      </c>
      <c r="C24" s="5">
        <f>COUNTIFS('RedHill Release Incidents'!$A$2:$A$66,B24,'RedHill Release Incidents'!$Q$2:$Q$66,"OP",'RedHill Release Incidents'!$O$2:$O$66,"!TT")</f>
        <v>0</v>
      </c>
    </row>
    <row r="25" spans="1:3" x14ac:dyDescent="0.25">
      <c r="A25" s="5">
        <v>24</v>
      </c>
      <c r="B25" s="5">
        <v>1967</v>
      </c>
      <c r="C25" s="5">
        <f>COUNTIFS('RedHill Release Incidents'!$A$2:$A$66,B25,'RedHill Release Incidents'!$Q$2:$Q$66,"OP",'RedHill Release Incidents'!$O$2:$O$66,"!TT")</f>
        <v>0</v>
      </c>
    </row>
    <row r="26" spans="1:3" x14ac:dyDescent="0.25">
      <c r="A26" s="5">
        <v>25</v>
      </c>
      <c r="B26" s="5">
        <v>1968</v>
      </c>
      <c r="C26" s="5">
        <f>COUNTIFS('RedHill Release Incidents'!$A$2:$A$66,B26,'RedHill Release Incidents'!$Q$2:$Q$66,"OP",'RedHill Release Incidents'!$O$2:$O$66,"!TT")</f>
        <v>0</v>
      </c>
    </row>
    <row r="27" spans="1:3" x14ac:dyDescent="0.25">
      <c r="A27" s="5">
        <v>26</v>
      </c>
      <c r="B27" s="5">
        <v>1969</v>
      </c>
      <c r="C27" s="5">
        <f>COUNTIFS('RedHill Release Incidents'!$A$2:$A$66,B27,'RedHill Release Incidents'!$Q$2:$Q$66,"OP",'RedHill Release Incidents'!$O$2:$O$66,"!TT")</f>
        <v>0</v>
      </c>
    </row>
    <row r="28" spans="1:3" x14ac:dyDescent="0.25">
      <c r="A28" s="5">
        <v>27</v>
      </c>
      <c r="B28" s="5">
        <v>1970</v>
      </c>
      <c r="C28" s="5">
        <f>COUNTIFS('RedHill Release Incidents'!$A$2:$A$66,B28,'RedHill Release Incidents'!$Q$2:$Q$66,"OP",'RedHill Release Incidents'!$O$2:$O$66,"!TT")</f>
        <v>1</v>
      </c>
    </row>
    <row r="29" spans="1:3" x14ac:dyDescent="0.25">
      <c r="A29" s="5">
        <v>28</v>
      </c>
      <c r="B29" s="5">
        <v>1971</v>
      </c>
      <c r="C29" s="5">
        <f>COUNTIFS('RedHill Release Incidents'!$A$2:$A$66,B29,'RedHill Release Incidents'!$Q$2:$Q$66,"OP",'RedHill Release Incidents'!$O$2:$O$66,"!TT")</f>
        <v>2</v>
      </c>
    </row>
    <row r="30" spans="1:3" x14ac:dyDescent="0.25">
      <c r="A30" s="5">
        <v>29</v>
      </c>
      <c r="B30" s="5">
        <v>1972</v>
      </c>
      <c r="C30" s="5">
        <f>COUNTIFS('RedHill Release Incidents'!$A$2:$A$66,B30,'RedHill Release Incidents'!$Q$2:$Q$66,"OP",'RedHill Release Incidents'!$O$2:$O$66,"!TT")</f>
        <v>1</v>
      </c>
    </row>
    <row r="31" spans="1:3" x14ac:dyDescent="0.25">
      <c r="A31" s="5">
        <v>30</v>
      </c>
      <c r="B31" s="5">
        <v>1973</v>
      </c>
      <c r="C31" s="5">
        <f>COUNTIFS('RedHill Release Incidents'!$A$2:$A$66,B31,'RedHill Release Incidents'!$Q$2:$Q$66,"OP",'RedHill Release Incidents'!$O$2:$O$66,"!TT")</f>
        <v>1</v>
      </c>
    </row>
    <row r="32" spans="1:3" x14ac:dyDescent="0.25">
      <c r="A32" s="5">
        <v>31</v>
      </c>
      <c r="B32" s="5">
        <v>1974</v>
      </c>
      <c r="C32" s="5">
        <f>COUNTIFS('RedHill Release Incidents'!$A$2:$A$66,B32,'RedHill Release Incidents'!$Q$2:$Q$66,"OP",'RedHill Release Incidents'!$O$2:$O$66,"!TT")</f>
        <v>0</v>
      </c>
    </row>
    <row r="33" spans="1:3" x14ac:dyDescent="0.25">
      <c r="A33" s="5">
        <v>32</v>
      </c>
      <c r="B33" s="5">
        <v>1975</v>
      </c>
      <c r="C33" s="5">
        <f>COUNTIFS('RedHill Release Incidents'!$A$2:$A$66,B33,'RedHill Release Incidents'!$Q$2:$Q$66,"OP",'RedHill Release Incidents'!$O$2:$O$66,"!TT")</f>
        <v>1</v>
      </c>
    </row>
    <row r="34" spans="1:3" x14ac:dyDescent="0.25">
      <c r="A34" s="5">
        <v>33</v>
      </c>
      <c r="B34" s="5">
        <v>1976</v>
      </c>
      <c r="C34" s="5">
        <f>COUNTIFS('RedHill Release Incidents'!$A$2:$A$66,B34,'RedHill Release Incidents'!$Q$2:$Q$66,"OP",'RedHill Release Incidents'!$O$2:$O$66,"!TT")</f>
        <v>1</v>
      </c>
    </row>
    <row r="35" spans="1:3" x14ac:dyDescent="0.25">
      <c r="A35" s="5">
        <v>34</v>
      </c>
      <c r="B35" s="5">
        <v>1977</v>
      </c>
      <c r="C35" s="5">
        <f>COUNTIFS('RedHill Release Incidents'!$A$2:$A$66,B35,'RedHill Release Incidents'!$Q$2:$Q$66,"OP",'RedHill Release Incidents'!$O$2:$O$66,"!TT")</f>
        <v>0</v>
      </c>
    </row>
    <row r="36" spans="1:3" x14ac:dyDescent="0.25">
      <c r="A36" s="5">
        <v>35</v>
      </c>
      <c r="B36" s="5">
        <v>1978</v>
      </c>
      <c r="C36" s="5">
        <f>COUNTIFS('RedHill Release Incidents'!$A$2:$A$66,B36,'RedHill Release Incidents'!$Q$2:$Q$66,"OP",'RedHill Release Incidents'!$O$2:$O$66,"!TT")</f>
        <v>0</v>
      </c>
    </row>
    <row r="37" spans="1:3" x14ac:dyDescent="0.25">
      <c r="A37" s="5">
        <v>36</v>
      </c>
      <c r="B37" s="5">
        <v>1979</v>
      </c>
      <c r="C37" s="5">
        <f>COUNTIFS('RedHill Release Incidents'!$A$2:$A$66,B37,'RedHill Release Incidents'!$Q$2:$Q$66,"OP",'RedHill Release Incidents'!$O$2:$O$66,"!TT")</f>
        <v>0</v>
      </c>
    </row>
    <row r="38" spans="1:3" x14ac:dyDescent="0.25">
      <c r="A38" s="5">
        <v>37</v>
      </c>
      <c r="B38" s="5">
        <v>1980</v>
      </c>
      <c r="C38" s="5">
        <f>COUNTIFS('RedHill Release Incidents'!$A$2:$A$66,B38,'RedHill Release Incidents'!$Q$2:$Q$66,"OP",'RedHill Release Incidents'!$O$2:$O$66,"!TT")</f>
        <v>2</v>
      </c>
    </row>
    <row r="39" spans="1:3" x14ac:dyDescent="0.25">
      <c r="A39" s="5">
        <v>38</v>
      </c>
      <c r="B39" s="5">
        <v>1981</v>
      </c>
      <c r="C39" s="5">
        <f>COUNTIFS('RedHill Release Incidents'!$A$2:$A$66,B39,'RedHill Release Incidents'!$Q$2:$Q$66,"OP",'RedHill Release Incidents'!$O$2:$O$66,"!TT")</f>
        <v>0</v>
      </c>
    </row>
    <row r="40" spans="1:3" x14ac:dyDescent="0.25">
      <c r="A40" s="5">
        <v>39</v>
      </c>
      <c r="B40" s="5">
        <v>1982</v>
      </c>
      <c r="C40" s="5">
        <f>COUNTIFS('RedHill Release Incidents'!$A$2:$A$66,B40,'RedHill Release Incidents'!$Q$2:$Q$66,"OP",'RedHill Release Incidents'!$O$2:$O$66,"!TT")</f>
        <v>2</v>
      </c>
    </row>
    <row r="41" spans="1:3" x14ac:dyDescent="0.25">
      <c r="A41" s="5">
        <v>40</v>
      </c>
      <c r="B41" s="5">
        <v>1983</v>
      </c>
      <c r="C41" s="5">
        <f>COUNTIFS('RedHill Release Incidents'!$A$2:$A$66,B41,'RedHill Release Incidents'!$Q$2:$Q$66,"OP",'RedHill Release Incidents'!$O$2:$O$66,"!TT")</f>
        <v>0</v>
      </c>
    </row>
    <row r="42" spans="1:3" x14ac:dyDescent="0.25">
      <c r="A42" s="5">
        <v>41</v>
      </c>
      <c r="B42" s="5">
        <v>1984</v>
      </c>
      <c r="C42" s="5">
        <f>COUNTIFS('RedHill Release Incidents'!$A$2:$A$66,B42,'RedHill Release Incidents'!$Q$2:$Q$66,"OP",'RedHill Release Incidents'!$O$2:$O$66,"!TT")</f>
        <v>0</v>
      </c>
    </row>
    <row r="43" spans="1:3" x14ac:dyDescent="0.25">
      <c r="A43" s="5">
        <v>42</v>
      </c>
      <c r="B43" s="5">
        <v>1985</v>
      </c>
      <c r="C43" s="5">
        <f>COUNTIFS('RedHill Release Incidents'!$A$2:$A$66,B43,'RedHill Release Incidents'!$Q$2:$Q$66,"OP",'RedHill Release Incidents'!$O$2:$O$66,"!TT")</f>
        <v>0</v>
      </c>
    </row>
    <row r="44" spans="1:3" x14ac:dyDescent="0.25">
      <c r="A44" s="5">
        <v>43</v>
      </c>
      <c r="B44" s="5">
        <v>1986</v>
      </c>
      <c r="C44" s="5">
        <f>COUNTIFS('RedHill Release Incidents'!$A$2:$A$66,B44,'RedHill Release Incidents'!$Q$2:$Q$66,"OP",'RedHill Release Incidents'!$O$2:$O$66,"!TT")</f>
        <v>0</v>
      </c>
    </row>
    <row r="45" spans="1:3" x14ac:dyDescent="0.25">
      <c r="A45" s="5">
        <v>44</v>
      </c>
      <c r="B45" s="5">
        <v>1987</v>
      </c>
      <c r="C45" s="5">
        <f>COUNTIFS('RedHill Release Incidents'!$A$2:$A$66,B45,'RedHill Release Incidents'!$Q$2:$Q$66,"OP",'RedHill Release Incidents'!$O$2:$O$66,"!TT")</f>
        <v>0</v>
      </c>
    </row>
    <row r="46" spans="1:3" x14ac:dyDescent="0.25">
      <c r="A46" s="5">
        <v>45</v>
      </c>
      <c r="B46" s="5">
        <v>1988</v>
      </c>
      <c r="C46" s="5">
        <f>COUNTIFS('RedHill Release Incidents'!$A$2:$A$66,B46,'RedHill Release Incidents'!$Q$2:$Q$66,"OP",'RedHill Release Incidents'!$O$2:$O$66,"!TT")</f>
        <v>0</v>
      </c>
    </row>
    <row r="47" spans="1:3" x14ac:dyDescent="0.25">
      <c r="A47" s="5">
        <v>46</v>
      </c>
      <c r="B47" s="5">
        <v>1989</v>
      </c>
      <c r="C47" s="5">
        <f>COUNTIFS('RedHill Release Incidents'!$A$2:$A$66,B47,'RedHill Release Incidents'!$Q$2:$Q$66,"OP",'RedHill Release Incidents'!$O$2:$O$66,"!TT")</f>
        <v>0</v>
      </c>
    </row>
    <row r="48" spans="1:3" x14ac:dyDescent="0.25">
      <c r="A48" s="5">
        <v>47</v>
      </c>
      <c r="B48" s="5">
        <v>1990</v>
      </c>
      <c r="C48" s="5">
        <f>COUNTIFS('RedHill Release Incidents'!$A$2:$A$66,B48,'RedHill Release Incidents'!$Q$2:$Q$66,"OP",'RedHill Release Incidents'!$O$2:$O$66,"!TT")</f>
        <v>0</v>
      </c>
    </row>
    <row r="49" spans="1:3" x14ac:dyDescent="0.25">
      <c r="A49" s="5">
        <v>48</v>
      </c>
      <c r="B49" s="5">
        <v>1991</v>
      </c>
      <c r="C49" s="5">
        <f>COUNTIFS('RedHill Release Incidents'!$A$2:$A$66,B49,'RedHill Release Incidents'!$Q$2:$Q$66,"OP",'RedHill Release Incidents'!$O$2:$O$66,"!TT")</f>
        <v>0</v>
      </c>
    </row>
    <row r="50" spans="1:3" x14ac:dyDescent="0.25">
      <c r="A50" s="5">
        <v>49</v>
      </c>
      <c r="B50" s="5">
        <v>1992</v>
      </c>
      <c r="C50" s="5">
        <f>COUNTIFS('RedHill Release Incidents'!$A$2:$A$66,B50,'RedHill Release Incidents'!$Q$2:$Q$66,"OP",'RedHill Release Incidents'!$O$2:$O$66,"!TT")</f>
        <v>0</v>
      </c>
    </row>
    <row r="51" spans="1:3" x14ac:dyDescent="0.25">
      <c r="A51" s="5">
        <v>50</v>
      </c>
      <c r="B51" s="5">
        <v>1993</v>
      </c>
      <c r="C51" s="5">
        <f>COUNTIFS('RedHill Release Incidents'!$A$2:$A$66,B51,'RedHill Release Incidents'!$Q$2:$Q$66,"OP",'RedHill Release Incidents'!$O$2:$O$66,"!TT")</f>
        <v>0</v>
      </c>
    </row>
    <row r="52" spans="1:3" x14ac:dyDescent="0.25">
      <c r="A52" s="5">
        <v>51</v>
      </c>
      <c r="B52" s="5">
        <v>1994</v>
      </c>
      <c r="C52" s="5">
        <f>COUNTIFS('RedHill Release Incidents'!$A$2:$A$66,B52,'RedHill Release Incidents'!$Q$2:$Q$66,"OP",'RedHill Release Incidents'!$O$2:$O$66,"!TT")</f>
        <v>0</v>
      </c>
    </row>
    <row r="53" spans="1:3" x14ac:dyDescent="0.25">
      <c r="A53" s="5">
        <v>52</v>
      </c>
      <c r="B53" s="5">
        <v>1995</v>
      </c>
      <c r="C53" s="5">
        <f>COUNTIFS('RedHill Release Incidents'!$A$2:$A$66,B53,'RedHill Release Incidents'!$Q$2:$Q$66,"OP",'RedHill Release Incidents'!$O$2:$O$66,"!TT")</f>
        <v>0</v>
      </c>
    </row>
    <row r="54" spans="1:3" x14ac:dyDescent="0.25">
      <c r="A54" s="5">
        <v>53</v>
      </c>
      <c r="B54" s="5">
        <v>1996</v>
      </c>
      <c r="C54" s="5">
        <f>COUNTIFS('RedHill Release Incidents'!$A$2:$A$66,B54,'RedHill Release Incidents'!$Q$2:$Q$66,"OP",'RedHill Release Incidents'!$O$2:$O$66,"!TT")</f>
        <v>0</v>
      </c>
    </row>
    <row r="55" spans="1:3" x14ac:dyDescent="0.25">
      <c r="A55" s="5">
        <v>54</v>
      </c>
      <c r="B55" s="5">
        <v>1997</v>
      </c>
      <c r="C55" s="5">
        <f>COUNTIFS('RedHill Release Incidents'!$A$2:$A$66,B55,'RedHill Release Incidents'!$Q$2:$Q$66,"OP",'RedHill Release Incidents'!$O$2:$O$66,"!TT")</f>
        <v>0</v>
      </c>
    </row>
    <row r="56" spans="1:3" x14ac:dyDescent="0.25">
      <c r="A56" s="5">
        <v>55</v>
      </c>
      <c r="B56" s="5">
        <v>1998</v>
      </c>
      <c r="C56" s="5">
        <f>COUNTIFS('RedHill Release Incidents'!$A$2:$A$66,B56,'RedHill Release Incidents'!$Q$2:$Q$66,"OP",'RedHill Release Incidents'!$O$2:$O$66,"!TT")</f>
        <v>1</v>
      </c>
    </row>
    <row r="57" spans="1:3" x14ac:dyDescent="0.25">
      <c r="A57" s="5">
        <v>56</v>
      </c>
      <c r="B57" s="5">
        <v>1999</v>
      </c>
      <c r="C57" s="5">
        <f>COUNTIFS('RedHill Release Incidents'!$A$2:$A$66,B57,'RedHill Release Incidents'!$Q$2:$Q$66,"OP",'RedHill Release Incidents'!$O$2:$O$66,"!TT")</f>
        <v>0</v>
      </c>
    </row>
    <row r="58" spans="1:3" x14ac:dyDescent="0.25">
      <c r="A58" s="5">
        <v>57</v>
      </c>
      <c r="B58" s="5">
        <v>2000</v>
      </c>
      <c r="C58" s="5">
        <f>COUNTIFS('RedHill Release Incidents'!$A$2:$A$66,B58,'RedHill Release Incidents'!$Q$2:$Q$66,"OP",'RedHill Release Incidents'!$O$2:$O$66,"!TT")</f>
        <v>0</v>
      </c>
    </row>
    <row r="59" spans="1:3" x14ac:dyDescent="0.25">
      <c r="A59" s="5">
        <v>58</v>
      </c>
      <c r="B59" s="5">
        <v>2001</v>
      </c>
      <c r="C59" s="5">
        <f>COUNTIFS('RedHill Release Incidents'!$A$2:$A$66,B59,'RedHill Release Incidents'!$Q$2:$Q$66,"OP",'RedHill Release Incidents'!$O$2:$O$66,"!TT")</f>
        <v>0</v>
      </c>
    </row>
    <row r="60" spans="1:3" x14ac:dyDescent="0.25">
      <c r="A60" s="5">
        <v>59</v>
      </c>
      <c r="B60" s="5">
        <v>2002</v>
      </c>
      <c r="C60" s="5">
        <f>COUNTIFS('RedHill Release Incidents'!$A$2:$A$66,B60,'RedHill Release Incidents'!$Q$2:$Q$66,"OP",'RedHill Release Incidents'!$O$2:$O$66,"!TT")</f>
        <v>1</v>
      </c>
    </row>
    <row r="61" spans="1:3" x14ac:dyDescent="0.25">
      <c r="A61" s="5">
        <v>60</v>
      </c>
      <c r="B61" s="5">
        <v>2003</v>
      </c>
      <c r="C61" s="5">
        <f>COUNTIFS('RedHill Release Incidents'!$A$2:$A$66,B61,'RedHill Release Incidents'!$Q$2:$Q$66,"OP",'RedHill Release Incidents'!$O$2:$O$66,"!TT")</f>
        <v>0</v>
      </c>
    </row>
    <row r="62" spans="1:3" x14ac:dyDescent="0.25">
      <c r="A62" s="5">
        <v>61</v>
      </c>
      <c r="B62" s="5">
        <v>2004</v>
      </c>
      <c r="C62" s="5">
        <f>COUNTIFS('RedHill Release Incidents'!$A$2:$A$66,B62,'RedHill Release Incidents'!$Q$2:$Q$66,"OP",'RedHill Release Incidents'!$O$2:$O$66,"!TT")</f>
        <v>0</v>
      </c>
    </row>
    <row r="63" spans="1:3" x14ac:dyDescent="0.25">
      <c r="A63" s="5">
        <v>62</v>
      </c>
      <c r="B63" s="5">
        <v>2005</v>
      </c>
      <c r="C63" s="5">
        <f>COUNTIFS('RedHill Release Incidents'!$A$2:$A$66,B63,'RedHill Release Incidents'!$Q$2:$Q$66,"OP",'RedHill Release Incidents'!$O$2:$O$66,"!TT")</f>
        <v>0</v>
      </c>
    </row>
    <row r="64" spans="1:3" x14ac:dyDescent="0.25">
      <c r="A64" s="5">
        <v>63</v>
      </c>
      <c r="B64" s="5">
        <v>2006</v>
      </c>
      <c r="C64" s="5">
        <f>COUNTIFS('RedHill Release Incidents'!$A$2:$A$66,B64,'RedHill Release Incidents'!$Q$2:$Q$66,"OP",'RedHill Release Incidents'!$O$2:$O$66,"!TT")</f>
        <v>0</v>
      </c>
    </row>
    <row r="65" spans="1:3" x14ac:dyDescent="0.25">
      <c r="A65" s="5">
        <v>64</v>
      </c>
      <c r="B65" s="5">
        <v>2007</v>
      </c>
      <c r="C65" s="5">
        <f>COUNTIFS('RedHill Release Incidents'!$A$2:$A$66,B65,'RedHill Release Incidents'!$Q$2:$Q$66,"OP",'RedHill Release Incidents'!$O$2:$O$66,"!TT")</f>
        <v>0</v>
      </c>
    </row>
    <row r="66" spans="1:3" x14ac:dyDescent="0.25">
      <c r="A66" s="5">
        <v>65</v>
      </c>
      <c r="B66" s="5">
        <v>2008</v>
      </c>
      <c r="C66" s="5">
        <f>COUNTIFS('RedHill Release Incidents'!$A$2:$A$66,B66,'RedHill Release Incidents'!$Q$2:$Q$66,"OP",'RedHill Release Incidents'!$O$2:$O$66,"!TT")</f>
        <v>2</v>
      </c>
    </row>
    <row r="67" spans="1:3" x14ac:dyDescent="0.25">
      <c r="A67" s="5">
        <v>66</v>
      </c>
      <c r="B67" s="5">
        <v>2009</v>
      </c>
      <c r="C67" s="5">
        <f>COUNTIFS('RedHill Release Incidents'!$A$2:$A$66,B67,'RedHill Release Incidents'!$Q$2:$Q$66,"OP",'RedHill Release Incidents'!$O$2:$O$66,"!TT")</f>
        <v>0</v>
      </c>
    </row>
    <row r="68" spans="1:3" x14ac:dyDescent="0.25">
      <c r="A68" s="5">
        <v>67</v>
      </c>
      <c r="B68" s="5">
        <v>2010</v>
      </c>
      <c r="C68" s="5">
        <f>COUNTIFS('RedHill Release Incidents'!$A$2:$A$66,B68,'RedHill Release Incidents'!$Q$2:$Q$66,"OP",'RedHill Release Incidents'!$O$2:$O$66,"!TT")</f>
        <v>1</v>
      </c>
    </row>
    <row r="69" spans="1:3" x14ac:dyDescent="0.25">
      <c r="A69" s="5">
        <v>68</v>
      </c>
      <c r="B69" s="5">
        <v>2011</v>
      </c>
      <c r="C69" s="5">
        <f>COUNTIFS('RedHill Release Incidents'!$A$2:$A$66,B69,'RedHill Release Incidents'!$Q$2:$Q$66,"OP",'RedHill Release Incidents'!$O$2:$O$66,"!TT")</f>
        <v>0</v>
      </c>
    </row>
    <row r="70" spans="1:3" x14ac:dyDescent="0.25">
      <c r="A70" s="5">
        <v>69</v>
      </c>
      <c r="B70" s="5">
        <v>2012</v>
      </c>
      <c r="C70" s="5">
        <f>COUNTIFS('RedHill Release Incidents'!$A$2:$A$66,B70,'RedHill Release Incidents'!$Q$2:$Q$66,"OP",'RedHill Release Incidents'!$O$2:$O$66,"!TT")</f>
        <v>0</v>
      </c>
    </row>
    <row r="71" spans="1:3" x14ac:dyDescent="0.25">
      <c r="A71" s="5">
        <v>70</v>
      </c>
      <c r="B71" s="5">
        <v>2013</v>
      </c>
      <c r="C71" s="5">
        <f>COUNTIFS('RedHill Release Incidents'!$A$2:$A$66,B71,'RedHill Release Incidents'!$Q$2:$Q$66,"OP",'RedHill Release Incidents'!$O$2:$O$66,"!TT")</f>
        <v>0</v>
      </c>
    </row>
    <row r="72" spans="1:3" x14ac:dyDescent="0.25">
      <c r="A72" s="5">
        <v>71</v>
      </c>
      <c r="B72" s="5">
        <v>2014</v>
      </c>
      <c r="C72" s="5">
        <f>COUNTIFS('RedHill Release Incidents'!$A$2:$A$66,B72,'RedHill Release Incidents'!$Q$2:$Q$66,"OP",'RedHill Release Incidents'!$O$2:$O$66,"!TT")</f>
        <v>0</v>
      </c>
    </row>
    <row r="73" spans="1:3" x14ac:dyDescent="0.25">
      <c r="A73" s="5">
        <v>72</v>
      </c>
      <c r="B73" s="5">
        <v>2015</v>
      </c>
      <c r="C73" s="5">
        <f>COUNTIFS('RedHill Release Incidents'!$A$2:$A$66,B73,'RedHill Release Incidents'!$Q$2:$Q$66,"OP",'RedHill Release Incidents'!$O$2:$O$66,"!TT")</f>
        <v>0</v>
      </c>
    </row>
    <row r="74" spans="1:3" x14ac:dyDescent="0.25">
      <c r="A74" s="5">
        <v>73</v>
      </c>
      <c r="B74" s="5">
        <v>2016</v>
      </c>
      <c r="C74" s="5">
        <f>COUNTIFS('RedHill Release Incidents'!$A$2:$A$66,B74,'RedHill Release Incidents'!$Q$2:$Q$66,"OP",'RedHill Release Incidents'!$O$2:$O$66,"!TT")</f>
        <v>0</v>
      </c>
    </row>
    <row r="75" spans="1:3" x14ac:dyDescent="0.25">
      <c r="A75" s="5">
        <v>74</v>
      </c>
      <c r="B75" s="5">
        <v>2017</v>
      </c>
      <c r="C75" s="5">
        <f>COUNTIFS('RedHill Release Incidents'!$A$2:$A$66,B75,'RedHill Release Incidents'!$Q$2:$Q$66,"OP",'RedHill Release Incidents'!$O$2:$O$66,"!TT")</f>
        <v>0</v>
      </c>
    </row>
    <row r="76" spans="1:3" x14ac:dyDescent="0.25">
      <c r="C76">
        <f>SUM(C5:C72)</f>
        <v>18</v>
      </c>
    </row>
  </sheetData>
  <sheetProtection algorithmName="SHA-512" hashValue="k25mdKaomkafDX0Z6lslfGWwRVua/GfawoYy7cIejF2f0BxkZdZq9BHDKLVt0pupSCJMEJ0euC/zZNj9G5QBPw==" saltValue="LfenUnxFn/0yNZRhFBRueA==" spinCount="100000" sheet="1" objects="1" scenarios="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dimension ref="A1:W224"/>
  <sheetViews>
    <sheetView zoomScale="70" zoomScaleNormal="70" workbookViewId="0">
      <pane ySplit="1" topLeftCell="A8" activePane="bottomLeft" state="frozen"/>
      <selection pane="bottomLeft"/>
    </sheetView>
  </sheetViews>
  <sheetFormatPr defaultRowHeight="15" x14ac:dyDescent="0.25"/>
  <cols>
    <col min="1" max="1" width="20.7109375" customWidth="1"/>
    <col min="2" max="2" width="24.5703125" customWidth="1"/>
    <col min="3" max="3" width="21.140625" customWidth="1"/>
    <col min="4" max="4" width="13.5703125" customWidth="1"/>
    <col min="7" max="7" width="16" customWidth="1"/>
    <col min="8" max="8" width="13.42578125" customWidth="1"/>
    <col min="9" max="9" width="28.7109375" customWidth="1"/>
    <col min="10" max="10" width="35" customWidth="1"/>
    <col min="11" max="11" width="72.5703125" customWidth="1"/>
    <col min="12" max="12" width="28.7109375" customWidth="1"/>
    <col min="13" max="13" width="20.85546875" customWidth="1"/>
    <col min="14" max="14" width="21.5703125" customWidth="1"/>
    <col min="15" max="15" width="44.7109375" customWidth="1"/>
    <col min="16" max="16" width="62.7109375" customWidth="1"/>
  </cols>
  <sheetData>
    <row r="1" spans="1:16" s="3" customFormat="1" ht="30" customHeight="1" x14ac:dyDescent="0.25">
      <c r="A1" s="16" t="s">
        <v>167</v>
      </c>
      <c r="B1" s="16" t="s">
        <v>168</v>
      </c>
      <c r="C1" s="16" t="s">
        <v>169</v>
      </c>
      <c r="D1" s="16" t="s">
        <v>170</v>
      </c>
      <c r="E1" s="16" t="s">
        <v>171</v>
      </c>
      <c r="F1" s="16" t="s">
        <v>172</v>
      </c>
      <c r="G1" s="16" t="s">
        <v>173</v>
      </c>
      <c r="H1" s="16" t="s">
        <v>490</v>
      </c>
      <c r="I1" s="16" t="s">
        <v>174</v>
      </c>
      <c r="J1" s="16" t="s">
        <v>175</v>
      </c>
      <c r="K1" s="16" t="s">
        <v>176</v>
      </c>
      <c r="L1" s="16" t="s">
        <v>177</v>
      </c>
      <c r="M1" s="17" t="s">
        <v>859</v>
      </c>
      <c r="N1" s="16" t="s">
        <v>178</v>
      </c>
      <c r="O1" s="16" t="s">
        <v>179</v>
      </c>
      <c r="P1" s="16" t="s">
        <v>180</v>
      </c>
    </row>
    <row r="2" spans="1:16" hidden="1" x14ac:dyDescent="0.25">
      <c r="A2" t="s">
        <v>181</v>
      </c>
      <c r="B2" t="s">
        <v>182</v>
      </c>
      <c r="C2" s="1">
        <v>27846</v>
      </c>
      <c r="D2">
        <v>663</v>
      </c>
      <c r="E2" t="s">
        <v>183</v>
      </c>
      <c r="F2" t="s">
        <v>184</v>
      </c>
      <c r="G2">
        <v>2004</v>
      </c>
      <c r="H2" s="49">
        <f>2017-G2</f>
        <v>13</v>
      </c>
      <c r="I2" t="s">
        <v>185</v>
      </c>
      <c r="J2" t="s">
        <v>186</v>
      </c>
      <c r="K2" t="s">
        <v>187</v>
      </c>
      <c r="M2" s="49"/>
    </row>
    <row r="3" spans="1:16" hidden="1" x14ac:dyDescent="0.25">
      <c r="A3" t="s">
        <v>181</v>
      </c>
      <c r="B3" t="s">
        <v>188</v>
      </c>
      <c r="C3" s="1">
        <v>27846</v>
      </c>
      <c r="D3">
        <v>663</v>
      </c>
      <c r="E3" t="s">
        <v>183</v>
      </c>
      <c r="F3" t="s">
        <v>184</v>
      </c>
      <c r="G3">
        <v>2004</v>
      </c>
      <c r="H3" s="49">
        <f t="shared" ref="H3:H66" si="0">2017-G3</f>
        <v>13</v>
      </c>
      <c r="I3" t="s">
        <v>185</v>
      </c>
      <c r="J3" t="s">
        <v>186</v>
      </c>
      <c r="K3" t="s">
        <v>187</v>
      </c>
      <c r="M3" s="49"/>
    </row>
    <row r="4" spans="1:16" hidden="1" x14ac:dyDescent="0.25">
      <c r="A4" t="s">
        <v>181</v>
      </c>
      <c r="B4" t="s">
        <v>189</v>
      </c>
      <c r="C4" s="1">
        <v>792036</v>
      </c>
      <c r="D4" s="1">
        <v>18858</v>
      </c>
      <c r="E4" t="s">
        <v>190</v>
      </c>
      <c r="F4" t="s">
        <v>184</v>
      </c>
      <c r="G4">
        <v>1973</v>
      </c>
      <c r="H4" s="49">
        <f t="shared" si="0"/>
        <v>44</v>
      </c>
      <c r="I4" t="s">
        <v>191</v>
      </c>
      <c r="J4" t="s">
        <v>192</v>
      </c>
      <c r="K4" t="s">
        <v>193</v>
      </c>
      <c r="M4" s="49"/>
    </row>
    <row r="5" spans="1:16" hidden="1" x14ac:dyDescent="0.25">
      <c r="A5" t="s">
        <v>181</v>
      </c>
      <c r="B5" t="s">
        <v>194</v>
      </c>
      <c r="C5" s="1">
        <v>576366</v>
      </c>
      <c r="D5" s="1">
        <v>13723</v>
      </c>
      <c r="E5" t="s">
        <v>195</v>
      </c>
      <c r="F5" t="s">
        <v>184</v>
      </c>
      <c r="G5">
        <v>1995</v>
      </c>
      <c r="H5" s="49">
        <f t="shared" si="0"/>
        <v>22</v>
      </c>
      <c r="I5" t="s">
        <v>191</v>
      </c>
      <c r="J5" t="s">
        <v>196</v>
      </c>
      <c r="K5" t="s">
        <v>193</v>
      </c>
      <c r="M5" s="49"/>
    </row>
    <row r="6" spans="1:16" hidden="1" x14ac:dyDescent="0.25">
      <c r="A6" t="s">
        <v>181</v>
      </c>
      <c r="B6" t="s">
        <v>197</v>
      </c>
      <c r="C6" s="1">
        <v>6299958</v>
      </c>
      <c r="D6" s="1">
        <v>149999</v>
      </c>
      <c r="E6" t="s">
        <v>198</v>
      </c>
      <c r="F6" t="s">
        <v>184</v>
      </c>
      <c r="G6">
        <v>1995</v>
      </c>
      <c r="H6" s="49">
        <f t="shared" si="0"/>
        <v>22</v>
      </c>
      <c r="I6" t="s">
        <v>191</v>
      </c>
      <c r="J6" t="s">
        <v>199</v>
      </c>
      <c r="K6" t="s">
        <v>193</v>
      </c>
      <c r="M6" s="49"/>
    </row>
    <row r="7" spans="1:16" hidden="1" x14ac:dyDescent="0.25">
      <c r="A7" t="s">
        <v>181</v>
      </c>
      <c r="B7" t="s">
        <v>200</v>
      </c>
      <c r="C7" s="1">
        <v>6299622</v>
      </c>
      <c r="D7" s="1">
        <v>149991</v>
      </c>
      <c r="E7" t="s">
        <v>201</v>
      </c>
      <c r="F7" t="s">
        <v>184</v>
      </c>
      <c r="G7">
        <v>1995</v>
      </c>
      <c r="H7" s="49">
        <f t="shared" si="0"/>
        <v>22</v>
      </c>
      <c r="I7" t="s">
        <v>191</v>
      </c>
      <c r="J7" t="s">
        <v>199</v>
      </c>
      <c r="K7" t="s">
        <v>193</v>
      </c>
      <c r="L7" t="s">
        <v>202</v>
      </c>
      <c r="M7" s="49" t="s">
        <v>111</v>
      </c>
      <c r="N7" t="s">
        <v>203</v>
      </c>
      <c r="O7" t="s">
        <v>204</v>
      </c>
    </row>
    <row r="8" spans="1:16" x14ac:dyDescent="0.25">
      <c r="A8" t="s">
        <v>181</v>
      </c>
      <c r="B8" t="s">
        <v>205</v>
      </c>
      <c r="C8" s="1">
        <v>5100228</v>
      </c>
      <c r="D8" s="1">
        <v>121434</v>
      </c>
      <c r="E8" t="s">
        <v>198</v>
      </c>
      <c r="F8" t="s">
        <v>206</v>
      </c>
      <c r="G8">
        <v>1998</v>
      </c>
      <c r="H8" s="49">
        <f t="shared" si="0"/>
        <v>19</v>
      </c>
      <c r="I8" t="s">
        <v>191</v>
      </c>
      <c r="J8" t="s">
        <v>207</v>
      </c>
      <c r="K8" t="s">
        <v>208</v>
      </c>
      <c r="M8" s="49"/>
    </row>
    <row r="9" spans="1:16" x14ac:dyDescent="0.25">
      <c r="A9" t="s">
        <v>181</v>
      </c>
      <c r="B9" t="s">
        <v>209</v>
      </c>
      <c r="C9" s="1">
        <v>4952850</v>
      </c>
      <c r="D9" s="1">
        <v>117925</v>
      </c>
      <c r="E9" t="s">
        <v>201</v>
      </c>
      <c r="F9" t="s">
        <v>206</v>
      </c>
      <c r="G9">
        <v>1998</v>
      </c>
      <c r="H9" s="49">
        <f t="shared" si="0"/>
        <v>19</v>
      </c>
      <c r="I9" t="s">
        <v>191</v>
      </c>
      <c r="J9" t="s">
        <v>207</v>
      </c>
      <c r="K9" t="s">
        <v>208</v>
      </c>
      <c r="M9" s="49"/>
    </row>
    <row r="10" spans="1:16" x14ac:dyDescent="0.25">
      <c r="A10" t="s">
        <v>181</v>
      </c>
      <c r="B10" t="s">
        <v>210</v>
      </c>
      <c r="C10" s="1">
        <v>5097708</v>
      </c>
      <c r="D10" s="1">
        <v>121374</v>
      </c>
      <c r="E10" t="s">
        <v>198</v>
      </c>
      <c r="F10" t="s">
        <v>206</v>
      </c>
      <c r="G10">
        <v>2002</v>
      </c>
      <c r="H10" s="49">
        <f t="shared" si="0"/>
        <v>15</v>
      </c>
      <c r="I10" t="s">
        <v>191</v>
      </c>
      <c r="J10" t="s">
        <v>207</v>
      </c>
      <c r="K10" t="s">
        <v>208</v>
      </c>
      <c r="M10" s="49"/>
    </row>
    <row r="11" spans="1:16" x14ac:dyDescent="0.25">
      <c r="A11" t="s">
        <v>181</v>
      </c>
      <c r="B11" t="s">
        <v>211</v>
      </c>
      <c r="C11" s="1">
        <v>5106318</v>
      </c>
      <c r="D11" s="1">
        <v>121579</v>
      </c>
      <c r="E11" t="s">
        <v>201</v>
      </c>
      <c r="F11" t="s">
        <v>206</v>
      </c>
      <c r="G11">
        <v>2002</v>
      </c>
      <c r="H11" s="49">
        <f t="shared" si="0"/>
        <v>15</v>
      </c>
      <c r="I11" t="s">
        <v>191</v>
      </c>
      <c r="J11" t="s">
        <v>207</v>
      </c>
      <c r="K11" t="s">
        <v>208</v>
      </c>
      <c r="M11" s="49"/>
    </row>
    <row r="12" spans="1:16" hidden="1" x14ac:dyDescent="0.25">
      <c r="A12" t="s">
        <v>181</v>
      </c>
      <c r="B12" t="s">
        <v>212</v>
      </c>
      <c r="C12" s="1">
        <v>303996</v>
      </c>
      <c r="D12" s="1">
        <v>7238</v>
      </c>
      <c r="E12" t="s">
        <v>201</v>
      </c>
      <c r="F12" t="s">
        <v>184</v>
      </c>
      <c r="G12">
        <v>1995</v>
      </c>
      <c r="H12" s="49">
        <f t="shared" si="0"/>
        <v>22</v>
      </c>
      <c r="I12" t="s">
        <v>191</v>
      </c>
      <c r="J12" t="s">
        <v>213</v>
      </c>
      <c r="K12" t="s">
        <v>193</v>
      </c>
      <c r="M12" s="49"/>
    </row>
    <row r="13" spans="1:16" hidden="1" x14ac:dyDescent="0.25">
      <c r="A13" t="s">
        <v>181</v>
      </c>
      <c r="B13" t="s">
        <v>214</v>
      </c>
      <c r="C13" s="1">
        <v>305130</v>
      </c>
      <c r="D13" s="1">
        <v>7265</v>
      </c>
      <c r="E13" t="s">
        <v>198</v>
      </c>
      <c r="F13" t="s">
        <v>184</v>
      </c>
      <c r="G13">
        <v>1995</v>
      </c>
      <c r="H13" s="49">
        <f t="shared" si="0"/>
        <v>22</v>
      </c>
      <c r="I13" t="s">
        <v>191</v>
      </c>
      <c r="J13" t="s">
        <v>213</v>
      </c>
      <c r="K13" t="s">
        <v>193</v>
      </c>
      <c r="M13" s="49"/>
    </row>
    <row r="14" spans="1:16" hidden="1" x14ac:dyDescent="0.25">
      <c r="A14" t="s">
        <v>181</v>
      </c>
      <c r="B14" t="s">
        <v>215</v>
      </c>
      <c r="C14" s="1">
        <v>281820</v>
      </c>
      <c r="D14" s="1">
        <v>6710</v>
      </c>
      <c r="E14" t="s">
        <v>195</v>
      </c>
      <c r="F14" t="s">
        <v>184</v>
      </c>
      <c r="G14">
        <v>1995</v>
      </c>
      <c r="H14" s="49">
        <f t="shared" si="0"/>
        <v>22</v>
      </c>
      <c r="I14" t="s">
        <v>191</v>
      </c>
      <c r="J14" t="s">
        <v>213</v>
      </c>
      <c r="K14" t="s">
        <v>193</v>
      </c>
      <c r="M14" s="49"/>
    </row>
    <row r="15" spans="1:16" x14ac:dyDescent="0.25">
      <c r="A15" t="s">
        <v>181</v>
      </c>
      <c r="B15" t="s">
        <v>216</v>
      </c>
      <c r="C15" s="1">
        <v>13820268</v>
      </c>
      <c r="D15" s="1">
        <v>329054</v>
      </c>
      <c r="E15" t="s">
        <v>201</v>
      </c>
      <c r="F15" t="s">
        <v>206</v>
      </c>
      <c r="G15">
        <v>1985</v>
      </c>
      <c r="H15" s="49">
        <f t="shared" si="0"/>
        <v>32</v>
      </c>
      <c r="I15" t="s">
        <v>191</v>
      </c>
      <c r="J15" t="s">
        <v>217</v>
      </c>
      <c r="K15" t="s">
        <v>218</v>
      </c>
      <c r="M15" s="49"/>
    </row>
    <row r="16" spans="1:16" x14ac:dyDescent="0.25">
      <c r="A16" t="s">
        <v>219</v>
      </c>
      <c r="B16" t="s">
        <v>220</v>
      </c>
      <c r="C16" s="1">
        <v>9659454</v>
      </c>
      <c r="D16" s="1">
        <v>229987</v>
      </c>
      <c r="E16" t="s">
        <v>198</v>
      </c>
      <c r="F16" t="s">
        <v>206</v>
      </c>
      <c r="G16">
        <v>1987</v>
      </c>
      <c r="H16" s="49">
        <f t="shared" si="0"/>
        <v>30</v>
      </c>
      <c r="I16" t="s">
        <v>221</v>
      </c>
      <c r="J16" t="s">
        <v>222</v>
      </c>
      <c r="K16" t="s">
        <v>218</v>
      </c>
      <c r="L16" t="s">
        <v>223</v>
      </c>
      <c r="M16" s="49"/>
      <c r="N16" t="s">
        <v>223</v>
      </c>
      <c r="O16" t="s">
        <v>223</v>
      </c>
      <c r="P16" t="s">
        <v>224</v>
      </c>
    </row>
    <row r="17" spans="1:23" x14ac:dyDescent="0.25">
      <c r="A17" t="s">
        <v>219</v>
      </c>
      <c r="B17" t="s">
        <v>225</v>
      </c>
      <c r="C17" s="1">
        <v>14607852</v>
      </c>
      <c r="D17" s="1">
        <v>347806</v>
      </c>
      <c r="E17" t="s">
        <v>198</v>
      </c>
      <c r="F17" t="s">
        <v>206</v>
      </c>
      <c r="G17">
        <v>1987</v>
      </c>
      <c r="H17" s="49">
        <f t="shared" si="0"/>
        <v>30</v>
      </c>
      <c r="I17" t="s">
        <v>221</v>
      </c>
      <c r="J17" t="s">
        <v>226</v>
      </c>
      <c r="K17" t="s">
        <v>218</v>
      </c>
      <c r="L17" t="s">
        <v>223</v>
      </c>
      <c r="M17" s="49"/>
      <c r="N17" t="s">
        <v>223</v>
      </c>
      <c r="O17" t="s">
        <v>223</v>
      </c>
      <c r="P17" t="s">
        <v>227</v>
      </c>
    </row>
    <row r="18" spans="1:23" x14ac:dyDescent="0.25">
      <c r="A18" t="s">
        <v>219</v>
      </c>
      <c r="B18" t="s">
        <v>228</v>
      </c>
      <c r="C18" s="1">
        <v>12801852</v>
      </c>
      <c r="D18" s="1">
        <v>304806</v>
      </c>
      <c r="E18" t="s">
        <v>201</v>
      </c>
      <c r="F18" t="s">
        <v>206</v>
      </c>
      <c r="G18">
        <v>1984</v>
      </c>
      <c r="H18" s="49">
        <f t="shared" si="0"/>
        <v>33</v>
      </c>
      <c r="I18" t="s">
        <v>221</v>
      </c>
      <c r="J18" t="s">
        <v>229</v>
      </c>
      <c r="K18" t="s">
        <v>218</v>
      </c>
      <c r="L18" t="s">
        <v>223</v>
      </c>
      <c r="M18" s="49"/>
      <c r="N18" t="s">
        <v>223</v>
      </c>
      <c r="O18" t="s">
        <v>223</v>
      </c>
      <c r="P18" t="s">
        <v>227</v>
      </c>
    </row>
    <row r="19" spans="1:23" x14ac:dyDescent="0.25">
      <c r="A19" t="s">
        <v>219</v>
      </c>
      <c r="B19" t="s">
        <v>230</v>
      </c>
      <c r="C19" s="1">
        <v>17678052</v>
      </c>
      <c r="D19" s="1">
        <v>420906</v>
      </c>
      <c r="E19" t="s">
        <v>201</v>
      </c>
      <c r="F19" t="s">
        <v>206</v>
      </c>
      <c r="G19">
        <v>1982</v>
      </c>
      <c r="H19" s="49">
        <f t="shared" si="0"/>
        <v>35</v>
      </c>
      <c r="I19" t="s">
        <v>221</v>
      </c>
      <c r="J19" t="s">
        <v>231</v>
      </c>
      <c r="K19" t="s">
        <v>218</v>
      </c>
      <c r="L19" t="s">
        <v>223</v>
      </c>
      <c r="M19" s="49"/>
      <c r="N19" t="s">
        <v>223</v>
      </c>
      <c r="O19" t="s">
        <v>223</v>
      </c>
      <c r="P19" t="s">
        <v>224</v>
      </c>
    </row>
    <row r="20" spans="1:23" hidden="1" x14ac:dyDescent="0.25">
      <c r="A20" t="s">
        <v>219</v>
      </c>
      <c r="B20" t="s">
        <v>232</v>
      </c>
      <c r="C20" s="1">
        <v>392868</v>
      </c>
      <c r="D20" s="1">
        <v>9354</v>
      </c>
      <c r="E20" t="s">
        <v>198</v>
      </c>
      <c r="F20" t="s">
        <v>184</v>
      </c>
      <c r="G20">
        <v>1953</v>
      </c>
      <c r="H20" s="49">
        <f t="shared" si="0"/>
        <v>64</v>
      </c>
      <c r="I20" t="s">
        <v>191</v>
      </c>
      <c r="J20" t="s">
        <v>233</v>
      </c>
      <c r="K20" t="s">
        <v>193</v>
      </c>
      <c r="L20" t="s">
        <v>223</v>
      </c>
      <c r="M20" s="49"/>
      <c r="N20" t="s">
        <v>223</v>
      </c>
      <c r="O20" t="s">
        <v>223</v>
      </c>
      <c r="P20" t="s">
        <v>234</v>
      </c>
    </row>
    <row r="21" spans="1:23" x14ac:dyDescent="0.25">
      <c r="A21" t="s">
        <v>235</v>
      </c>
      <c r="B21" t="s">
        <v>236</v>
      </c>
      <c r="C21" s="1">
        <v>15615936</v>
      </c>
      <c r="D21" s="1">
        <v>371808</v>
      </c>
      <c r="E21" t="s">
        <v>198</v>
      </c>
      <c r="F21" t="s">
        <v>206</v>
      </c>
      <c r="G21">
        <v>1984</v>
      </c>
      <c r="H21" s="49">
        <f t="shared" si="0"/>
        <v>33</v>
      </c>
      <c r="I21" t="s">
        <v>191</v>
      </c>
      <c r="J21" t="s">
        <v>237</v>
      </c>
      <c r="K21" t="s">
        <v>218</v>
      </c>
      <c r="L21" t="s">
        <v>223</v>
      </c>
      <c r="M21" s="49"/>
      <c r="N21" t="s">
        <v>223</v>
      </c>
      <c r="O21" t="s">
        <v>223</v>
      </c>
      <c r="P21" t="s">
        <v>227</v>
      </c>
    </row>
    <row r="22" spans="1:23" ht="45" x14ac:dyDescent="0.25">
      <c r="A22" t="s">
        <v>235</v>
      </c>
      <c r="B22" t="s">
        <v>238</v>
      </c>
      <c r="C22" s="1">
        <v>15614928</v>
      </c>
      <c r="D22" s="1">
        <v>371784</v>
      </c>
      <c r="E22" t="s">
        <v>198</v>
      </c>
      <c r="F22" t="s">
        <v>206</v>
      </c>
      <c r="G22">
        <v>1985</v>
      </c>
      <c r="H22" s="49">
        <f t="shared" si="0"/>
        <v>32</v>
      </c>
      <c r="I22" t="s">
        <v>191</v>
      </c>
      <c r="J22" t="s">
        <v>239</v>
      </c>
      <c r="K22" t="s">
        <v>240</v>
      </c>
      <c r="L22" s="4" t="s">
        <v>241</v>
      </c>
      <c r="M22" s="49" t="s">
        <v>111</v>
      </c>
      <c r="N22" t="s">
        <v>223</v>
      </c>
      <c r="O22" t="s">
        <v>223</v>
      </c>
      <c r="P22" t="s">
        <v>227</v>
      </c>
    </row>
    <row r="23" spans="1:23" x14ac:dyDescent="0.25">
      <c r="A23" t="s">
        <v>235</v>
      </c>
      <c r="B23" t="s">
        <v>242</v>
      </c>
      <c r="C23" s="1">
        <v>15638658</v>
      </c>
      <c r="D23" s="1">
        <v>372349</v>
      </c>
      <c r="E23" t="s">
        <v>198</v>
      </c>
      <c r="F23" t="s">
        <v>206</v>
      </c>
      <c r="G23">
        <v>1988</v>
      </c>
      <c r="H23" s="49">
        <f t="shared" si="0"/>
        <v>29</v>
      </c>
      <c r="I23" t="s">
        <v>191</v>
      </c>
      <c r="J23" t="s">
        <v>237</v>
      </c>
      <c r="K23" t="s">
        <v>218</v>
      </c>
      <c r="L23" t="s">
        <v>223</v>
      </c>
      <c r="M23" s="49"/>
      <c r="N23" t="s">
        <v>223</v>
      </c>
      <c r="O23" t="s">
        <v>223</v>
      </c>
      <c r="P23" t="s">
        <v>227</v>
      </c>
    </row>
    <row r="24" spans="1:23" x14ac:dyDescent="0.25">
      <c r="A24" t="s">
        <v>235</v>
      </c>
      <c r="B24" t="s">
        <v>243</v>
      </c>
      <c r="C24" s="1">
        <v>15615264</v>
      </c>
      <c r="D24" s="1">
        <v>371792</v>
      </c>
      <c r="E24" t="s">
        <v>201</v>
      </c>
      <c r="F24" t="s">
        <v>206</v>
      </c>
      <c r="G24">
        <v>1986</v>
      </c>
      <c r="H24" s="49">
        <f t="shared" si="0"/>
        <v>31</v>
      </c>
      <c r="I24" t="s">
        <v>191</v>
      </c>
      <c r="J24" t="s">
        <v>239</v>
      </c>
      <c r="K24" t="s">
        <v>218</v>
      </c>
      <c r="M24" s="49"/>
    </row>
    <row r="25" spans="1:23" x14ac:dyDescent="0.25">
      <c r="A25" t="s">
        <v>235</v>
      </c>
      <c r="B25" t="s">
        <v>244</v>
      </c>
      <c r="C25" s="1">
        <v>15647856</v>
      </c>
      <c r="D25" s="1">
        <v>372568</v>
      </c>
      <c r="E25" t="s">
        <v>201</v>
      </c>
      <c r="F25" t="s">
        <v>206</v>
      </c>
      <c r="G25">
        <v>1989</v>
      </c>
      <c r="H25" s="49">
        <f t="shared" si="0"/>
        <v>28</v>
      </c>
      <c r="I25" t="s">
        <v>191</v>
      </c>
      <c r="J25" t="s">
        <v>239</v>
      </c>
      <c r="K25" t="s">
        <v>218</v>
      </c>
      <c r="M25" s="49"/>
    </row>
    <row r="26" spans="1:23" x14ac:dyDescent="0.25">
      <c r="A26" t="s">
        <v>235</v>
      </c>
      <c r="B26" t="s">
        <v>245</v>
      </c>
      <c r="C26" s="1">
        <v>15646008</v>
      </c>
      <c r="D26" s="1">
        <v>372524</v>
      </c>
      <c r="E26" t="s">
        <v>201</v>
      </c>
      <c r="F26" t="s">
        <v>206</v>
      </c>
      <c r="G26">
        <v>1990</v>
      </c>
      <c r="H26" s="49">
        <f t="shared" si="0"/>
        <v>27</v>
      </c>
      <c r="I26" t="s">
        <v>191</v>
      </c>
      <c r="J26" t="s">
        <v>237</v>
      </c>
      <c r="K26" t="s">
        <v>218</v>
      </c>
      <c r="L26" t="s">
        <v>223</v>
      </c>
      <c r="M26" s="49"/>
      <c r="N26" t="s">
        <v>223</v>
      </c>
      <c r="O26" t="s">
        <v>223</v>
      </c>
      <c r="P26" t="s">
        <v>246</v>
      </c>
      <c r="W26" s="48"/>
    </row>
    <row r="27" spans="1:23" x14ac:dyDescent="0.25">
      <c r="A27" t="s">
        <v>235</v>
      </c>
      <c r="B27" t="s">
        <v>247</v>
      </c>
      <c r="C27" s="1">
        <v>15646176</v>
      </c>
      <c r="D27" s="1">
        <v>372528</v>
      </c>
      <c r="E27" t="s">
        <v>201</v>
      </c>
      <c r="F27" t="s">
        <v>206</v>
      </c>
      <c r="G27">
        <v>1991</v>
      </c>
      <c r="H27" s="49">
        <f t="shared" si="0"/>
        <v>26</v>
      </c>
      <c r="I27" t="s">
        <v>191</v>
      </c>
      <c r="J27" t="s">
        <v>237</v>
      </c>
      <c r="K27" t="s">
        <v>218</v>
      </c>
      <c r="M27" s="49"/>
    </row>
    <row r="28" spans="1:23" x14ac:dyDescent="0.25">
      <c r="A28" t="s">
        <v>235</v>
      </c>
      <c r="B28" t="s">
        <v>248</v>
      </c>
      <c r="C28" s="1">
        <v>4194246</v>
      </c>
      <c r="D28" s="1">
        <v>99863</v>
      </c>
      <c r="E28" t="s">
        <v>201</v>
      </c>
      <c r="F28" t="s">
        <v>206</v>
      </c>
      <c r="G28">
        <v>1994</v>
      </c>
      <c r="H28" s="49">
        <f t="shared" si="0"/>
        <v>23</v>
      </c>
      <c r="I28" t="s">
        <v>191</v>
      </c>
      <c r="J28" t="s">
        <v>249</v>
      </c>
      <c r="K28" t="s">
        <v>208</v>
      </c>
      <c r="L28" t="s">
        <v>223</v>
      </c>
      <c r="M28" s="49"/>
      <c r="N28" t="s">
        <v>223</v>
      </c>
      <c r="O28" t="s">
        <v>223</v>
      </c>
      <c r="P28" t="s">
        <v>250</v>
      </c>
    </row>
    <row r="29" spans="1:23" hidden="1" x14ac:dyDescent="0.25">
      <c r="A29" t="s">
        <v>235</v>
      </c>
      <c r="B29" t="s">
        <v>251</v>
      </c>
      <c r="C29" s="1">
        <v>399336</v>
      </c>
      <c r="D29" s="1">
        <v>9508</v>
      </c>
      <c r="E29" t="s">
        <v>198</v>
      </c>
      <c r="F29" t="s">
        <v>184</v>
      </c>
      <c r="G29">
        <v>1974</v>
      </c>
      <c r="H29" s="49">
        <f t="shared" si="0"/>
        <v>43</v>
      </c>
      <c r="I29" t="s">
        <v>191</v>
      </c>
      <c r="J29" t="s">
        <v>252</v>
      </c>
      <c r="K29" t="s">
        <v>193</v>
      </c>
      <c r="L29" t="s">
        <v>223</v>
      </c>
      <c r="M29" s="49"/>
      <c r="N29" t="s">
        <v>223</v>
      </c>
      <c r="O29" t="s">
        <v>223</v>
      </c>
      <c r="P29" t="s">
        <v>253</v>
      </c>
    </row>
    <row r="30" spans="1:23" hidden="1" x14ac:dyDescent="0.25">
      <c r="A30" t="s">
        <v>235</v>
      </c>
      <c r="B30" t="s">
        <v>254</v>
      </c>
      <c r="C30" s="1">
        <v>805476</v>
      </c>
      <c r="D30" s="1">
        <v>19178</v>
      </c>
      <c r="E30" t="s">
        <v>198</v>
      </c>
      <c r="F30" t="s">
        <v>184</v>
      </c>
      <c r="G30">
        <v>1973</v>
      </c>
      <c r="H30" s="49">
        <f t="shared" si="0"/>
        <v>44</v>
      </c>
      <c r="I30" t="s">
        <v>191</v>
      </c>
      <c r="J30" t="s">
        <v>192</v>
      </c>
      <c r="K30" t="s">
        <v>193</v>
      </c>
      <c r="L30" t="s">
        <v>223</v>
      </c>
      <c r="M30" s="49"/>
      <c r="N30" t="s">
        <v>223</v>
      </c>
      <c r="O30" t="s">
        <v>223</v>
      </c>
      <c r="P30" t="s">
        <v>255</v>
      </c>
    </row>
    <row r="31" spans="1:23" x14ac:dyDescent="0.25">
      <c r="A31" t="s">
        <v>256</v>
      </c>
      <c r="B31" t="s">
        <v>257</v>
      </c>
      <c r="C31" s="1">
        <v>8387400</v>
      </c>
      <c r="D31" s="1">
        <v>199700</v>
      </c>
      <c r="E31" t="s">
        <v>258</v>
      </c>
      <c r="F31" t="s">
        <v>206</v>
      </c>
      <c r="G31">
        <v>1937</v>
      </c>
      <c r="H31" s="49">
        <f t="shared" si="0"/>
        <v>80</v>
      </c>
      <c r="I31" t="s">
        <v>191</v>
      </c>
      <c r="J31" t="s">
        <v>259</v>
      </c>
      <c r="K31" t="s">
        <v>260</v>
      </c>
      <c r="M31" s="49"/>
    </row>
    <row r="32" spans="1:23" x14ac:dyDescent="0.25">
      <c r="A32" t="s">
        <v>256</v>
      </c>
      <c r="B32">
        <v>102</v>
      </c>
      <c r="C32" s="1">
        <v>13116096</v>
      </c>
      <c r="D32" s="1">
        <v>312288</v>
      </c>
      <c r="E32" t="s">
        <v>201</v>
      </c>
      <c r="F32" t="s">
        <v>206</v>
      </c>
      <c r="G32">
        <v>2005</v>
      </c>
      <c r="H32" s="49">
        <f t="shared" si="0"/>
        <v>12</v>
      </c>
      <c r="I32" t="s">
        <v>191</v>
      </c>
      <c r="J32" t="s">
        <v>261</v>
      </c>
      <c r="K32" t="s">
        <v>260</v>
      </c>
      <c r="M32" s="49"/>
    </row>
    <row r="33" spans="1:16" x14ac:dyDescent="0.25">
      <c r="A33" t="s">
        <v>256</v>
      </c>
      <c r="B33" t="s">
        <v>262</v>
      </c>
      <c r="C33" s="1">
        <v>8552964</v>
      </c>
      <c r="D33" s="1">
        <v>203642</v>
      </c>
      <c r="E33" t="s">
        <v>258</v>
      </c>
      <c r="F33" t="s">
        <v>206</v>
      </c>
      <c r="G33">
        <v>1937</v>
      </c>
      <c r="H33" s="49">
        <f t="shared" si="0"/>
        <v>80</v>
      </c>
      <c r="I33" t="s">
        <v>191</v>
      </c>
      <c r="J33" t="s">
        <v>259</v>
      </c>
      <c r="K33" t="s">
        <v>260</v>
      </c>
      <c r="L33" t="s">
        <v>263</v>
      </c>
      <c r="M33" s="49" t="s">
        <v>111</v>
      </c>
      <c r="N33" t="s">
        <v>264</v>
      </c>
      <c r="O33" t="s">
        <v>265</v>
      </c>
      <c r="P33" t="s">
        <v>266</v>
      </c>
    </row>
    <row r="34" spans="1:16" x14ac:dyDescent="0.25">
      <c r="A34" t="s">
        <v>256</v>
      </c>
      <c r="B34" t="s">
        <v>267</v>
      </c>
      <c r="C34" s="1">
        <v>8547966</v>
      </c>
      <c r="D34" s="1">
        <v>203523</v>
      </c>
      <c r="E34" t="s">
        <v>198</v>
      </c>
      <c r="F34" t="s">
        <v>206</v>
      </c>
      <c r="G34">
        <v>1936</v>
      </c>
      <c r="H34" s="49">
        <f t="shared" si="0"/>
        <v>81</v>
      </c>
      <c r="I34" t="s">
        <v>191</v>
      </c>
      <c r="J34" t="s">
        <v>259</v>
      </c>
      <c r="K34" t="s">
        <v>260</v>
      </c>
      <c r="L34" t="s">
        <v>268</v>
      </c>
      <c r="M34" s="49" t="s">
        <v>111</v>
      </c>
      <c r="N34" t="s">
        <v>269</v>
      </c>
      <c r="O34" t="s">
        <v>270</v>
      </c>
      <c r="P34" t="s">
        <v>271</v>
      </c>
    </row>
    <row r="35" spans="1:16" x14ac:dyDescent="0.25">
      <c r="A35" t="s">
        <v>256</v>
      </c>
      <c r="B35" t="s">
        <v>272</v>
      </c>
      <c r="C35" s="1">
        <v>8676696</v>
      </c>
      <c r="D35" s="1">
        <v>206588</v>
      </c>
      <c r="E35" t="s">
        <v>198</v>
      </c>
      <c r="F35" t="s">
        <v>206</v>
      </c>
      <c r="G35">
        <v>2002</v>
      </c>
      <c r="H35" s="49">
        <f t="shared" si="0"/>
        <v>15</v>
      </c>
      <c r="I35" t="s">
        <v>191</v>
      </c>
      <c r="J35" t="s">
        <v>273</v>
      </c>
      <c r="K35" t="s">
        <v>260</v>
      </c>
      <c r="M35" s="49"/>
    </row>
    <row r="36" spans="1:16" x14ac:dyDescent="0.25">
      <c r="A36" t="s">
        <v>256</v>
      </c>
      <c r="B36" t="s">
        <v>274</v>
      </c>
      <c r="C36" s="1">
        <v>8789256</v>
      </c>
      <c r="D36" s="1">
        <v>209268</v>
      </c>
      <c r="E36" t="s">
        <v>198</v>
      </c>
      <c r="F36" t="s">
        <v>206</v>
      </c>
      <c r="G36">
        <v>1936</v>
      </c>
      <c r="H36" s="49">
        <f t="shared" si="0"/>
        <v>81</v>
      </c>
      <c r="I36" t="s">
        <v>191</v>
      </c>
      <c r="J36" t="s">
        <v>259</v>
      </c>
      <c r="K36" t="s">
        <v>260</v>
      </c>
      <c r="L36" t="s">
        <v>275</v>
      </c>
      <c r="M36" s="49" t="s">
        <v>111</v>
      </c>
      <c r="N36" t="s">
        <v>276</v>
      </c>
      <c r="O36" t="s">
        <v>277</v>
      </c>
      <c r="P36" t="s">
        <v>278</v>
      </c>
    </row>
    <row r="37" spans="1:16" x14ac:dyDescent="0.25">
      <c r="A37" t="s">
        <v>256</v>
      </c>
      <c r="B37" t="s">
        <v>279</v>
      </c>
      <c r="C37" s="1">
        <v>8124774</v>
      </c>
      <c r="D37" s="1">
        <v>193447</v>
      </c>
      <c r="E37" t="s">
        <v>201</v>
      </c>
      <c r="F37" t="s">
        <v>206</v>
      </c>
      <c r="G37">
        <v>1936</v>
      </c>
      <c r="H37" s="49">
        <f t="shared" si="0"/>
        <v>81</v>
      </c>
      <c r="I37" t="s">
        <v>191</v>
      </c>
      <c r="J37" t="s">
        <v>259</v>
      </c>
      <c r="K37" t="s">
        <v>260</v>
      </c>
      <c r="L37" t="s">
        <v>280</v>
      </c>
      <c r="M37" s="49" t="s">
        <v>111</v>
      </c>
      <c r="N37" t="s">
        <v>281</v>
      </c>
      <c r="O37" t="s">
        <v>282</v>
      </c>
      <c r="P37" t="s">
        <v>283</v>
      </c>
    </row>
    <row r="38" spans="1:16" x14ac:dyDescent="0.25">
      <c r="A38" t="s">
        <v>256</v>
      </c>
      <c r="B38" t="s">
        <v>284</v>
      </c>
      <c r="C38" s="1">
        <v>5296788</v>
      </c>
      <c r="D38" s="1">
        <v>126114</v>
      </c>
      <c r="E38" t="s">
        <v>198</v>
      </c>
      <c r="F38" t="s">
        <v>206</v>
      </c>
      <c r="G38">
        <v>1927</v>
      </c>
      <c r="H38" s="49">
        <f t="shared" si="0"/>
        <v>90</v>
      </c>
      <c r="I38" t="s">
        <v>191</v>
      </c>
      <c r="J38" t="s">
        <v>285</v>
      </c>
      <c r="K38" t="s">
        <v>260</v>
      </c>
      <c r="L38" t="s">
        <v>286</v>
      </c>
      <c r="M38" s="49" t="s">
        <v>111</v>
      </c>
      <c r="N38" t="s">
        <v>287</v>
      </c>
      <c r="O38" t="s">
        <v>288</v>
      </c>
      <c r="P38" t="s">
        <v>289</v>
      </c>
    </row>
    <row r="39" spans="1:16" x14ac:dyDescent="0.25">
      <c r="A39" t="s">
        <v>256</v>
      </c>
      <c r="B39" t="s">
        <v>290</v>
      </c>
      <c r="C39" s="1">
        <v>6064170</v>
      </c>
      <c r="D39" s="1">
        <v>144385</v>
      </c>
      <c r="E39" t="s">
        <v>198</v>
      </c>
      <c r="F39" t="s">
        <v>206</v>
      </c>
      <c r="G39">
        <v>1927</v>
      </c>
      <c r="H39" s="49">
        <f t="shared" si="0"/>
        <v>90</v>
      </c>
      <c r="I39" t="s">
        <v>191</v>
      </c>
      <c r="J39" t="s">
        <v>285</v>
      </c>
      <c r="K39" t="s">
        <v>260</v>
      </c>
      <c r="L39" t="s">
        <v>223</v>
      </c>
      <c r="M39" s="49"/>
      <c r="N39" t="s">
        <v>223</v>
      </c>
      <c r="O39" t="s">
        <v>223</v>
      </c>
      <c r="P39" t="s">
        <v>291</v>
      </c>
    </row>
    <row r="40" spans="1:16" x14ac:dyDescent="0.25">
      <c r="A40" t="s">
        <v>256</v>
      </c>
      <c r="B40" t="s">
        <v>292</v>
      </c>
      <c r="C40" s="1">
        <v>6067068</v>
      </c>
      <c r="D40" s="1">
        <v>144454</v>
      </c>
      <c r="E40" t="s">
        <v>198</v>
      </c>
      <c r="F40" t="s">
        <v>206</v>
      </c>
      <c r="G40">
        <v>1927</v>
      </c>
      <c r="H40" s="49">
        <f t="shared" si="0"/>
        <v>90</v>
      </c>
      <c r="I40" t="s">
        <v>191</v>
      </c>
      <c r="J40" t="s">
        <v>285</v>
      </c>
      <c r="K40" t="s">
        <v>260</v>
      </c>
      <c r="L40" t="s">
        <v>293</v>
      </c>
      <c r="M40" s="49" t="s">
        <v>111</v>
      </c>
      <c r="N40" t="s">
        <v>294</v>
      </c>
      <c r="O40" t="s">
        <v>295</v>
      </c>
    </row>
    <row r="41" spans="1:16" x14ac:dyDescent="0.25">
      <c r="A41" t="s">
        <v>256</v>
      </c>
      <c r="B41" t="s">
        <v>296</v>
      </c>
      <c r="C41" s="1">
        <v>5561976</v>
      </c>
      <c r="D41" s="1">
        <v>132428</v>
      </c>
      <c r="E41" t="s">
        <v>201</v>
      </c>
      <c r="F41" t="s">
        <v>206</v>
      </c>
      <c r="G41">
        <v>1928</v>
      </c>
      <c r="H41" s="49">
        <f t="shared" si="0"/>
        <v>89</v>
      </c>
      <c r="I41" t="s">
        <v>191</v>
      </c>
      <c r="J41" t="s">
        <v>297</v>
      </c>
      <c r="K41" t="s">
        <v>260</v>
      </c>
      <c r="M41" s="49"/>
      <c r="P41" t="s">
        <v>298</v>
      </c>
    </row>
    <row r="42" spans="1:16" x14ac:dyDescent="0.25">
      <c r="A42" t="s">
        <v>256</v>
      </c>
      <c r="B42" t="s">
        <v>299</v>
      </c>
      <c r="C42" s="1">
        <v>5573064</v>
      </c>
      <c r="D42" s="1">
        <v>132692</v>
      </c>
      <c r="E42" t="s">
        <v>201</v>
      </c>
      <c r="F42" t="s">
        <v>206</v>
      </c>
      <c r="G42">
        <v>1928</v>
      </c>
      <c r="H42" s="49">
        <f t="shared" si="0"/>
        <v>89</v>
      </c>
      <c r="I42" t="s">
        <v>191</v>
      </c>
      <c r="J42" t="s">
        <v>300</v>
      </c>
      <c r="K42" t="s">
        <v>301</v>
      </c>
      <c r="L42" t="s">
        <v>223</v>
      </c>
      <c r="M42" s="49"/>
      <c r="N42" t="s">
        <v>223</v>
      </c>
      <c r="O42" t="s">
        <v>223</v>
      </c>
      <c r="P42" t="s">
        <v>302</v>
      </c>
    </row>
    <row r="43" spans="1:16" hidden="1" x14ac:dyDescent="0.25">
      <c r="A43" t="s">
        <v>256</v>
      </c>
      <c r="B43" t="s">
        <v>303</v>
      </c>
      <c r="C43" s="1">
        <v>1656354</v>
      </c>
      <c r="D43" s="1">
        <v>39437</v>
      </c>
      <c r="E43" t="s">
        <v>195</v>
      </c>
      <c r="F43" t="s">
        <v>184</v>
      </c>
      <c r="G43">
        <v>1939</v>
      </c>
      <c r="H43" s="49">
        <f t="shared" si="0"/>
        <v>78</v>
      </c>
      <c r="I43" t="s">
        <v>191</v>
      </c>
      <c r="J43" t="s">
        <v>304</v>
      </c>
      <c r="M43" s="49"/>
    </row>
    <row r="44" spans="1:16" hidden="1" x14ac:dyDescent="0.25">
      <c r="A44" t="s">
        <v>256</v>
      </c>
      <c r="B44" t="s">
        <v>305</v>
      </c>
      <c r="C44" s="1">
        <v>1652448</v>
      </c>
      <c r="D44" s="1">
        <v>39344</v>
      </c>
      <c r="E44" t="s">
        <v>195</v>
      </c>
      <c r="F44" t="s">
        <v>184</v>
      </c>
      <c r="G44">
        <v>1939</v>
      </c>
      <c r="H44" s="49">
        <f t="shared" si="0"/>
        <v>78</v>
      </c>
      <c r="I44" t="s">
        <v>191</v>
      </c>
      <c r="J44" t="s">
        <v>304</v>
      </c>
      <c r="M44" s="49"/>
    </row>
    <row r="45" spans="1:16" hidden="1" x14ac:dyDescent="0.25">
      <c r="A45" t="s">
        <v>256</v>
      </c>
      <c r="B45" t="s">
        <v>306</v>
      </c>
      <c r="C45" s="1">
        <v>831600</v>
      </c>
      <c r="D45" s="1">
        <v>19800</v>
      </c>
      <c r="E45" t="s">
        <v>198</v>
      </c>
      <c r="F45" t="s">
        <v>184</v>
      </c>
      <c r="G45">
        <v>1975</v>
      </c>
      <c r="H45" s="49">
        <f t="shared" si="0"/>
        <v>42</v>
      </c>
      <c r="I45" t="s">
        <v>191</v>
      </c>
      <c r="J45" t="s">
        <v>192</v>
      </c>
      <c r="M45" s="49"/>
    </row>
    <row r="46" spans="1:16" hidden="1" x14ac:dyDescent="0.25">
      <c r="A46" t="s">
        <v>256</v>
      </c>
      <c r="B46" t="s">
        <v>307</v>
      </c>
      <c r="C46" s="1">
        <v>75600</v>
      </c>
      <c r="D46" s="1">
        <v>1800</v>
      </c>
      <c r="E46" t="s">
        <v>308</v>
      </c>
      <c r="F46" t="s">
        <v>184</v>
      </c>
      <c r="G46">
        <v>1975</v>
      </c>
      <c r="H46" s="49">
        <f t="shared" si="0"/>
        <v>42</v>
      </c>
      <c r="I46" t="s">
        <v>191</v>
      </c>
      <c r="J46" t="s">
        <v>309</v>
      </c>
      <c r="K46" t="s">
        <v>223</v>
      </c>
      <c r="L46" t="s">
        <v>223</v>
      </c>
      <c r="M46" s="49"/>
      <c r="N46" t="s">
        <v>223</v>
      </c>
      <c r="O46" t="s">
        <v>223</v>
      </c>
      <c r="P46" t="s">
        <v>310</v>
      </c>
    </row>
    <row r="47" spans="1:16" x14ac:dyDescent="0.25">
      <c r="A47" t="s">
        <v>256</v>
      </c>
      <c r="B47">
        <v>4306</v>
      </c>
      <c r="C47" s="1">
        <v>5000</v>
      </c>
      <c r="D47">
        <v>119</v>
      </c>
      <c r="E47" t="s">
        <v>195</v>
      </c>
      <c r="F47" t="s">
        <v>206</v>
      </c>
      <c r="G47">
        <v>1993</v>
      </c>
      <c r="H47" s="49">
        <f t="shared" si="0"/>
        <v>24</v>
      </c>
      <c r="I47" t="s">
        <v>185</v>
      </c>
      <c r="J47" t="s">
        <v>311</v>
      </c>
      <c r="K47" t="s">
        <v>223</v>
      </c>
      <c r="L47" t="s">
        <v>223</v>
      </c>
      <c r="M47" s="49"/>
      <c r="N47" t="s">
        <v>223</v>
      </c>
      <c r="O47" t="s">
        <v>223</v>
      </c>
      <c r="P47" t="s">
        <v>312</v>
      </c>
    </row>
    <row r="48" spans="1:16" x14ac:dyDescent="0.25">
      <c r="A48" t="s">
        <v>256</v>
      </c>
      <c r="B48">
        <v>4306</v>
      </c>
      <c r="C48" s="1">
        <v>5000</v>
      </c>
      <c r="D48">
        <v>119</v>
      </c>
      <c r="E48" t="s">
        <v>313</v>
      </c>
      <c r="F48" t="s">
        <v>206</v>
      </c>
      <c r="G48">
        <v>1993</v>
      </c>
      <c r="H48" s="49">
        <f t="shared" si="0"/>
        <v>24</v>
      </c>
      <c r="I48" t="s">
        <v>185</v>
      </c>
      <c r="J48" t="s">
        <v>311</v>
      </c>
      <c r="K48" t="s">
        <v>223</v>
      </c>
      <c r="L48" t="s">
        <v>223</v>
      </c>
      <c r="M48" s="49"/>
      <c r="N48" t="s">
        <v>223</v>
      </c>
      <c r="P48" t="s">
        <v>312</v>
      </c>
    </row>
    <row r="49" spans="1:16" x14ac:dyDescent="0.25">
      <c r="A49" t="s">
        <v>256</v>
      </c>
      <c r="B49">
        <v>4306</v>
      </c>
      <c r="C49" s="1">
        <v>5000</v>
      </c>
      <c r="D49">
        <v>119</v>
      </c>
      <c r="E49" t="s">
        <v>314</v>
      </c>
      <c r="F49" t="s">
        <v>206</v>
      </c>
      <c r="G49">
        <v>1993</v>
      </c>
      <c r="H49" s="49">
        <f t="shared" si="0"/>
        <v>24</v>
      </c>
      <c r="I49" t="s">
        <v>185</v>
      </c>
      <c r="J49" t="s">
        <v>311</v>
      </c>
      <c r="K49" t="s">
        <v>223</v>
      </c>
      <c r="L49" t="s">
        <v>223</v>
      </c>
      <c r="M49" s="49"/>
      <c r="N49" t="s">
        <v>223</v>
      </c>
      <c r="P49" t="s">
        <v>312</v>
      </c>
    </row>
    <row r="50" spans="1:16" x14ac:dyDescent="0.25">
      <c r="A50" t="s">
        <v>256</v>
      </c>
      <c r="B50">
        <v>4306</v>
      </c>
      <c r="C50" s="1">
        <v>5000</v>
      </c>
      <c r="D50">
        <v>119</v>
      </c>
      <c r="E50" t="s">
        <v>195</v>
      </c>
      <c r="F50" t="s">
        <v>206</v>
      </c>
      <c r="G50">
        <v>1993</v>
      </c>
      <c r="H50" s="49">
        <f t="shared" si="0"/>
        <v>24</v>
      </c>
      <c r="I50" t="s">
        <v>315</v>
      </c>
      <c r="J50" t="s">
        <v>311</v>
      </c>
      <c r="K50" t="s">
        <v>223</v>
      </c>
      <c r="L50" t="s">
        <v>223</v>
      </c>
      <c r="M50" s="49"/>
      <c r="N50" t="s">
        <v>223</v>
      </c>
      <c r="P50" t="s">
        <v>312</v>
      </c>
    </row>
    <row r="51" spans="1:16" x14ac:dyDescent="0.25">
      <c r="A51" t="s">
        <v>256</v>
      </c>
      <c r="B51">
        <v>4306</v>
      </c>
      <c r="C51" s="1">
        <v>5000</v>
      </c>
      <c r="D51">
        <v>119</v>
      </c>
      <c r="E51" t="s">
        <v>313</v>
      </c>
      <c r="F51" t="s">
        <v>206</v>
      </c>
      <c r="G51">
        <v>1993</v>
      </c>
      <c r="H51" s="49">
        <f t="shared" si="0"/>
        <v>24</v>
      </c>
      <c r="I51" t="s">
        <v>315</v>
      </c>
      <c r="J51" t="s">
        <v>311</v>
      </c>
      <c r="K51" t="s">
        <v>223</v>
      </c>
      <c r="L51" t="s">
        <v>223</v>
      </c>
      <c r="M51" s="49"/>
      <c r="N51" t="s">
        <v>223</v>
      </c>
      <c r="P51" t="s">
        <v>312</v>
      </c>
    </row>
    <row r="52" spans="1:16" hidden="1" x14ac:dyDescent="0.25">
      <c r="A52" t="s">
        <v>256</v>
      </c>
      <c r="B52" t="s">
        <v>316</v>
      </c>
      <c r="C52" s="1">
        <v>58800</v>
      </c>
      <c r="D52" s="1">
        <v>1400</v>
      </c>
      <c r="E52" t="s">
        <v>308</v>
      </c>
      <c r="F52" t="s">
        <v>184</v>
      </c>
      <c r="G52">
        <v>1934</v>
      </c>
      <c r="H52" s="49">
        <f t="shared" si="0"/>
        <v>83</v>
      </c>
      <c r="I52" t="s">
        <v>191</v>
      </c>
      <c r="J52" t="s">
        <v>317</v>
      </c>
      <c r="K52" t="s">
        <v>223</v>
      </c>
      <c r="L52" t="s">
        <v>223</v>
      </c>
      <c r="M52" s="49"/>
      <c r="N52" t="s">
        <v>223</v>
      </c>
      <c r="P52" t="s">
        <v>318</v>
      </c>
    </row>
    <row r="53" spans="1:16" hidden="1" x14ac:dyDescent="0.25">
      <c r="A53" t="s">
        <v>256</v>
      </c>
      <c r="B53" t="s">
        <v>319</v>
      </c>
      <c r="C53" s="1">
        <v>58800</v>
      </c>
      <c r="D53" s="1">
        <v>1400</v>
      </c>
      <c r="E53" t="s">
        <v>308</v>
      </c>
      <c r="F53" t="s">
        <v>184</v>
      </c>
      <c r="G53">
        <v>1934</v>
      </c>
      <c r="H53" s="49">
        <f t="shared" si="0"/>
        <v>83</v>
      </c>
      <c r="I53" t="s">
        <v>191</v>
      </c>
      <c r="J53" t="s">
        <v>317</v>
      </c>
      <c r="M53" s="49"/>
    </row>
    <row r="54" spans="1:16" hidden="1" x14ac:dyDescent="0.25">
      <c r="A54" t="s">
        <v>256</v>
      </c>
      <c r="B54" t="s">
        <v>320</v>
      </c>
      <c r="C54" s="1">
        <v>58800</v>
      </c>
      <c r="D54" s="1">
        <v>1400</v>
      </c>
      <c r="E54" t="s">
        <v>308</v>
      </c>
      <c r="F54" t="s">
        <v>184</v>
      </c>
      <c r="G54">
        <v>1934</v>
      </c>
      <c r="H54" s="49">
        <f t="shared" si="0"/>
        <v>83</v>
      </c>
      <c r="I54" t="s">
        <v>191</v>
      </c>
      <c r="J54" t="s">
        <v>321</v>
      </c>
      <c r="K54" t="s">
        <v>223</v>
      </c>
      <c r="L54" t="s">
        <v>223</v>
      </c>
      <c r="M54" s="49"/>
      <c r="N54" t="s">
        <v>223</v>
      </c>
      <c r="P54" t="s">
        <v>318</v>
      </c>
    </row>
    <row r="55" spans="1:16" hidden="1" x14ac:dyDescent="0.25">
      <c r="A55" t="s">
        <v>256</v>
      </c>
      <c r="B55" t="s">
        <v>322</v>
      </c>
      <c r="C55" s="1">
        <v>142338</v>
      </c>
      <c r="D55" s="1">
        <v>3389</v>
      </c>
      <c r="E55" t="s">
        <v>323</v>
      </c>
      <c r="F55" t="s">
        <v>184</v>
      </c>
      <c r="G55">
        <v>1938</v>
      </c>
      <c r="H55" s="49">
        <f t="shared" si="0"/>
        <v>79</v>
      </c>
      <c r="I55" t="s">
        <v>191</v>
      </c>
      <c r="J55" t="s">
        <v>324</v>
      </c>
      <c r="M55" s="49"/>
    </row>
    <row r="56" spans="1:16" hidden="1" x14ac:dyDescent="0.25">
      <c r="A56" t="s">
        <v>256</v>
      </c>
      <c r="B56" t="s">
        <v>325</v>
      </c>
      <c r="C56" s="1">
        <v>142380</v>
      </c>
      <c r="D56" s="1">
        <v>3390</v>
      </c>
      <c r="E56" t="s">
        <v>323</v>
      </c>
      <c r="F56" t="s">
        <v>184</v>
      </c>
      <c r="G56">
        <v>1938</v>
      </c>
      <c r="H56" s="49">
        <f t="shared" si="0"/>
        <v>79</v>
      </c>
      <c r="I56" t="s">
        <v>191</v>
      </c>
      <c r="J56" t="s">
        <v>324</v>
      </c>
      <c r="M56" s="49"/>
    </row>
    <row r="57" spans="1:16" hidden="1" x14ac:dyDescent="0.25">
      <c r="A57" t="s">
        <v>256</v>
      </c>
      <c r="B57" t="s">
        <v>326</v>
      </c>
      <c r="C57" s="1">
        <v>126000</v>
      </c>
      <c r="D57" s="1">
        <v>3000</v>
      </c>
      <c r="E57" t="s">
        <v>195</v>
      </c>
      <c r="F57" t="s">
        <v>184</v>
      </c>
      <c r="G57">
        <v>1938</v>
      </c>
      <c r="H57" s="49">
        <f t="shared" si="0"/>
        <v>79</v>
      </c>
      <c r="I57" t="s">
        <v>191</v>
      </c>
      <c r="J57" t="s">
        <v>324</v>
      </c>
      <c r="M57" s="49"/>
    </row>
    <row r="58" spans="1:16" hidden="1" x14ac:dyDescent="0.25">
      <c r="A58" t="s">
        <v>256</v>
      </c>
      <c r="B58" t="s">
        <v>327</v>
      </c>
      <c r="C58" s="1">
        <v>126000</v>
      </c>
      <c r="D58" s="1">
        <v>3000</v>
      </c>
      <c r="E58" t="s">
        <v>195</v>
      </c>
      <c r="F58" t="s">
        <v>184</v>
      </c>
      <c r="G58">
        <v>1938</v>
      </c>
      <c r="H58" s="49">
        <f t="shared" si="0"/>
        <v>79</v>
      </c>
      <c r="I58" t="s">
        <v>191</v>
      </c>
      <c r="J58" t="s">
        <v>324</v>
      </c>
      <c r="M58" s="49"/>
    </row>
    <row r="59" spans="1:16" hidden="1" x14ac:dyDescent="0.25">
      <c r="A59" t="s">
        <v>256</v>
      </c>
      <c r="B59" t="s">
        <v>328</v>
      </c>
      <c r="C59" s="1">
        <v>134400</v>
      </c>
      <c r="D59" s="1">
        <v>3200</v>
      </c>
      <c r="E59" t="s">
        <v>201</v>
      </c>
      <c r="F59" t="s">
        <v>184</v>
      </c>
      <c r="G59">
        <v>1938</v>
      </c>
      <c r="H59" s="49">
        <f t="shared" si="0"/>
        <v>79</v>
      </c>
      <c r="I59" t="s">
        <v>191</v>
      </c>
      <c r="J59" t="s">
        <v>324</v>
      </c>
      <c r="M59" s="49"/>
    </row>
    <row r="60" spans="1:16" hidden="1" x14ac:dyDescent="0.25">
      <c r="A60" t="s">
        <v>256</v>
      </c>
      <c r="B60" t="s">
        <v>329</v>
      </c>
      <c r="C60" s="1">
        <v>134400</v>
      </c>
      <c r="D60" s="1">
        <v>3200</v>
      </c>
      <c r="E60" t="s">
        <v>201</v>
      </c>
      <c r="F60" t="s">
        <v>184</v>
      </c>
      <c r="G60">
        <v>1939</v>
      </c>
      <c r="H60" s="49">
        <f t="shared" si="0"/>
        <v>78</v>
      </c>
      <c r="I60" t="s">
        <v>191</v>
      </c>
      <c r="J60" t="s">
        <v>324</v>
      </c>
      <c r="M60" s="49"/>
    </row>
    <row r="61" spans="1:16" hidden="1" x14ac:dyDescent="0.25">
      <c r="A61" t="s">
        <v>256</v>
      </c>
      <c r="B61" t="s">
        <v>330</v>
      </c>
      <c r="C61" s="1">
        <v>138600</v>
      </c>
      <c r="D61" s="1">
        <v>3300</v>
      </c>
      <c r="E61" t="s">
        <v>198</v>
      </c>
      <c r="F61" t="s">
        <v>184</v>
      </c>
      <c r="G61">
        <v>1939</v>
      </c>
      <c r="H61" s="49">
        <f t="shared" si="0"/>
        <v>78</v>
      </c>
      <c r="I61" t="s">
        <v>191</v>
      </c>
      <c r="J61" t="s">
        <v>324</v>
      </c>
      <c r="M61" s="49"/>
    </row>
    <row r="62" spans="1:16" hidden="1" x14ac:dyDescent="0.25">
      <c r="A62" t="s">
        <v>256</v>
      </c>
      <c r="B62" t="s">
        <v>331</v>
      </c>
      <c r="C62" s="1">
        <v>126000</v>
      </c>
      <c r="D62" s="1">
        <v>3000</v>
      </c>
      <c r="E62" t="s">
        <v>198</v>
      </c>
      <c r="F62" t="s">
        <v>184</v>
      </c>
      <c r="G62">
        <v>1939</v>
      </c>
      <c r="H62" s="49">
        <f t="shared" si="0"/>
        <v>78</v>
      </c>
      <c r="I62" t="s">
        <v>191</v>
      </c>
      <c r="J62" t="s">
        <v>332</v>
      </c>
      <c r="M62" s="49"/>
    </row>
    <row r="63" spans="1:16" hidden="1" x14ac:dyDescent="0.25">
      <c r="A63" t="s">
        <v>256</v>
      </c>
      <c r="B63" t="s">
        <v>333</v>
      </c>
      <c r="C63" s="1">
        <v>126000</v>
      </c>
      <c r="D63" s="1">
        <v>3000</v>
      </c>
      <c r="E63" t="s">
        <v>198</v>
      </c>
      <c r="F63" t="s">
        <v>184</v>
      </c>
      <c r="G63">
        <v>1939</v>
      </c>
      <c r="H63" s="49">
        <f t="shared" si="0"/>
        <v>78</v>
      </c>
      <c r="I63" t="s">
        <v>191</v>
      </c>
      <c r="J63" t="s">
        <v>332</v>
      </c>
      <c r="M63" s="49"/>
    </row>
    <row r="64" spans="1:16" hidden="1" x14ac:dyDescent="0.25">
      <c r="A64" t="s">
        <v>256</v>
      </c>
      <c r="B64" t="s">
        <v>334</v>
      </c>
      <c r="C64" s="1">
        <v>126000</v>
      </c>
      <c r="D64" s="1">
        <v>3000</v>
      </c>
      <c r="E64" t="s">
        <v>198</v>
      </c>
      <c r="F64" t="s">
        <v>184</v>
      </c>
      <c r="G64">
        <v>1939</v>
      </c>
      <c r="H64" s="49">
        <f t="shared" si="0"/>
        <v>78</v>
      </c>
      <c r="I64" t="s">
        <v>191</v>
      </c>
      <c r="J64" t="s">
        <v>332</v>
      </c>
      <c r="M64" s="49"/>
    </row>
    <row r="65" spans="1:16" hidden="1" x14ac:dyDescent="0.25">
      <c r="A65" t="s">
        <v>256</v>
      </c>
      <c r="B65">
        <v>8600413</v>
      </c>
      <c r="C65" s="1">
        <v>20001</v>
      </c>
      <c r="D65">
        <v>476</v>
      </c>
      <c r="E65" t="s">
        <v>183</v>
      </c>
      <c r="F65" t="s">
        <v>184</v>
      </c>
      <c r="G65">
        <v>2003</v>
      </c>
      <c r="H65" s="49">
        <f t="shared" si="0"/>
        <v>14</v>
      </c>
      <c r="I65" t="s">
        <v>335</v>
      </c>
      <c r="J65" t="s">
        <v>336</v>
      </c>
      <c r="M65" s="49"/>
    </row>
    <row r="66" spans="1:16" hidden="1" x14ac:dyDescent="0.25">
      <c r="A66" t="s">
        <v>256</v>
      </c>
      <c r="B66">
        <v>8600414</v>
      </c>
      <c r="C66" s="1">
        <v>10001</v>
      </c>
      <c r="D66">
        <v>238</v>
      </c>
      <c r="E66" t="s">
        <v>183</v>
      </c>
      <c r="F66" t="s">
        <v>184</v>
      </c>
      <c r="G66">
        <v>2005</v>
      </c>
      <c r="H66" s="49">
        <f t="shared" si="0"/>
        <v>12</v>
      </c>
      <c r="I66" t="s">
        <v>335</v>
      </c>
      <c r="J66" t="s">
        <v>336</v>
      </c>
      <c r="M66" s="49"/>
    </row>
    <row r="67" spans="1:16" hidden="1" x14ac:dyDescent="0.25">
      <c r="A67" t="s">
        <v>256</v>
      </c>
      <c r="B67">
        <v>8600413</v>
      </c>
      <c r="C67" s="1">
        <v>10001</v>
      </c>
      <c r="D67">
        <v>238</v>
      </c>
      <c r="E67" t="s">
        <v>183</v>
      </c>
      <c r="F67" t="s">
        <v>184</v>
      </c>
      <c r="G67">
        <v>2003</v>
      </c>
      <c r="H67" s="49">
        <f t="shared" ref="H67:H130" si="1">2017-G67</f>
        <v>14</v>
      </c>
      <c r="I67" t="s">
        <v>335</v>
      </c>
      <c r="J67" t="s">
        <v>336</v>
      </c>
      <c r="M67" s="49"/>
    </row>
    <row r="68" spans="1:16" hidden="1" x14ac:dyDescent="0.25">
      <c r="A68" t="s">
        <v>256</v>
      </c>
      <c r="B68">
        <v>8600414</v>
      </c>
      <c r="C68" s="1">
        <v>20001</v>
      </c>
      <c r="D68">
        <v>476</v>
      </c>
      <c r="E68" t="s">
        <v>183</v>
      </c>
      <c r="F68" t="s">
        <v>184</v>
      </c>
      <c r="G68">
        <v>2005</v>
      </c>
      <c r="H68" s="49">
        <f t="shared" si="1"/>
        <v>12</v>
      </c>
      <c r="I68" t="s">
        <v>335</v>
      </c>
      <c r="J68" t="s">
        <v>336</v>
      </c>
      <c r="M68" s="49"/>
    </row>
    <row r="69" spans="1:16" hidden="1" x14ac:dyDescent="0.25">
      <c r="A69" t="s">
        <v>337</v>
      </c>
      <c r="B69" t="s">
        <v>338</v>
      </c>
      <c r="C69" s="1">
        <v>10000</v>
      </c>
      <c r="D69">
        <v>238</v>
      </c>
      <c r="E69" t="s">
        <v>339</v>
      </c>
      <c r="F69" t="s">
        <v>184</v>
      </c>
      <c r="G69">
        <v>2013</v>
      </c>
      <c r="H69" s="49">
        <f t="shared" si="1"/>
        <v>4</v>
      </c>
      <c r="I69" t="s">
        <v>185</v>
      </c>
      <c r="J69" t="s">
        <v>340</v>
      </c>
      <c r="K69" t="s">
        <v>341</v>
      </c>
      <c r="L69" t="s">
        <v>342</v>
      </c>
      <c r="M69" s="49"/>
      <c r="N69" t="s">
        <v>223</v>
      </c>
      <c r="O69" t="s">
        <v>223</v>
      </c>
      <c r="P69" t="s">
        <v>343</v>
      </c>
    </row>
    <row r="70" spans="1:16" hidden="1" x14ac:dyDescent="0.25">
      <c r="A70" t="s">
        <v>337</v>
      </c>
      <c r="B70" t="s">
        <v>344</v>
      </c>
      <c r="C70" s="1">
        <v>8000</v>
      </c>
      <c r="D70">
        <v>190</v>
      </c>
      <c r="E70" t="s">
        <v>339</v>
      </c>
      <c r="F70" t="s">
        <v>184</v>
      </c>
      <c r="G70">
        <v>2013</v>
      </c>
      <c r="H70" s="49">
        <f t="shared" si="1"/>
        <v>4</v>
      </c>
      <c r="I70" t="s">
        <v>185</v>
      </c>
      <c r="J70" t="s">
        <v>345</v>
      </c>
      <c r="K70" t="s">
        <v>341</v>
      </c>
      <c r="L70" t="s">
        <v>342</v>
      </c>
      <c r="M70" s="49"/>
      <c r="N70" t="s">
        <v>223</v>
      </c>
      <c r="O70" t="s">
        <v>223</v>
      </c>
      <c r="P70" t="s">
        <v>343</v>
      </c>
    </row>
    <row r="71" spans="1:16" hidden="1" x14ac:dyDescent="0.25">
      <c r="A71" t="s">
        <v>337</v>
      </c>
      <c r="B71" t="s">
        <v>346</v>
      </c>
      <c r="C71" s="1">
        <v>840000</v>
      </c>
      <c r="D71" s="1">
        <v>20000</v>
      </c>
      <c r="E71" t="s">
        <v>347</v>
      </c>
      <c r="F71" t="s">
        <v>184</v>
      </c>
      <c r="G71">
        <v>1952</v>
      </c>
      <c r="H71" s="49">
        <f t="shared" si="1"/>
        <v>65</v>
      </c>
      <c r="I71" t="s">
        <v>191</v>
      </c>
      <c r="J71" t="s">
        <v>192</v>
      </c>
      <c r="K71" t="s">
        <v>348</v>
      </c>
      <c r="L71" t="s">
        <v>342</v>
      </c>
      <c r="M71" s="49"/>
      <c r="N71" t="s">
        <v>223</v>
      </c>
      <c r="O71" t="s">
        <v>223</v>
      </c>
      <c r="P71" t="s">
        <v>349</v>
      </c>
    </row>
    <row r="72" spans="1:16" hidden="1" x14ac:dyDescent="0.25">
      <c r="A72" t="s">
        <v>337</v>
      </c>
      <c r="B72" t="s">
        <v>350</v>
      </c>
      <c r="C72" s="1">
        <v>840000</v>
      </c>
      <c r="D72" s="1">
        <v>20000</v>
      </c>
      <c r="E72" t="s">
        <v>347</v>
      </c>
      <c r="F72" t="s">
        <v>184</v>
      </c>
      <c r="G72">
        <v>1952</v>
      </c>
      <c r="H72" s="49">
        <f t="shared" si="1"/>
        <v>65</v>
      </c>
      <c r="I72" t="s">
        <v>191</v>
      </c>
      <c r="J72" t="s">
        <v>192</v>
      </c>
      <c r="K72" t="s">
        <v>348</v>
      </c>
      <c r="L72" t="s">
        <v>342</v>
      </c>
      <c r="M72" s="49"/>
      <c r="N72" t="s">
        <v>223</v>
      </c>
      <c r="O72" t="s">
        <v>223</v>
      </c>
      <c r="P72" t="s">
        <v>349</v>
      </c>
    </row>
    <row r="73" spans="1:16" hidden="1" x14ac:dyDescent="0.25">
      <c r="A73" t="s">
        <v>337</v>
      </c>
      <c r="B73" t="s">
        <v>351</v>
      </c>
      <c r="C73" s="1">
        <v>84000</v>
      </c>
      <c r="D73" s="1">
        <v>2000</v>
      </c>
      <c r="E73" t="s">
        <v>347</v>
      </c>
      <c r="F73" t="s">
        <v>184</v>
      </c>
      <c r="G73">
        <v>1952</v>
      </c>
      <c r="H73" s="49">
        <f t="shared" si="1"/>
        <v>65</v>
      </c>
      <c r="I73" t="s">
        <v>191</v>
      </c>
      <c r="J73" t="s">
        <v>352</v>
      </c>
      <c r="K73" t="s">
        <v>348</v>
      </c>
      <c r="L73" t="s">
        <v>342</v>
      </c>
      <c r="M73" s="49"/>
      <c r="N73" t="s">
        <v>223</v>
      </c>
      <c r="O73" t="s">
        <v>223</v>
      </c>
      <c r="P73" t="s">
        <v>353</v>
      </c>
    </row>
    <row r="74" spans="1:16" hidden="1" x14ac:dyDescent="0.25">
      <c r="A74" t="s">
        <v>337</v>
      </c>
      <c r="B74" t="s">
        <v>354</v>
      </c>
      <c r="C74" s="1">
        <v>84000</v>
      </c>
      <c r="D74" s="1">
        <v>2000</v>
      </c>
      <c r="E74" t="s">
        <v>347</v>
      </c>
      <c r="F74" t="s">
        <v>184</v>
      </c>
      <c r="G74">
        <v>1952</v>
      </c>
      <c r="H74" s="49">
        <f t="shared" si="1"/>
        <v>65</v>
      </c>
      <c r="I74" t="s">
        <v>191</v>
      </c>
      <c r="J74" t="s">
        <v>352</v>
      </c>
      <c r="K74" t="s">
        <v>348</v>
      </c>
      <c r="L74" t="s">
        <v>342</v>
      </c>
      <c r="M74" s="49"/>
      <c r="N74" t="s">
        <v>223</v>
      </c>
      <c r="O74" t="s">
        <v>223</v>
      </c>
      <c r="P74" t="s">
        <v>353</v>
      </c>
    </row>
    <row r="75" spans="1:16" hidden="1" x14ac:dyDescent="0.25">
      <c r="A75" t="s">
        <v>337</v>
      </c>
      <c r="B75" t="s">
        <v>355</v>
      </c>
      <c r="C75" s="1">
        <v>21000</v>
      </c>
      <c r="D75">
        <v>500</v>
      </c>
      <c r="E75" t="s">
        <v>347</v>
      </c>
      <c r="F75" t="s">
        <v>184</v>
      </c>
      <c r="G75">
        <v>1952</v>
      </c>
      <c r="H75" s="49">
        <f t="shared" si="1"/>
        <v>65</v>
      </c>
      <c r="I75" t="s">
        <v>191</v>
      </c>
      <c r="J75" t="s">
        <v>356</v>
      </c>
      <c r="K75" t="s">
        <v>348</v>
      </c>
      <c r="L75" t="s">
        <v>342</v>
      </c>
      <c r="M75" s="49"/>
      <c r="N75" t="s">
        <v>223</v>
      </c>
      <c r="O75" t="s">
        <v>223</v>
      </c>
      <c r="P75" t="s">
        <v>357</v>
      </c>
    </row>
    <row r="76" spans="1:16" hidden="1" x14ac:dyDescent="0.25">
      <c r="A76" t="s">
        <v>337</v>
      </c>
      <c r="B76" t="s">
        <v>358</v>
      </c>
      <c r="C76" s="1">
        <v>420000</v>
      </c>
      <c r="D76" s="1">
        <v>10000</v>
      </c>
      <c r="E76" t="s">
        <v>359</v>
      </c>
      <c r="F76" t="s">
        <v>184</v>
      </c>
      <c r="G76">
        <v>1952</v>
      </c>
      <c r="H76" s="49">
        <f t="shared" si="1"/>
        <v>65</v>
      </c>
      <c r="I76" t="s">
        <v>191</v>
      </c>
      <c r="J76" t="s">
        <v>360</v>
      </c>
      <c r="K76" t="s">
        <v>348</v>
      </c>
      <c r="L76" t="s">
        <v>342</v>
      </c>
      <c r="M76" s="49"/>
      <c r="N76" t="s">
        <v>223</v>
      </c>
      <c r="O76" t="s">
        <v>223</v>
      </c>
      <c r="P76" t="s">
        <v>353</v>
      </c>
    </row>
    <row r="77" spans="1:16" hidden="1" x14ac:dyDescent="0.25">
      <c r="A77" t="s">
        <v>337</v>
      </c>
      <c r="B77" t="s">
        <v>361</v>
      </c>
      <c r="C77" s="1">
        <v>210000</v>
      </c>
      <c r="D77" s="1">
        <v>5000</v>
      </c>
      <c r="E77" t="s">
        <v>198</v>
      </c>
      <c r="F77" t="s">
        <v>184</v>
      </c>
      <c r="G77">
        <v>1952</v>
      </c>
      <c r="H77" s="49">
        <f t="shared" si="1"/>
        <v>65</v>
      </c>
      <c r="I77" t="s">
        <v>191</v>
      </c>
      <c r="J77" t="s">
        <v>362</v>
      </c>
      <c r="K77" t="s">
        <v>348</v>
      </c>
      <c r="L77" t="s">
        <v>342</v>
      </c>
      <c r="M77" s="49"/>
      <c r="N77" t="s">
        <v>223</v>
      </c>
      <c r="O77" t="s">
        <v>223</v>
      </c>
      <c r="P77" t="s">
        <v>353</v>
      </c>
    </row>
    <row r="78" spans="1:16" hidden="1" x14ac:dyDescent="0.25">
      <c r="A78" t="s">
        <v>337</v>
      </c>
      <c r="B78" t="s">
        <v>363</v>
      </c>
      <c r="C78" s="1">
        <v>210000</v>
      </c>
      <c r="D78" s="1">
        <v>5000</v>
      </c>
      <c r="E78" t="s">
        <v>258</v>
      </c>
      <c r="F78" t="s">
        <v>184</v>
      </c>
      <c r="G78">
        <v>1952</v>
      </c>
      <c r="H78" s="49">
        <f t="shared" si="1"/>
        <v>65</v>
      </c>
      <c r="I78" t="s">
        <v>191</v>
      </c>
      <c r="J78" t="s">
        <v>364</v>
      </c>
      <c r="K78" t="s">
        <v>348</v>
      </c>
      <c r="L78" t="s">
        <v>342</v>
      </c>
      <c r="M78" s="49"/>
      <c r="N78" t="s">
        <v>223</v>
      </c>
      <c r="O78" t="s">
        <v>223</v>
      </c>
      <c r="P78" t="s">
        <v>353</v>
      </c>
    </row>
    <row r="79" spans="1:16" hidden="1" x14ac:dyDescent="0.25">
      <c r="A79" t="s">
        <v>337</v>
      </c>
      <c r="B79" t="s">
        <v>365</v>
      </c>
      <c r="C79" s="1">
        <v>210000</v>
      </c>
      <c r="D79" s="1">
        <v>5000</v>
      </c>
      <c r="E79" t="s">
        <v>201</v>
      </c>
      <c r="F79" t="s">
        <v>184</v>
      </c>
      <c r="G79">
        <v>1952</v>
      </c>
      <c r="H79" s="49">
        <f t="shared" si="1"/>
        <v>65</v>
      </c>
      <c r="I79" t="s">
        <v>191</v>
      </c>
      <c r="J79" t="s">
        <v>362</v>
      </c>
      <c r="K79" t="s">
        <v>348</v>
      </c>
      <c r="L79" t="s">
        <v>342</v>
      </c>
      <c r="M79" s="49"/>
      <c r="N79" t="s">
        <v>223</v>
      </c>
      <c r="O79" t="s">
        <v>223</v>
      </c>
      <c r="P79" t="s">
        <v>366</v>
      </c>
    </row>
    <row r="80" spans="1:16" hidden="1" x14ac:dyDescent="0.25">
      <c r="A80" t="s">
        <v>337</v>
      </c>
      <c r="B80" t="s">
        <v>367</v>
      </c>
      <c r="C80" s="1">
        <v>210000</v>
      </c>
      <c r="D80" s="1">
        <v>5000</v>
      </c>
      <c r="E80" t="s">
        <v>258</v>
      </c>
      <c r="F80" t="s">
        <v>184</v>
      </c>
      <c r="G80">
        <v>1952</v>
      </c>
      <c r="H80" s="49">
        <f t="shared" si="1"/>
        <v>65</v>
      </c>
      <c r="I80" t="s">
        <v>191</v>
      </c>
      <c r="J80" t="s">
        <v>362</v>
      </c>
      <c r="K80" t="s">
        <v>348</v>
      </c>
      <c r="L80" t="s">
        <v>342</v>
      </c>
      <c r="M80" s="49"/>
      <c r="N80" t="s">
        <v>223</v>
      </c>
      <c r="O80" t="s">
        <v>223</v>
      </c>
      <c r="P80" t="s">
        <v>368</v>
      </c>
    </row>
    <row r="81" spans="1:16" x14ac:dyDescent="0.25">
      <c r="A81" t="s">
        <v>337</v>
      </c>
      <c r="B81" t="s">
        <v>369</v>
      </c>
      <c r="C81" s="1">
        <v>2086266</v>
      </c>
      <c r="D81" s="1">
        <v>49673</v>
      </c>
      <c r="E81" t="s">
        <v>201</v>
      </c>
      <c r="F81" t="s">
        <v>206</v>
      </c>
      <c r="G81">
        <v>1952</v>
      </c>
      <c r="H81" s="49">
        <f t="shared" si="1"/>
        <v>65</v>
      </c>
      <c r="I81" t="s">
        <v>191</v>
      </c>
      <c r="J81" t="s">
        <v>370</v>
      </c>
      <c r="K81" t="s">
        <v>348</v>
      </c>
      <c r="L81" t="s">
        <v>342</v>
      </c>
      <c r="M81" s="49"/>
      <c r="N81" t="s">
        <v>223</v>
      </c>
      <c r="O81" t="s">
        <v>223</v>
      </c>
      <c r="P81" t="s">
        <v>371</v>
      </c>
    </row>
    <row r="82" spans="1:16" x14ac:dyDescent="0.25">
      <c r="A82" t="s">
        <v>337</v>
      </c>
      <c r="B82" t="s">
        <v>372</v>
      </c>
      <c r="C82" s="1">
        <v>2086266</v>
      </c>
      <c r="D82" s="1">
        <v>49673</v>
      </c>
      <c r="E82" t="s">
        <v>198</v>
      </c>
      <c r="F82" t="s">
        <v>206</v>
      </c>
      <c r="G82">
        <v>1952</v>
      </c>
      <c r="H82" s="49">
        <f t="shared" si="1"/>
        <v>65</v>
      </c>
      <c r="I82" t="s">
        <v>191</v>
      </c>
      <c r="J82" t="s">
        <v>370</v>
      </c>
      <c r="K82" t="s">
        <v>348</v>
      </c>
      <c r="L82" t="s">
        <v>342</v>
      </c>
      <c r="M82" s="49"/>
      <c r="N82" t="s">
        <v>223</v>
      </c>
      <c r="O82" t="s">
        <v>223</v>
      </c>
      <c r="P82" t="s">
        <v>371</v>
      </c>
    </row>
    <row r="83" spans="1:16" x14ac:dyDescent="0.25">
      <c r="A83" t="s">
        <v>337</v>
      </c>
      <c r="B83" t="s">
        <v>373</v>
      </c>
      <c r="C83" s="1">
        <v>2086266</v>
      </c>
      <c r="D83" s="1">
        <v>49673</v>
      </c>
      <c r="E83" t="s">
        <v>198</v>
      </c>
      <c r="F83" t="s">
        <v>206</v>
      </c>
      <c r="G83">
        <v>1952</v>
      </c>
      <c r="H83" s="49">
        <f t="shared" si="1"/>
        <v>65</v>
      </c>
      <c r="I83" t="s">
        <v>191</v>
      </c>
      <c r="J83" t="s">
        <v>370</v>
      </c>
      <c r="K83" t="s">
        <v>348</v>
      </c>
      <c r="L83" t="s">
        <v>342</v>
      </c>
      <c r="M83" s="49"/>
      <c r="N83" t="s">
        <v>223</v>
      </c>
      <c r="O83" t="s">
        <v>223</v>
      </c>
      <c r="P83" t="s">
        <v>371</v>
      </c>
    </row>
    <row r="84" spans="1:16" x14ac:dyDescent="0.25">
      <c r="A84" t="s">
        <v>337</v>
      </c>
      <c r="B84" t="s">
        <v>374</v>
      </c>
      <c r="C84" s="1">
        <v>1995000</v>
      </c>
      <c r="D84" s="1">
        <v>47500</v>
      </c>
      <c r="E84" t="s">
        <v>359</v>
      </c>
      <c r="F84" t="s">
        <v>206</v>
      </c>
      <c r="G84">
        <v>1952</v>
      </c>
      <c r="H84" s="49">
        <f t="shared" si="1"/>
        <v>65</v>
      </c>
      <c r="I84" t="s">
        <v>191</v>
      </c>
      <c r="J84" t="s">
        <v>370</v>
      </c>
      <c r="K84" t="s">
        <v>348</v>
      </c>
      <c r="L84" t="s">
        <v>342</v>
      </c>
      <c r="M84" s="49"/>
      <c r="N84" t="s">
        <v>223</v>
      </c>
      <c r="O84" t="s">
        <v>223</v>
      </c>
      <c r="P84" t="s">
        <v>371</v>
      </c>
    </row>
    <row r="85" spans="1:16" x14ac:dyDescent="0.25">
      <c r="A85" t="s">
        <v>337</v>
      </c>
      <c r="B85" t="s">
        <v>375</v>
      </c>
      <c r="C85" s="1">
        <v>2100000</v>
      </c>
      <c r="D85" s="1">
        <v>50000</v>
      </c>
      <c r="E85" t="s">
        <v>359</v>
      </c>
      <c r="F85" t="s">
        <v>206</v>
      </c>
      <c r="G85">
        <v>1952</v>
      </c>
      <c r="H85" s="49">
        <f t="shared" si="1"/>
        <v>65</v>
      </c>
      <c r="I85" t="s">
        <v>191</v>
      </c>
      <c r="J85" t="s">
        <v>370</v>
      </c>
      <c r="K85" t="s">
        <v>348</v>
      </c>
      <c r="L85" t="s">
        <v>342</v>
      </c>
      <c r="M85" s="49"/>
      <c r="N85" t="s">
        <v>223</v>
      </c>
      <c r="O85" t="s">
        <v>223</v>
      </c>
      <c r="P85" t="s">
        <v>371</v>
      </c>
    </row>
    <row r="86" spans="1:16" x14ac:dyDescent="0.25">
      <c r="A86" t="s">
        <v>337</v>
      </c>
      <c r="B86" t="s">
        <v>376</v>
      </c>
      <c r="C86" s="1">
        <v>2100000</v>
      </c>
      <c r="D86" s="1">
        <v>50000</v>
      </c>
      <c r="E86" t="s">
        <v>359</v>
      </c>
      <c r="F86" t="s">
        <v>206</v>
      </c>
      <c r="G86">
        <v>1952</v>
      </c>
      <c r="H86" s="49">
        <f t="shared" si="1"/>
        <v>65</v>
      </c>
      <c r="I86" t="s">
        <v>191</v>
      </c>
      <c r="J86" t="s">
        <v>370</v>
      </c>
      <c r="K86" t="s">
        <v>348</v>
      </c>
      <c r="L86" t="s">
        <v>342</v>
      </c>
      <c r="M86" s="49"/>
      <c r="N86" t="s">
        <v>223</v>
      </c>
      <c r="O86" t="s">
        <v>223</v>
      </c>
      <c r="P86" t="s">
        <v>371</v>
      </c>
    </row>
    <row r="87" spans="1:16" x14ac:dyDescent="0.25">
      <c r="A87" t="s">
        <v>337</v>
      </c>
      <c r="B87" t="s">
        <v>377</v>
      </c>
      <c r="C87" s="1">
        <v>2100000</v>
      </c>
      <c r="D87" s="1">
        <v>50000</v>
      </c>
      <c r="E87" t="s">
        <v>359</v>
      </c>
      <c r="F87" t="s">
        <v>206</v>
      </c>
      <c r="G87">
        <v>1952</v>
      </c>
      <c r="H87" s="49">
        <f t="shared" si="1"/>
        <v>65</v>
      </c>
      <c r="I87" t="s">
        <v>191</v>
      </c>
      <c r="J87" t="s">
        <v>370</v>
      </c>
      <c r="K87" t="s">
        <v>348</v>
      </c>
      <c r="L87" t="s">
        <v>342</v>
      </c>
      <c r="M87" s="49"/>
      <c r="N87" t="s">
        <v>223</v>
      </c>
      <c r="O87" t="s">
        <v>223</v>
      </c>
      <c r="P87" t="s">
        <v>371</v>
      </c>
    </row>
    <row r="88" spans="1:16" x14ac:dyDescent="0.25">
      <c r="A88" t="s">
        <v>337</v>
      </c>
      <c r="B88" t="s">
        <v>378</v>
      </c>
      <c r="C88" s="1">
        <v>2100000</v>
      </c>
      <c r="D88" s="1">
        <v>50000</v>
      </c>
      <c r="E88" t="s">
        <v>359</v>
      </c>
      <c r="F88" t="s">
        <v>206</v>
      </c>
      <c r="G88">
        <v>1952</v>
      </c>
      <c r="H88" s="49">
        <f t="shared" si="1"/>
        <v>65</v>
      </c>
      <c r="I88" t="s">
        <v>191</v>
      </c>
      <c r="J88" t="s">
        <v>370</v>
      </c>
      <c r="K88" t="s">
        <v>348</v>
      </c>
      <c r="L88" t="s">
        <v>342</v>
      </c>
      <c r="M88" s="49"/>
      <c r="N88" t="s">
        <v>223</v>
      </c>
      <c r="O88" t="s">
        <v>223</v>
      </c>
      <c r="P88" t="s">
        <v>371</v>
      </c>
    </row>
    <row r="89" spans="1:16" x14ac:dyDescent="0.25">
      <c r="A89" t="s">
        <v>337</v>
      </c>
      <c r="B89" t="s">
        <v>379</v>
      </c>
      <c r="C89" s="1">
        <v>2100000</v>
      </c>
      <c r="D89" s="1">
        <v>50000</v>
      </c>
      <c r="E89" t="s">
        <v>258</v>
      </c>
      <c r="F89" t="s">
        <v>206</v>
      </c>
      <c r="G89">
        <v>1954</v>
      </c>
      <c r="H89" s="49">
        <f t="shared" si="1"/>
        <v>63</v>
      </c>
      <c r="I89" t="s">
        <v>191</v>
      </c>
      <c r="J89" t="s">
        <v>370</v>
      </c>
      <c r="K89" t="s">
        <v>348</v>
      </c>
      <c r="L89" t="s">
        <v>342</v>
      </c>
      <c r="M89" s="49"/>
      <c r="N89" t="s">
        <v>223</v>
      </c>
      <c r="O89" t="s">
        <v>223</v>
      </c>
      <c r="P89" t="s">
        <v>371</v>
      </c>
    </row>
    <row r="90" spans="1:16" x14ac:dyDescent="0.25">
      <c r="A90" t="s">
        <v>337</v>
      </c>
      <c r="B90" t="s">
        <v>380</v>
      </c>
      <c r="C90" s="1">
        <v>2100000</v>
      </c>
      <c r="D90" s="1">
        <v>50000</v>
      </c>
      <c r="E90" t="s">
        <v>258</v>
      </c>
      <c r="F90" t="s">
        <v>206</v>
      </c>
      <c r="G90">
        <v>1954</v>
      </c>
      <c r="H90" s="49">
        <f t="shared" si="1"/>
        <v>63</v>
      </c>
      <c r="I90" t="s">
        <v>191</v>
      </c>
      <c r="J90" t="s">
        <v>370</v>
      </c>
      <c r="K90" t="s">
        <v>348</v>
      </c>
      <c r="L90" t="s">
        <v>342</v>
      </c>
      <c r="M90" s="49"/>
      <c r="N90" t="s">
        <v>223</v>
      </c>
      <c r="O90" t="s">
        <v>223</v>
      </c>
      <c r="P90" t="s">
        <v>371</v>
      </c>
    </row>
    <row r="91" spans="1:16" x14ac:dyDescent="0.25">
      <c r="A91" t="s">
        <v>337</v>
      </c>
      <c r="B91" t="s">
        <v>381</v>
      </c>
      <c r="C91" s="1">
        <v>2100000</v>
      </c>
      <c r="D91" s="1">
        <v>50000</v>
      </c>
      <c r="E91" t="s">
        <v>258</v>
      </c>
      <c r="F91" t="s">
        <v>206</v>
      </c>
      <c r="G91">
        <v>1957</v>
      </c>
      <c r="H91" s="49">
        <f t="shared" si="1"/>
        <v>60</v>
      </c>
      <c r="I91" t="s">
        <v>191</v>
      </c>
      <c r="J91" t="s">
        <v>370</v>
      </c>
      <c r="K91" t="s">
        <v>348</v>
      </c>
      <c r="L91" t="s">
        <v>342</v>
      </c>
      <c r="M91" s="49"/>
      <c r="N91" t="s">
        <v>223</v>
      </c>
      <c r="O91" t="s">
        <v>223</v>
      </c>
      <c r="P91" t="s">
        <v>371</v>
      </c>
    </row>
    <row r="92" spans="1:16" x14ac:dyDescent="0.25">
      <c r="A92" t="s">
        <v>337</v>
      </c>
      <c r="B92" t="s">
        <v>382</v>
      </c>
      <c r="C92" s="1">
        <v>2085258</v>
      </c>
      <c r="D92" s="1">
        <v>49649</v>
      </c>
      <c r="E92" t="s">
        <v>201</v>
      </c>
      <c r="F92" t="s">
        <v>206</v>
      </c>
      <c r="G92">
        <v>1952</v>
      </c>
      <c r="H92" s="49">
        <f t="shared" si="1"/>
        <v>65</v>
      </c>
      <c r="I92" t="s">
        <v>191</v>
      </c>
      <c r="J92" t="s">
        <v>370</v>
      </c>
      <c r="K92" t="s">
        <v>348</v>
      </c>
      <c r="L92" t="s">
        <v>342</v>
      </c>
      <c r="M92" s="49"/>
      <c r="N92" t="s">
        <v>223</v>
      </c>
      <c r="O92" t="s">
        <v>223</v>
      </c>
      <c r="P92" t="s">
        <v>371</v>
      </c>
    </row>
    <row r="93" spans="1:16" x14ac:dyDescent="0.25">
      <c r="A93" t="s">
        <v>337</v>
      </c>
      <c r="B93" t="s">
        <v>383</v>
      </c>
      <c r="C93" s="1">
        <v>2100000</v>
      </c>
      <c r="D93" s="1">
        <v>50000</v>
      </c>
      <c r="E93" t="s">
        <v>201</v>
      </c>
      <c r="F93" t="s">
        <v>206</v>
      </c>
      <c r="G93">
        <v>1957</v>
      </c>
      <c r="H93" s="49">
        <f t="shared" si="1"/>
        <v>60</v>
      </c>
      <c r="I93" t="s">
        <v>191</v>
      </c>
      <c r="J93" t="s">
        <v>370</v>
      </c>
      <c r="K93" t="s">
        <v>348</v>
      </c>
      <c r="L93" t="s">
        <v>342</v>
      </c>
      <c r="M93" s="49"/>
      <c r="N93" t="s">
        <v>223</v>
      </c>
      <c r="O93" t="s">
        <v>223</v>
      </c>
      <c r="P93" t="s">
        <v>371</v>
      </c>
    </row>
    <row r="94" spans="1:16" x14ac:dyDescent="0.25">
      <c r="A94" t="s">
        <v>337</v>
      </c>
      <c r="B94" t="s">
        <v>384</v>
      </c>
      <c r="C94" s="1">
        <v>2100000</v>
      </c>
      <c r="D94" s="1">
        <v>50000</v>
      </c>
      <c r="E94" t="s">
        <v>258</v>
      </c>
      <c r="F94" t="s">
        <v>206</v>
      </c>
      <c r="G94">
        <v>1952</v>
      </c>
      <c r="H94" s="49">
        <f t="shared" si="1"/>
        <v>65</v>
      </c>
      <c r="I94" t="s">
        <v>191</v>
      </c>
      <c r="J94" t="s">
        <v>370</v>
      </c>
      <c r="K94" t="s">
        <v>348</v>
      </c>
      <c r="L94" t="s">
        <v>342</v>
      </c>
      <c r="M94" s="49"/>
      <c r="N94" t="s">
        <v>223</v>
      </c>
      <c r="O94" t="s">
        <v>223</v>
      </c>
      <c r="P94" t="s">
        <v>371</v>
      </c>
    </row>
    <row r="95" spans="1:16" x14ac:dyDescent="0.25">
      <c r="A95" t="s">
        <v>337</v>
      </c>
      <c r="B95" t="s">
        <v>385</v>
      </c>
      <c r="C95" s="1">
        <v>2100000</v>
      </c>
      <c r="D95" s="1">
        <v>50000</v>
      </c>
      <c r="E95" t="s">
        <v>258</v>
      </c>
      <c r="F95" t="s">
        <v>206</v>
      </c>
      <c r="G95">
        <v>1952</v>
      </c>
      <c r="H95" s="49">
        <f t="shared" si="1"/>
        <v>65</v>
      </c>
      <c r="I95" t="s">
        <v>191</v>
      </c>
      <c r="J95" t="s">
        <v>370</v>
      </c>
      <c r="K95" t="s">
        <v>348</v>
      </c>
      <c r="L95" t="s">
        <v>342</v>
      </c>
      <c r="M95" s="49"/>
      <c r="N95" t="s">
        <v>223</v>
      </c>
      <c r="O95" t="s">
        <v>223</v>
      </c>
      <c r="P95" t="s">
        <v>371</v>
      </c>
    </row>
    <row r="96" spans="1:16" x14ac:dyDescent="0.25">
      <c r="A96" t="s">
        <v>337</v>
      </c>
      <c r="B96" t="s">
        <v>386</v>
      </c>
      <c r="C96" s="1">
        <v>2087106</v>
      </c>
      <c r="D96" s="1">
        <v>49693</v>
      </c>
      <c r="E96" t="s">
        <v>201</v>
      </c>
      <c r="F96" t="s">
        <v>206</v>
      </c>
      <c r="G96">
        <v>1952</v>
      </c>
      <c r="H96" s="49">
        <f t="shared" si="1"/>
        <v>65</v>
      </c>
      <c r="I96" t="s">
        <v>191</v>
      </c>
      <c r="J96" t="s">
        <v>370</v>
      </c>
      <c r="K96" t="s">
        <v>348</v>
      </c>
      <c r="L96" t="s">
        <v>342</v>
      </c>
      <c r="M96" s="49"/>
      <c r="N96" t="s">
        <v>223</v>
      </c>
      <c r="O96" t="s">
        <v>223</v>
      </c>
      <c r="P96" t="s">
        <v>371</v>
      </c>
    </row>
    <row r="97" spans="1:16" x14ac:dyDescent="0.25">
      <c r="A97" t="s">
        <v>337</v>
      </c>
      <c r="B97" t="s">
        <v>387</v>
      </c>
      <c r="C97" s="1">
        <v>2086350</v>
      </c>
      <c r="D97" s="1">
        <v>49675</v>
      </c>
      <c r="E97" t="s">
        <v>201</v>
      </c>
      <c r="F97" t="s">
        <v>206</v>
      </c>
      <c r="G97">
        <v>1952</v>
      </c>
      <c r="H97" s="49">
        <f t="shared" si="1"/>
        <v>65</v>
      </c>
      <c r="I97" t="s">
        <v>191</v>
      </c>
      <c r="J97" t="s">
        <v>370</v>
      </c>
      <c r="K97" t="s">
        <v>348</v>
      </c>
      <c r="L97" t="s">
        <v>342</v>
      </c>
      <c r="M97" s="49"/>
      <c r="N97" t="s">
        <v>223</v>
      </c>
      <c r="O97" t="s">
        <v>223</v>
      </c>
      <c r="P97" t="s">
        <v>371</v>
      </c>
    </row>
    <row r="98" spans="1:16" x14ac:dyDescent="0.25">
      <c r="A98" t="s">
        <v>337</v>
      </c>
      <c r="B98" t="s">
        <v>388</v>
      </c>
      <c r="C98" s="1">
        <v>1995000</v>
      </c>
      <c r="D98" s="1">
        <v>47500</v>
      </c>
      <c r="E98" t="s">
        <v>201</v>
      </c>
      <c r="F98" t="s">
        <v>206</v>
      </c>
      <c r="G98">
        <v>1952</v>
      </c>
      <c r="H98" s="49">
        <f t="shared" si="1"/>
        <v>65</v>
      </c>
      <c r="I98" t="s">
        <v>191</v>
      </c>
      <c r="J98" t="s">
        <v>370</v>
      </c>
      <c r="K98" t="s">
        <v>348</v>
      </c>
      <c r="L98" t="s">
        <v>342</v>
      </c>
      <c r="M98" s="49"/>
      <c r="N98" t="s">
        <v>223</v>
      </c>
      <c r="O98" t="s">
        <v>223</v>
      </c>
      <c r="P98" t="s">
        <v>371</v>
      </c>
    </row>
    <row r="99" spans="1:16" x14ac:dyDescent="0.25">
      <c r="A99" t="s">
        <v>337</v>
      </c>
      <c r="B99" t="s">
        <v>389</v>
      </c>
      <c r="C99" s="1">
        <v>2100000</v>
      </c>
      <c r="D99" s="1">
        <v>50000</v>
      </c>
      <c r="E99" t="s">
        <v>201</v>
      </c>
      <c r="F99" t="s">
        <v>206</v>
      </c>
      <c r="G99">
        <v>1952</v>
      </c>
      <c r="H99" s="49">
        <f t="shared" si="1"/>
        <v>65</v>
      </c>
      <c r="I99" t="s">
        <v>191</v>
      </c>
      <c r="J99" t="s">
        <v>370</v>
      </c>
      <c r="K99" t="s">
        <v>348</v>
      </c>
      <c r="L99" t="s">
        <v>342</v>
      </c>
      <c r="M99" s="49"/>
      <c r="N99" t="s">
        <v>223</v>
      </c>
      <c r="O99" t="s">
        <v>223</v>
      </c>
      <c r="P99" t="s">
        <v>371</v>
      </c>
    </row>
    <row r="100" spans="1:16" ht="30" x14ac:dyDescent="0.25">
      <c r="A100" t="s">
        <v>337</v>
      </c>
      <c r="B100" t="s">
        <v>390</v>
      </c>
      <c r="C100" s="1">
        <v>2087316</v>
      </c>
      <c r="D100" s="1">
        <v>49698</v>
      </c>
      <c r="E100" t="s">
        <v>198</v>
      </c>
      <c r="F100" t="s">
        <v>206</v>
      </c>
      <c r="G100">
        <v>1952</v>
      </c>
      <c r="H100" s="49">
        <f t="shared" si="1"/>
        <v>65</v>
      </c>
      <c r="I100" t="s">
        <v>191</v>
      </c>
      <c r="J100" t="s">
        <v>370</v>
      </c>
      <c r="K100" t="s">
        <v>348</v>
      </c>
      <c r="L100" t="s">
        <v>391</v>
      </c>
      <c r="M100" s="49" t="s">
        <v>111</v>
      </c>
      <c r="N100" t="s">
        <v>223</v>
      </c>
      <c r="O100" s="4" t="s">
        <v>392</v>
      </c>
      <c r="P100" t="s">
        <v>371</v>
      </c>
    </row>
    <row r="101" spans="1:16" x14ac:dyDescent="0.25">
      <c r="A101" t="s">
        <v>337</v>
      </c>
      <c r="B101" t="s">
        <v>393</v>
      </c>
      <c r="C101" s="1">
        <v>2105544</v>
      </c>
      <c r="D101" s="1">
        <v>50132</v>
      </c>
      <c r="E101" t="s">
        <v>198</v>
      </c>
      <c r="F101" t="s">
        <v>206</v>
      </c>
      <c r="G101">
        <v>1960</v>
      </c>
      <c r="H101" s="49">
        <f t="shared" si="1"/>
        <v>57</v>
      </c>
      <c r="I101" t="s">
        <v>191</v>
      </c>
      <c r="J101" t="s">
        <v>370</v>
      </c>
      <c r="K101" t="s">
        <v>348</v>
      </c>
      <c r="L101" t="s">
        <v>342</v>
      </c>
      <c r="M101" s="49"/>
      <c r="N101" t="s">
        <v>223</v>
      </c>
      <c r="O101" t="s">
        <v>223</v>
      </c>
      <c r="P101" t="s">
        <v>371</v>
      </c>
    </row>
    <row r="102" spans="1:16" x14ac:dyDescent="0.25">
      <c r="A102" t="s">
        <v>337</v>
      </c>
      <c r="B102" t="s">
        <v>394</v>
      </c>
      <c r="C102" s="1">
        <v>2105628</v>
      </c>
      <c r="D102" s="1">
        <v>50134</v>
      </c>
      <c r="E102" t="s">
        <v>198</v>
      </c>
      <c r="F102" t="s">
        <v>206</v>
      </c>
      <c r="G102">
        <v>1960</v>
      </c>
      <c r="H102" s="49">
        <f t="shared" si="1"/>
        <v>57</v>
      </c>
      <c r="I102" t="s">
        <v>191</v>
      </c>
      <c r="J102" t="s">
        <v>370</v>
      </c>
      <c r="K102" t="s">
        <v>348</v>
      </c>
      <c r="L102" t="s">
        <v>342</v>
      </c>
      <c r="M102" s="49"/>
      <c r="N102" t="s">
        <v>223</v>
      </c>
      <c r="O102" t="s">
        <v>223</v>
      </c>
      <c r="P102" t="s">
        <v>371</v>
      </c>
    </row>
    <row r="103" spans="1:16" x14ac:dyDescent="0.25">
      <c r="A103" t="s">
        <v>337</v>
      </c>
      <c r="B103" t="s">
        <v>395</v>
      </c>
      <c r="C103" s="1">
        <v>2104788</v>
      </c>
      <c r="D103" s="1">
        <v>50114</v>
      </c>
      <c r="E103" t="s">
        <v>198</v>
      </c>
      <c r="F103" t="s">
        <v>206</v>
      </c>
      <c r="G103">
        <v>1960</v>
      </c>
      <c r="H103" s="49">
        <f t="shared" si="1"/>
        <v>57</v>
      </c>
      <c r="I103" t="s">
        <v>191</v>
      </c>
      <c r="J103" t="s">
        <v>370</v>
      </c>
      <c r="K103" t="s">
        <v>348</v>
      </c>
      <c r="L103" t="s">
        <v>342</v>
      </c>
      <c r="M103" s="49"/>
      <c r="N103" t="s">
        <v>223</v>
      </c>
      <c r="O103" t="s">
        <v>223</v>
      </c>
      <c r="P103" t="s">
        <v>371</v>
      </c>
    </row>
    <row r="104" spans="1:16" x14ac:dyDescent="0.25">
      <c r="A104" t="s">
        <v>337</v>
      </c>
      <c r="B104" t="s">
        <v>396</v>
      </c>
      <c r="C104" s="1">
        <v>3440304</v>
      </c>
      <c r="D104" s="1">
        <v>81912</v>
      </c>
      <c r="E104" t="s">
        <v>198</v>
      </c>
      <c r="F104" t="s">
        <v>206</v>
      </c>
      <c r="G104">
        <v>1969</v>
      </c>
      <c r="H104" s="49">
        <f t="shared" si="1"/>
        <v>48</v>
      </c>
      <c r="I104" t="s">
        <v>191</v>
      </c>
      <c r="J104" t="s">
        <v>397</v>
      </c>
      <c r="K104" t="s">
        <v>348</v>
      </c>
      <c r="L104" t="s">
        <v>342</v>
      </c>
      <c r="M104" s="49"/>
      <c r="N104" t="s">
        <v>223</v>
      </c>
      <c r="O104" t="s">
        <v>223</v>
      </c>
      <c r="P104" t="s">
        <v>371</v>
      </c>
    </row>
    <row r="105" spans="1:16" x14ac:dyDescent="0.25">
      <c r="A105" t="s">
        <v>337</v>
      </c>
      <c r="B105" t="s">
        <v>398</v>
      </c>
      <c r="C105" s="1">
        <v>3440640</v>
      </c>
      <c r="D105" s="1">
        <v>81920</v>
      </c>
      <c r="E105" t="s">
        <v>198</v>
      </c>
      <c r="F105" t="s">
        <v>206</v>
      </c>
      <c r="G105">
        <v>1969</v>
      </c>
      <c r="H105" s="49">
        <f t="shared" si="1"/>
        <v>48</v>
      </c>
      <c r="I105" t="s">
        <v>191</v>
      </c>
      <c r="J105" t="s">
        <v>397</v>
      </c>
      <c r="K105" t="s">
        <v>348</v>
      </c>
      <c r="L105" t="s">
        <v>342</v>
      </c>
      <c r="M105" s="49"/>
      <c r="N105" t="s">
        <v>223</v>
      </c>
      <c r="O105" t="s">
        <v>223</v>
      </c>
      <c r="P105" t="s">
        <v>371</v>
      </c>
    </row>
    <row r="106" spans="1:16" x14ac:dyDescent="0.25">
      <c r="A106" t="s">
        <v>337</v>
      </c>
      <c r="B106" t="s">
        <v>399</v>
      </c>
      <c r="C106" s="1">
        <v>3440304</v>
      </c>
      <c r="D106" s="1">
        <v>81912</v>
      </c>
      <c r="E106" t="s">
        <v>198</v>
      </c>
      <c r="F106" t="s">
        <v>206</v>
      </c>
      <c r="G106">
        <v>1969</v>
      </c>
      <c r="H106" s="49">
        <f t="shared" si="1"/>
        <v>48</v>
      </c>
      <c r="I106" t="s">
        <v>191</v>
      </c>
      <c r="J106" t="s">
        <v>397</v>
      </c>
      <c r="K106" t="s">
        <v>348</v>
      </c>
      <c r="L106" t="s">
        <v>342</v>
      </c>
      <c r="M106" s="49"/>
      <c r="N106" t="s">
        <v>223</v>
      </c>
      <c r="O106" t="s">
        <v>223</v>
      </c>
      <c r="P106" t="s">
        <v>371</v>
      </c>
    </row>
    <row r="107" spans="1:16" hidden="1" x14ac:dyDescent="0.25">
      <c r="A107" t="s">
        <v>337</v>
      </c>
      <c r="B107" t="s">
        <v>400</v>
      </c>
      <c r="C107" s="1">
        <v>79800</v>
      </c>
      <c r="D107" s="1">
        <v>1900</v>
      </c>
      <c r="E107" t="s">
        <v>347</v>
      </c>
      <c r="F107" t="s">
        <v>184</v>
      </c>
      <c r="G107">
        <v>1960</v>
      </c>
      <c r="H107" s="49">
        <f t="shared" si="1"/>
        <v>57</v>
      </c>
      <c r="I107" t="s">
        <v>191</v>
      </c>
      <c r="J107" t="s">
        <v>352</v>
      </c>
      <c r="K107" t="s">
        <v>348</v>
      </c>
      <c r="L107" t="s">
        <v>342</v>
      </c>
      <c r="M107" s="49"/>
      <c r="N107" t="s">
        <v>223</v>
      </c>
      <c r="O107" t="s">
        <v>223</v>
      </c>
      <c r="P107" t="s">
        <v>353</v>
      </c>
    </row>
    <row r="108" spans="1:16" x14ac:dyDescent="0.25">
      <c r="A108" t="s">
        <v>337</v>
      </c>
      <c r="B108" t="s">
        <v>401</v>
      </c>
      <c r="C108" s="1">
        <v>2100000</v>
      </c>
      <c r="D108" s="1">
        <v>50000</v>
      </c>
      <c r="E108" t="s">
        <v>198</v>
      </c>
      <c r="F108" t="s">
        <v>206</v>
      </c>
      <c r="G108">
        <v>1960</v>
      </c>
      <c r="H108" s="49">
        <f t="shared" si="1"/>
        <v>57</v>
      </c>
      <c r="I108" t="s">
        <v>191</v>
      </c>
      <c r="J108" t="s">
        <v>370</v>
      </c>
      <c r="K108" t="s">
        <v>348</v>
      </c>
      <c r="L108" t="s">
        <v>342</v>
      </c>
      <c r="M108" s="49"/>
    </row>
    <row r="109" spans="1:16" hidden="1" x14ac:dyDescent="0.25">
      <c r="A109" t="s">
        <v>402</v>
      </c>
      <c r="B109">
        <v>115</v>
      </c>
      <c r="C109" s="1">
        <v>42000</v>
      </c>
      <c r="D109" s="1">
        <v>1000</v>
      </c>
      <c r="E109" t="s">
        <v>347</v>
      </c>
      <c r="F109" t="s">
        <v>184</v>
      </c>
      <c r="G109">
        <v>1941</v>
      </c>
      <c r="H109" s="49">
        <f t="shared" si="1"/>
        <v>76</v>
      </c>
      <c r="I109" t="s">
        <v>191</v>
      </c>
      <c r="J109" t="s">
        <v>403</v>
      </c>
      <c r="K109" t="s">
        <v>404</v>
      </c>
      <c r="L109" t="s">
        <v>342</v>
      </c>
      <c r="M109" s="49"/>
    </row>
    <row r="110" spans="1:16" hidden="1" x14ac:dyDescent="0.25">
      <c r="A110" t="s">
        <v>402</v>
      </c>
      <c r="B110">
        <v>116</v>
      </c>
      <c r="C110" s="1">
        <v>42000</v>
      </c>
      <c r="D110" s="1">
        <v>1000</v>
      </c>
      <c r="E110" t="s">
        <v>347</v>
      </c>
      <c r="F110" t="s">
        <v>184</v>
      </c>
      <c r="G110">
        <v>1941</v>
      </c>
      <c r="H110" s="49">
        <f t="shared" si="1"/>
        <v>76</v>
      </c>
      <c r="I110" t="s">
        <v>191</v>
      </c>
      <c r="J110" t="s">
        <v>403</v>
      </c>
      <c r="K110" t="s">
        <v>404</v>
      </c>
      <c r="L110" t="s">
        <v>342</v>
      </c>
      <c r="M110" s="49"/>
    </row>
    <row r="111" spans="1:16" x14ac:dyDescent="0.25">
      <c r="A111" t="s">
        <v>402</v>
      </c>
      <c r="B111">
        <v>14</v>
      </c>
      <c r="C111" s="1">
        <v>105000</v>
      </c>
      <c r="D111" s="1">
        <v>2500</v>
      </c>
      <c r="E111" t="s">
        <v>201</v>
      </c>
      <c r="F111" t="s">
        <v>206</v>
      </c>
      <c r="G111">
        <v>1942</v>
      </c>
      <c r="H111" s="49">
        <f t="shared" si="1"/>
        <v>75</v>
      </c>
      <c r="I111" t="s">
        <v>191</v>
      </c>
      <c r="J111" t="s">
        <v>405</v>
      </c>
      <c r="K111" t="s">
        <v>406</v>
      </c>
      <c r="L111" t="s">
        <v>342</v>
      </c>
      <c r="M111" s="49"/>
    </row>
    <row r="112" spans="1:16" x14ac:dyDescent="0.25">
      <c r="A112" t="s">
        <v>402</v>
      </c>
      <c r="B112">
        <v>141</v>
      </c>
      <c r="C112" s="1">
        <v>2100000</v>
      </c>
      <c r="D112" s="1">
        <v>50000</v>
      </c>
      <c r="E112" t="s">
        <v>407</v>
      </c>
      <c r="F112" t="s">
        <v>206</v>
      </c>
      <c r="G112">
        <v>1952</v>
      </c>
      <c r="H112" s="49">
        <f t="shared" si="1"/>
        <v>65</v>
      </c>
      <c r="I112" t="s">
        <v>191</v>
      </c>
      <c r="J112" t="s">
        <v>408</v>
      </c>
      <c r="K112" t="s">
        <v>404</v>
      </c>
      <c r="L112" t="s">
        <v>342</v>
      </c>
      <c r="M112" s="49"/>
    </row>
    <row r="113" spans="1:13" x14ac:dyDescent="0.25">
      <c r="A113" t="s">
        <v>402</v>
      </c>
      <c r="B113">
        <v>142</v>
      </c>
      <c r="C113" s="1">
        <v>2100000</v>
      </c>
      <c r="D113" s="1">
        <v>50000</v>
      </c>
      <c r="E113" t="s">
        <v>407</v>
      </c>
      <c r="F113" t="s">
        <v>206</v>
      </c>
      <c r="G113">
        <v>1952</v>
      </c>
      <c r="H113" s="49">
        <f t="shared" si="1"/>
        <v>65</v>
      </c>
      <c r="I113" t="s">
        <v>191</v>
      </c>
      <c r="J113" t="s">
        <v>408</v>
      </c>
      <c r="K113" t="s">
        <v>404</v>
      </c>
      <c r="L113" t="s">
        <v>342</v>
      </c>
      <c r="M113" s="49"/>
    </row>
    <row r="114" spans="1:13" hidden="1" x14ac:dyDescent="0.25">
      <c r="A114" t="s">
        <v>402</v>
      </c>
      <c r="B114">
        <v>145</v>
      </c>
      <c r="C114" s="1">
        <v>3360000</v>
      </c>
      <c r="D114" s="1">
        <v>80000</v>
      </c>
      <c r="E114" t="s">
        <v>407</v>
      </c>
      <c r="F114" t="s">
        <v>184</v>
      </c>
      <c r="G114">
        <v>1955</v>
      </c>
      <c r="H114" s="49">
        <f t="shared" si="1"/>
        <v>62</v>
      </c>
      <c r="I114" t="s">
        <v>191</v>
      </c>
      <c r="J114" t="s">
        <v>409</v>
      </c>
      <c r="K114" t="s">
        <v>404</v>
      </c>
      <c r="L114" t="s">
        <v>342</v>
      </c>
      <c r="M114" s="49"/>
    </row>
    <row r="115" spans="1:13" hidden="1" x14ac:dyDescent="0.25">
      <c r="A115" t="s">
        <v>402</v>
      </c>
      <c r="B115">
        <v>146</v>
      </c>
      <c r="C115" s="1">
        <v>3360000</v>
      </c>
      <c r="D115" s="1">
        <v>80000</v>
      </c>
      <c r="E115" t="s">
        <v>407</v>
      </c>
      <c r="F115" t="s">
        <v>184</v>
      </c>
      <c r="G115">
        <v>1955</v>
      </c>
      <c r="H115" s="49">
        <f t="shared" si="1"/>
        <v>62</v>
      </c>
      <c r="I115" t="s">
        <v>191</v>
      </c>
      <c r="J115" t="s">
        <v>409</v>
      </c>
      <c r="K115" t="s">
        <v>404</v>
      </c>
      <c r="L115" t="s">
        <v>342</v>
      </c>
      <c r="M115" s="49"/>
    </row>
    <row r="116" spans="1:13" hidden="1" x14ac:dyDescent="0.25">
      <c r="A116" t="s">
        <v>402</v>
      </c>
      <c r="B116">
        <v>147</v>
      </c>
      <c r="C116" s="1">
        <v>3360000</v>
      </c>
      <c r="D116" s="1">
        <v>80000</v>
      </c>
      <c r="E116" t="s">
        <v>407</v>
      </c>
      <c r="F116" t="s">
        <v>184</v>
      </c>
      <c r="G116">
        <v>1955</v>
      </c>
      <c r="H116" s="49">
        <f t="shared" si="1"/>
        <v>62</v>
      </c>
      <c r="I116" t="s">
        <v>191</v>
      </c>
      <c r="J116" t="s">
        <v>409</v>
      </c>
      <c r="K116" t="s">
        <v>404</v>
      </c>
      <c r="L116" t="s">
        <v>342</v>
      </c>
      <c r="M116" s="49"/>
    </row>
    <row r="117" spans="1:13" hidden="1" x14ac:dyDescent="0.25">
      <c r="A117" t="s">
        <v>402</v>
      </c>
      <c r="B117">
        <v>148</v>
      </c>
      <c r="C117" s="1">
        <v>3360000</v>
      </c>
      <c r="D117" s="1">
        <v>80000</v>
      </c>
      <c r="E117" t="s">
        <v>407</v>
      </c>
      <c r="F117" t="s">
        <v>184</v>
      </c>
      <c r="G117">
        <v>1955</v>
      </c>
      <c r="H117" s="49">
        <f t="shared" si="1"/>
        <v>62</v>
      </c>
      <c r="I117" t="s">
        <v>191</v>
      </c>
      <c r="J117" t="s">
        <v>409</v>
      </c>
      <c r="K117" t="s">
        <v>404</v>
      </c>
      <c r="L117" t="s">
        <v>342</v>
      </c>
      <c r="M117" s="49"/>
    </row>
    <row r="118" spans="1:13" hidden="1" x14ac:dyDescent="0.25">
      <c r="A118" t="s">
        <v>402</v>
      </c>
      <c r="B118">
        <v>149</v>
      </c>
      <c r="C118" s="1">
        <v>3360000</v>
      </c>
      <c r="D118" s="1">
        <v>80000</v>
      </c>
      <c r="E118" t="s">
        <v>407</v>
      </c>
      <c r="F118" t="s">
        <v>184</v>
      </c>
      <c r="G118">
        <v>1955</v>
      </c>
      <c r="H118" s="49">
        <f t="shared" si="1"/>
        <v>62</v>
      </c>
      <c r="I118" t="s">
        <v>191</v>
      </c>
      <c r="J118" t="s">
        <v>409</v>
      </c>
      <c r="K118" t="s">
        <v>404</v>
      </c>
      <c r="L118" t="s">
        <v>342</v>
      </c>
      <c r="M118" s="49"/>
    </row>
    <row r="119" spans="1:13" x14ac:dyDescent="0.25">
      <c r="A119" t="s">
        <v>402</v>
      </c>
      <c r="B119">
        <v>16</v>
      </c>
      <c r="C119" s="1">
        <v>1134000</v>
      </c>
      <c r="D119" s="1">
        <v>27000</v>
      </c>
      <c r="E119" t="s">
        <v>201</v>
      </c>
      <c r="F119" t="s">
        <v>206</v>
      </c>
      <c r="G119">
        <v>1942</v>
      </c>
      <c r="H119" s="49">
        <f t="shared" si="1"/>
        <v>75</v>
      </c>
      <c r="I119" t="s">
        <v>191</v>
      </c>
      <c r="J119" t="s">
        <v>410</v>
      </c>
      <c r="K119" t="s">
        <v>406</v>
      </c>
      <c r="L119" t="s">
        <v>342</v>
      </c>
      <c r="M119" s="49"/>
    </row>
    <row r="120" spans="1:13" x14ac:dyDescent="0.25">
      <c r="A120" t="s">
        <v>402</v>
      </c>
      <c r="B120">
        <v>17</v>
      </c>
      <c r="C120" s="1">
        <v>1134000</v>
      </c>
      <c r="D120" s="1">
        <v>27000</v>
      </c>
      <c r="E120" t="s">
        <v>201</v>
      </c>
      <c r="F120" t="s">
        <v>206</v>
      </c>
      <c r="G120">
        <v>1942</v>
      </c>
      <c r="H120" s="49">
        <f t="shared" si="1"/>
        <v>75</v>
      </c>
      <c r="I120" t="s">
        <v>191</v>
      </c>
      <c r="J120" t="s">
        <v>410</v>
      </c>
      <c r="K120" t="s">
        <v>406</v>
      </c>
      <c r="L120" t="s">
        <v>342</v>
      </c>
      <c r="M120" s="49"/>
    </row>
    <row r="121" spans="1:13" hidden="1" x14ac:dyDescent="0.25">
      <c r="A121" t="s">
        <v>402</v>
      </c>
      <c r="B121">
        <v>179</v>
      </c>
      <c r="C121" s="1">
        <v>210000</v>
      </c>
      <c r="D121" s="1">
        <v>5000</v>
      </c>
      <c r="E121" t="s">
        <v>190</v>
      </c>
      <c r="F121" t="s">
        <v>184</v>
      </c>
      <c r="G121">
        <v>1977</v>
      </c>
      <c r="H121" s="49">
        <f t="shared" si="1"/>
        <v>40</v>
      </c>
      <c r="I121" t="s">
        <v>191</v>
      </c>
      <c r="J121" t="s">
        <v>411</v>
      </c>
      <c r="K121" t="s">
        <v>404</v>
      </c>
      <c r="L121" t="s">
        <v>342</v>
      </c>
      <c r="M121" s="49"/>
    </row>
    <row r="122" spans="1:13" x14ac:dyDescent="0.25">
      <c r="A122" t="s">
        <v>402</v>
      </c>
      <c r="B122">
        <v>18</v>
      </c>
      <c r="C122" s="1">
        <v>1134000</v>
      </c>
      <c r="D122" s="1">
        <v>27000</v>
      </c>
      <c r="E122" t="s">
        <v>201</v>
      </c>
      <c r="F122" t="s">
        <v>206</v>
      </c>
      <c r="G122">
        <v>1942</v>
      </c>
      <c r="H122" s="49">
        <f t="shared" si="1"/>
        <v>75</v>
      </c>
      <c r="I122" t="s">
        <v>191</v>
      </c>
      <c r="J122" t="s">
        <v>410</v>
      </c>
      <c r="K122" t="s">
        <v>406</v>
      </c>
      <c r="L122" t="s">
        <v>342</v>
      </c>
      <c r="M122" s="49"/>
    </row>
    <row r="123" spans="1:13" hidden="1" x14ac:dyDescent="0.25">
      <c r="A123" t="s">
        <v>402</v>
      </c>
      <c r="B123">
        <v>180</v>
      </c>
      <c r="C123" s="1">
        <v>1134000</v>
      </c>
      <c r="D123" s="1">
        <v>27000</v>
      </c>
      <c r="E123" t="s">
        <v>190</v>
      </c>
      <c r="F123" t="s">
        <v>184</v>
      </c>
      <c r="G123">
        <v>1977</v>
      </c>
      <c r="H123" s="49">
        <f t="shared" si="1"/>
        <v>40</v>
      </c>
      <c r="I123" t="s">
        <v>191</v>
      </c>
      <c r="J123" t="s">
        <v>412</v>
      </c>
      <c r="K123" t="s">
        <v>404</v>
      </c>
      <c r="L123" t="s">
        <v>342</v>
      </c>
      <c r="M123" s="49"/>
    </row>
    <row r="124" spans="1:13" hidden="1" x14ac:dyDescent="0.25">
      <c r="A124" t="s">
        <v>402</v>
      </c>
      <c r="B124">
        <v>181</v>
      </c>
      <c r="C124" s="1">
        <v>1134000</v>
      </c>
      <c r="D124" s="1">
        <v>27000</v>
      </c>
      <c r="E124" t="s">
        <v>190</v>
      </c>
      <c r="F124" t="s">
        <v>184</v>
      </c>
      <c r="G124">
        <v>1977</v>
      </c>
      <c r="H124" s="49">
        <f t="shared" si="1"/>
        <v>40</v>
      </c>
      <c r="I124" t="s">
        <v>191</v>
      </c>
      <c r="J124" t="s">
        <v>412</v>
      </c>
      <c r="K124" t="s">
        <v>404</v>
      </c>
      <c r="L124" t="s">
        <v>342</v>
      </c>
      <c r="M124" s="49"/>
    </row>
    <row r="125" spans="1:13" hidden="1" x14ac:dyDescent="0.25">
      <c r="A125" t="s">
        <v>402</v>
      </c>
      <c r="B125">
        <v>182</v>
      </c>
      <c r="C125" s="1">
        <v>210000</v>
      </c>
      <c r="D125" s="1">
        <v>5000</v>
      </c>
      <c r="E125" t="s">
        <v>347</v>
      </c>
      <c r="F125" t="s">
        <v>184</v>
      </c>
      <c r="G125">
        <v>1977</v>
      </c>
      <c r="H125" s="49">
        <f t="shared" si="1"/>
        <v>40</v>
      </c>
      <c r="I125" t="s">
        <v>191</v>
      </c>
      <c r="J125" t="s">
        <v>411</v>
      </c>
      <c r="K125" t="s">
        <v>404</v>
      </c>
      <c r="L125" t="s">
        <v>342</v>
      </c>
      <c r="M125" s="49"/>
    </row>
    <row r="126" spans="1:13" x14ac:dyDescent="0.25">
      <c r="A126" t="s">
        <v>402</v>
      </c>
      <c r="B126">
        <v>19</v>
      </c>
      <c r="C126" s="1">
        <v>1134000</v>
      </c>
      <c r="D126" s="1">
        <v>27000</v>
      </c>
      <c r="E126" t="s">
        <v>201</v>
      </c>
      <c r="F126" t="s">
        <v>206</v>
      </c>
      <c r="G126">
        <v>1942</v>
      </c>
      <c r="H126" s="49">
        <f t="shared" si="1"/>
        <v>75</v>
      </c>
      <c r="I126" t="s">
        <v>191</v>
      </c>
      <c r="J126" t="s">
        <v>410</v>
      </c>
      <c r="K126" t="s">
        <v>406</v>
      </c>
      <c r="L126" t="s">
        <v>342</v>
      </c>
      <c r="M126" s="49"/>
    </row>
    <row r="127" spans="1:13" hidden="1" x14ac:dyDescent="0.25">
      <c r="A127" t="s">
        <v>402</v>
      </c>
      <c r="B127">
        <v>195</v>
      </c>
      <c r="C127" s="1">
        <v>17010</v>
      </c>
      <c r="D127">
        <v>405</v>
      </c>
      <c r="E127" t="s">
        <v>183</v>
      </c>
      <c r="F127" t="s">
        <v>184</v>
      </c>
      <c r="G127">
        <v>1987</v>
      </c>
      <c r="H127" s="49">
        <f t="shared" si="1"/>
        <v>30</v>
      </c>
      <c r="I127" t="s">
        <v>185</v>
      </c>
      <c r="J127" t="s">
        <v>413</v>
      </c>
      <c r="K127" t="s">
        <v>404</v>
      </c>
      <c r="L127" t="s">
        <v>342</v>
      </c>
      <c r="M127" s="49"/>
    </row>
    <row r="128" spans="1:13" hidden="1" x14ac:dyDescent="0.25">
      <c r="A128" t="s">
        <v>402</v>
      </c>
      <c r="B128">
        <v>196</v>
      </c>
      <c r="C128" s="1">
        <v>17010</v>
      </c>
      <c r="D128">
        <v>405</v>
      </c>
      <c r="E128" t="s">
        <v>183</v>
      </c>
      <c r="F128" t="s">
        <v>184</v>
      </c>
      <c r="G128">
        <v>1987</v>
      </c>
      <c r="H128" s="49">
        <f t="shared" si="1"/>
        <v>30</v>
      </c>
      <c r="I128" t="s">
        <v>185</v>
      </c>
      <c r="J128" t="s">
        <v>413</v>
      </c>
      <c r="K128" t="s">
        <v>404</v>
      </c>
      <c r="L128" t="s">
        <v>342</v>
      </c>
      <c r="M128" s="49"/>
    </row>
    <row r="129" spans="1:14" hidden="1" x14ac:dyDescent="0.25">
      <c r="A129" t="s">
        <v>402</v>
      </c>
      <c r="B129">
        <v>197</v>
      </c>
      <c r="C129" s="1">
        <v>17010</v>
      </c>
      <c r="D129">
        <v>405</v>
      </c>
      <c r="E129" t="s">
        <v>183</v>
      </c>
      <c r="F129" t="s">
        <v>184</v>
      </c>
      <c r="G129">
        <v>1987</v>
      </c>
      <c r="H129" s="49">
        <f t="shared" si="1"/>
        <v>30</v>
      </c>
      <c r="I129" t="s">
        <v>185</v>
      </c>
      <c r="J129" t="s">
        <v>413</v>
      </c>
      <c r="K129" t="s">
        <v>404</v>
      </c>
      <c r="L129" t="s">
        <v>342</v>
      </c>
      <c r="M129" s="49"/>
    </row>
    <row r="130" spans="1:14" hidden="1" x14ac:dyDescent="0.25">
      <c r="A130" t="s">
        <v>402</v>
      </c>
      <c r="B130">
        <v>198</v>
      </c>
      <c r="C130" s="1">
        <v>17010</v>
      </c>
      <c r="D130">
        <v>405</v>
      </c>
      <c r="E130" t="s">
        <v>183</v>
      </c>
      <c r="F130" t="s">
        <v>184</v>
      </c>
      <c r="G130">
        <v>1987</v>
      </c>
      <c r="H130" s="49">
        <f t="shared" si="1"/>
        <v>30</v>
      </c>
      <c r="I130" t="s">
        <v>185</v>
      </c>
      <c r="J130" t="s">
        <v>413</v>
      </c>
      <c r="K130" t="s">
        <v>404</v>
      </c>
      <c r="L130" t="s">
        <v>342</v>
      </c>
      <c r="M130" s="49"/>
    </row>
    <row r="131" spans="1:14" x14ac:dyDescent="0.25">
      <c r="A131" t="s">
        <v>402</v>
      </c>
      <c r="B131">
        <v>20</v>
      </c>
      <c r="C131" s="1">
        <v>1134000</v>
      </c>
      <c r="D131" s="1">
        <v>27000</v>
      </c>
      <c r="E131" t="s">
        <v>201</v>
      </c>
      <c r="F131" t="s">
        <v>206</v>
      </c>
      <c r="G131">
        <v>1942</v>
      </c>
      <c r="H131" s="49">
        <f t="shared" ref="H131:H194" si="2">2017-G131</f>
        <v>75</v>
      </c>
      <c r="I131" t="s">
        <v>191</v>
      </c>
      <c r="J131" t="s">
        <v>410</v>
      </c>
      <c r="K131" t="s">
        <v>406</v>
      </c>
      <c r="L131" t="s">
        <v>342</v>
      </c>
      <c r="M131" s="49"/>
    </row>
    <row r="132" spans="1:14" x14ac:dyDescent="0.25">
      <c r="A132" t="s">
        <v>402</v>
      </c>
      <c r="B132">
        <v>21</v>
      </c>
      <c r="C132" s="1">
        <v>1134000</v>
      </c>
      <c r="D132" s="1">
        <v>27000</v>
      </c>
      <c r="E132" t="s">
        <v>201</v>
      </c>
      <c r="F132" t="s">
        <v>206</v>
      </c>
      <c r="G132">
        <v>1942</v>
      </c>
      <c r="H132" s="49">
        <f t="shared" si="2"/>
        <v>75</v>
      </c>
      <c r="I132" t="s">
        <v>191</v>
      </c>
      <c r="J132" t="s">
        <v>410</v>
      </c>
      <c r="K132" t="s">
        <v>406</v>
      </c>
      <c r="L132" t="s">
        <v>342</v>
      </c>
      <c r="M132" s="49"/>
    </row>
    <row r="133" spans="1:14" hidden="1" x14ac:dyDescent="0.25">
      <c r="A133" t="s">
        <v>402</v>
      </c>
      <c r="B133">
        <v>215</v>
      </c>
      <c r="C133" s="1">
        <v>14994</v>
      </c>
      <c r="D133">
        <v>357</v>
      </c>
      <c r="E133" t="s">
        <v>339</v>
      </c>
      <c r="F133" t="s">
        <v>184</v>
      </c>
      <c r="G133">
        <v>1995</v>
      </c>
      <c r="H133" s="49">
        <f t="shared" si="2"/>
        <v>22</v>
      </c>
      <c r="I133" t="s">
        <v>191</v>
      </c>
      <c r="J133" t="s">
        <v>414</v>
      </c>
      <c r="K133" t="s">
        <v>404</v>
      </c>
      <c r="L133" t="s">
        <v>342</v>
      </c>
      <c r="M133" s="49"/>
    </row>
    <row r="134" spans="1:14" hidden="1" x14ac:dyDescent="0.25">
      <c r="A134" t="s">
        <v>402</v>
      </c>
      <c r="B134">
        <v>216</v>
      </c>
      <c r="C134" s="1">
        <v>14994</v>
      </c>
      <c r="D134">
        <v>357</v>
      </c>
      <c r="E134" t="s">
        <v>339</v>
      </c>
      <c r="F134" t="s">
        <v>184</v>
      </c>
      <c r="G134">
        <v>1995</v>
      </c>
      <c r="H134" s="49">
        <f t="shared" si="2"/>
        <v>22</v>
      </c>
      <c r="I134" t="s">
        <v>191</v>
      </c>
      <c r="J134" t="s">
        <v>414</v>
      </c>
      <c r="K134" t="s">
        <v>404</v>
      </c>
      <c r="L134" t="s">
        <v>342</v>
      </c>
      <c r="M134" s="49"/>
    </row>
    <row r="135" spans="1:14" x14ac:dyDescent="0.25">
      <c r="A135" t="s">
        <v>402</v>
      </c>
      <c r="B135">
        <v>22</v>
      </c>
      <c r="C135" s="1">
        <v>2100000</v>
      </c>
      <c r="D135" s="1">
        <v>50000</v>
      </c>
      <c r="E135" t="s">
        <v>198</v>
      </c>
      <c r="F135" t="s">
        <v>206</v>
      </c>
      <c r="G135">
        <v>1942</v>
      </c>
      <c r="H135" s="49">
        <f t="shared" si="2"/>
        <v>75</v>
      </c>
      <c r="I135" t="s">
        <v>191</v>
      </c>
      <c r="J135" t="s">
        <v>415</v>
      </c>
      <c r="K135" t="s">
        <v>406</v>
      </c>
      <c r="L135" t="s">
        <v>342</v>
      </c>
      <c r="M135" s="49"/>
    </row>
    <row r="136" spans="1:14" x14ac:dyDescent="0.25">
      <c r="A136" t="s">
        <v>402</v>
      </c>
      <c r="B136">
        <v>23</v>
      </c>
      <c r="C136" s="1">
        <v>2100000</v>
      </c>
      <c r="D136" s="1">
        <v>50000</v>
      </c>
      <c r="E136" t="s">
        <v>198</v>
      </c>
      <c r="F136" t="s">
        <v>206</v>
      </c>
      <c r="G136">
        <v>1942</v>
      </c>
      <c r="H136" s="49">
        <f t="shared" si="2"/>
        <v>75</v>
      </c>
      <c r="I136" t="s">
        <v>191</v>
      </c>
      <c r="J136" t="s">
        <v>415</v>
      </c>
      <c r="K136" t="s">
        <v>406</v>
      </c>
      <c r="L136" t="s">
        <v>342</v>
      </c>
      <c r="M136" s="49"/>
    </row>
    <row r="137" spans="1:14" x14ac:dyDescent="0.25">
      <c r="A137" t="s">
        <v>402</v>
      </c>
      <c r="B137">
        <v>24</v>
      </c>
      <c r="C137" s="1">
        <v>2100000</v>
      </c>
      <c r="D137" s="1">
        <v>50000</v>
      </c>
      <c r="E137" t="s">
        <v>198</v>
      </c>
      <c r="F137" t="s">
        <v>206</v>
      </c>
      <c r="G137">
        <v>1942</v>
      </c>
      <c r="H137" s="49">
        <f t="shared" si="2"/>
        <v>75</v>
      </c>
      <c r="I137" t="s">
        <v>191</v>
      </c>
      <c r="J137" t="s">
        <v>415</v>
      </c>
      <c r="K137" t="s">
        <v>406</v>
      </c>
      <c r="L137" t="s">
        <v>342</v>
      </c>
      <c r="M137" s="49"/>
      <c r="N137" t="s">
        <v>416</v>
      </c>
    </row>
    <row r="138" spans="1:14" x14ac:dyDescent="0.25">
      <c r="A138" t="s">
        <v>402</v>
      </c>
      <c r="B138">
        <v>25</v>
      </c>
      <c r="C138" s="1">
        <v>2100000</v>
      </c>
      <c r="D138" s="1">
        <v>50000</v>
      </c>
      <c r="E138" t="s">
        <v>198</v>
      </c>
      <c r="F138" t="s">
        <v>206</v>
      </c>
      <c r="G138">
        <v>1942</v>
      </c>
      <c r="H138" s="49">
        <f t="shared" si="2"/>
        <v>75</v>
      </c>
      <c r="I138" t="s">
        <v>191</v>
      </c>
      <c r="J138" t="s">
        <v>415</v>
      </c>
      <c r="K138" t="s">
        <v>406</v>
      </c>
      <c r="L138" t="s">
        <v>342</v>
      </c>
      <c r="M138" s="49"/>
    </row>
    <row r="139" spans="1:14" x14ac:dyDescent="0.25">
      <c r="A139" t="s">
        <v>402</v>
      </c>
      <c r="B139">
        <v>26</v>
      </c>
      <c r="C139" s="1">
        <v>2100000</v>
      </c>
      <c r="D139" s="1">
        <v>50000</v>
      </c>
      <c r="E139" t="s">
        <v>198</v>
      </c>
      <c r="F139" t="s">
        <v>206</v>
      </c>
      <c r="G139">
        <v>1942</v>
      </c>
      <c r="H139" s="49">
        <f t="shared" si="2"/>
        <v>75</v>
      </c>
      <c r="I139" t="s">
        <v>191</v>
      </c>
      <c r="J139" t="s">
        <v>415</v>
      </c>
      <c r="K139" t="s">
        <v>406</v>
      </c>
      <c r="L139" t="s">
        <v>342</v>
      </c>
      <c r="M139" s="49"/>
    </row>
    <row r="140" spans="1:14" x14ac:dyDescent="0.25">
      <c r="A140" t="s">
        <v>402</v>
      </c>
      <c r="B140">
        <v>27</v>
      </c>
      <c r="C140" s="1">
        <v>2100000</v>
      </c>
      <c r="D140" s="1">
        <v>50000</v>
      </c>
      <c r="E140" t="s">
        <v>198</v>
      </c>
      <c r="F140" t="s">
        <v>206</v>
      </c>
      <c r="G140">
        <v>1942</v>
      </c>
      <c r="H140" s="49">
        <f t="shared" si="2"/>
        <v>75</v>
      </c>
      <c r="I140" t="s">
        <v>191</v>
      </c>
      <c r="J140" t="s">
        <v>415</v>
      </c>
      <c r="K140" t="s">
        <v>406</v>
      </c>
      <c r="L140" t="s">
        <v>342</v>
      </c>
      <c r="M140" s="49"/>
    </row>
    <row r="141" spans="1:14" x14ac:dyDescent="0.25">
      <c r="A141" t="s">
        <v>402</v>
      </c>
      <c r="B141">
        <v>28</v>
      </c>
      <c r="C141" s="1">
        <v>2100000</v>
      </c>
      <c r="D141" s="1">
        <v>50000</v>
      </c>
      <c r="E141" t="s">
        <v>198</v>
      </c>
      <c r="F141" t="s">
        <v>206</v>
      </c>
      <c r="G141">
        <v>1942</v>
      </c>
      <c r="H141" s="49">
        <f t="shared" si="2"/>
        <v>75</v>
      </c>
      <c r="I141" t="s">
        <v>191</v>
      </c>
      <c r="J141" t="s">
        <v>415</v>
      </c>
      <c r="K141" t="s">
        <v>406</v>
      </c>
      <c r="L141" t="s">
        <v>342</v>
      </c>
      <c r="M141" s="49"/>
    </row>
    <row r="142" spans="1:14" x14ac:dyDescent="0.25">
      <c r="A142" t="s">
        <v>402</v>
      </c>
      <c r="B142">
        <v>29</v>
      </c>
      <c r="C142" s="1">
        <v>2100000</v>
      </c>
      <c r="D142" s="1">
        <v>50000</v>
      </c>
      <c r="E142" t="s">
        <v>198</v>
      </c>
      <c r="F142" t="s">
        <v>206</v>
      </c>
      <c r="G142">
        <v>1942</v>
      </c>
      <c r="H142" s="49">
        <f t="shared" si="2"/>
        <v>75</v>
      </c>
      <c r="I142" t="s">
        <v>191</v>
      </c>
      <c r="J142" t="s">
        <v>415</v>
      </c>
      <c r="K142" t="s">
        <v>406</v>
      </c>
      <c r="L142" t="s">
        <v>342</v>
      </c>
      <c r="M142" s="49"/>
      <c r="N142" t="s">
        <v>417</v>
      </c>
    </row>
    <row r="143" spans="1:14" x14ac:dyDescent="0.25">
      <c r="A143" t="s">
        <v>402</v>
      </c>
      <c r="B143">
        <v>30</v>
      </c>
      <c r="C143" s="1">
        <v>2100000</v>
      </c>
      <c r="D143" s="1">
        <v>50000</v>
      </c>
      <c r="E143" t="s">
        <v>198</v>
      </c>
      <c r="F143" t="s">
        <v>206</v>
      </c>
      <c r="G143">
        <v>1942</v>
      </c>
      <c r="H143" s="49">
        <f t="shared" si="2"/>
        <v>75</v>
      </c>
      <c r="I143" t="s">
        <v>191</v>
      </c>
      <c r="J143" t="s">
        <v>415</v>
      </c>
      <c r="K143" t="s">
        <v>406</v>
      </c>
      <c r="L143" t="s">
        <v>342</v>
      </c>
      <c r="M143" s="49"/>
    </row>
    <row r="144" spans="1:14" x14ac:dyDescent="0.25">
      <c r="A144" t="s">
        <v>402</v>
      </c>
      <c r="B144">
        <v>31</v>
      </c>
      <c r="C144" s="1">
        <v>2100000</v>
      </c>
      <c r="D144" s="1">
        <v>50000</v>
      </c>
      <c r="E144" t="s">
        <v>201</v>
      </c>
      <c r="F144" t="s">
        <v>206</v>
      </c>
      <c r="G144">
        <v>1942</v>
      </c>
      <c r="H144" s="49">
        <f t="shared" si="2"/>
        <v>75</v>
      </c>
      <c r="I144" t="s">
        <v>191</v>
      </c>
      <c r="J144" t="s">
        <v>415</v>
      </c>
      <c r="K144" t="s">
        <v>406</v>
      </c>
      <c r="L144" t="s">
        <v>342</v>
      </c>
      <c r="M144" s="49"/>
    </row>
    <row r="145" spans="1:13" x14ac:dyDescent="0.25">
      <c r="A145" t="s">
        <v>402</v>
      </c>
      <c r="B145">
        <v>32</v>
      </c>
      <c r="C145" s="1">
        <v>2100000</v>
      </c>
      <c r="D145" s="1">
        <v>50000</v>
      </c>
      <c r="E145" t="s">
        <v>201</v>
      </c>
      <c r="F145" t="s">
        <v>206</v>
      </c>
      <c r="G145">
        <v>1942</v>
      </c>
      <c r="H145" s="49">
        <f t="shared" si="2"/>
        <v>75</v>
      </c>
      <c r="I145" t="s">
        <v>191</v>
      </c>
      <c r="J145" t="s">
        <v>415</v>
      </c>
      <c r="K145" t="s">
        <v>406</v>
      </c>
      <c r="L145" t="s">
        <v>342</v>
      </c>
      <c r="M145" s="49"/>
    </row>
    <row r="146" spans="1:13" x14ac:dyDescent="0.25">
      <c r="A146" t="s">
        <v>402</v>
      </c>
      <c r="B146">
        <v>33</v>
      </c>
      <c r="C146" s="1">
        <v>2100000</v>
      </c>
      <c r="D146" s="1">
        <v>50000</v>
      </c>
      <c r="E146" t="s">
        <v>201</v>
      </c>
      <c r="F146" t="s">
        <v>206</v>
      </c>
      <c r="G146">
        <v>1942</v>
      </c>
      <c r="H146" s="49">
        <f t="shared" si="2"/>
        <v>75</v>
      </c>
      <c r="I146" t="s">
        <v>191</v>
      </c>
      <c r="J146" t="s">
        <v>415</v>
      </c>
      <c r="K146" t="s">
        <v>406</v>
      </c>
      <c r="L146" t="s">
        <v>342</v>
      </c>
      <c r="M146" s="49"/>
    </row>
    <row r="147" spans="1:13" x14ac:dyDescent="0.25">
      <c r="A147" t="s">
        <v>402</v>
      </c>
      <c r="B147">
        <v>34</v>
      </c>
      <c r="C147" s="1">
        <v>2100000</v>
      </c>
      <c r="D147" s="1">
        <v>50000</v>
      </c>
      <c r="E147" t="s">
        <v>201</v>
      </c>
      <c r="F147" t="s">
        <v>206</v>
      </c>
      <c r="G147">
        <v>1942</v>
      </c>
      <c r="H147" s="49">
        <f t="shared" si="2"/>
        <v>75</v>
      </c>
      <c r="I147" t="s">
        <v>191</v>
      </c>
      <c r="J147" t="s">
        <v>415</v>
      </c>
      <c r="K147" t="s">
        <v>406</v>
      </c>
      <c r="L147" t="s">
        <v>342</v>
      </c>
      <c r="M147" s="49"/>
    </row>
    <row r="148" spans="1:13" x14ac:dyDescent="0.25">
      <c r="A148" t="s">
        <v>402</v>
      </c>
      <c r="B148">
        <v>35</v>
      </c>
      <c r="C148" s="1">
        <v>2100000</v>
      </c>
      <c r="D148" s="1">
        <v>50000</v>
      </c>
      <c r="E148" t="s">
        <v>201</v>
      </c>
      <c r="F148" t="s">
        <v>206</v>
      </c>
      <c r="G148">
        <v>1942</v>
      </c>
      <c r="H148" s="49">
        <f t="shared" si="2"/>
        <v>75</v>
      </c>
      <c r="I148" t="s">
        <v>191</v>
      </c>
      <c r="J148" t="s">
        <v>415</v>
      </c>
      <c r="K148" t="s">
        <v>406</v>
      </c>
      <c r="L148" t="s">
        <v>342</v>
      </c>
      <c r="M148" s="49"/>
    </row>
    <row r="149" spans="1:13" x14ac:dyDescent="0.25">
      <c r="A149" t="s">
        <v>402</v>
      </c>
      <c r="B149">
        <v>36</v>
      </c>
      <c r="C149" s="1">
        <v>2100000</v>
      </c>
      <c r="D149" s="1">
        <v>50000</v>
      </c>
      <c r="E149" t="s">
        <v>201</v>
      </c>
      <c r="F149" t="s">
        <v>206</v>
      </c>
      <c r="G149">
        <v>1942</v>
      </c>
      <c r="H149" s="49">
        <f t="shared" si="2"/>
        <v>75</v>
      </c>
      <c r="I149" t="s">
        <v>191</v>
      </c>
      <c r="J149" t="s">
        <v>415</v>
      </c>
      <c r="K149" t="s">
        <v>406</v>
      </c>
      <c r="L149" t="s">
        <v>342</v>
      </c>
      <c r="M149" s="49"/>
    </row>
    <row r="150" spans="1:13" x14ac:dyDescent="0.25">
      <c r="A150" t="s">
        <v>402</v>
      </c>
      <c r="B150">
        <v>37</v>
      </c>
      <c r="C150" s="1">
        <v>2100000</v>
      </c>
      <c r="D150" s="1">
        <v>50000</v>
      </c>
      <c r="E150" t="s">
        <v>201</v>
      </c>
      <c r="F150" t="s">
        <v>206</v>
      </c>
      <c r="G150">
        <v>1942</v>
      </c>
      <c r="H150" s="49">
        <f t="shared" si="2"/>
        <v>75</v>
      </c>
      <c r="I150" t="s">
        <v>191</v>
      </c>
      <c r="J150" t="s">
        <v>415</v>
      </c>
      <c r="K150" t="s">
        <v>406</v>
      </c>
      <c r="L150" t="s">
        <v>342</v>
      </c>
      <c r="M150" s="49"/>
    </row>
    <row r="151" spans="1:13" x14ac:dyDescent="0.25">
      <c r="A151" t="s">
        <v>402</v>
      </c>
      <c r="B151">
        <v>38</v>
      </c>
      <c r="C151" s="1">
        <v>1974000</v>
      </c>
      <c r="D151" s="1">
        <v>47000</v>
      </c>
      <c r="E151" t="s">
        <v>201</v>
      </c>
      <c r="F151" t="s">
        <v>206</v>
      </c>
      <c r="G151">
        <v>1942</v>
      </c>
      <c r="H151" s="49">
        <f t="shared" si="2"/>
        <v>75</v>
      </c>
      <c r="I151" t="s">
        <v>191</v>
      </c>
      <c r="J151" t="s">
        <v>415</v>
      </c>
      <c r="K151" t="s">
        <v>406</v>
      </c>
      <c r="L151" t="s">
        <v>342</v>
      </c>
      <c r="M151" s="49"/>
    </row>
    <row r="152" spans="1:13" x14ac:dyDescent="0.25">
      <c r="A152" t="s">
        <v>402</v>
      </c>
      <c r="B152">
        <v>39</v>
      </c>
      <c r="C152" s="1">
        <v>1974000</v>
      </c>
      <c r="D152" s="1">
        <v>47000</v>
      </c>
      <c r="E152" t="s">
        <v>201</v>
      </c>
      <c r="F152" t="s">
        <v>206</v>
      </c>
      <c r="G152">
        <v>1942</v>
      </c>
      <c r="H152" s="49">
        <f t="shared" si="2"/>
        <v>75</v>
      </c>
      <c r="I152" t="s">
        <v>191</v>
      </c>
      <c r="J152" t="s">
        <v>415</v>
      </c>
      <c r="K152" t="s">
        <v>406</v>
      </c>
      <c r="L152" t="s">
        <v>342</v>
      </c>
      <c r="M152" s="49"/>
    </row>
    <row r="153" spans="1:13" x14ac:dyDescent="0.25">
      <c r="A153" t="s">
        <v>402</v>
      </c>
      <c r="B153">
        <v>40</v>
      </c>
      <c r="C153" s="1">
        <v>1974000</v>
      </c>
      <c r="D153" s="1">
        <v>47000</v>
      </c>
      <c r="E153" t="s">
        <v>201</v>
      </c>
      <c r="F153" t="s">
        <v>206</v>
      </c>
      <c r="G153">
        <v>1942</v>
      </c>
      <c r="H153" s="49">
        <f t="shared" si="2"/>
        <v>75</v>
      </c>
      <c r="I153" t="s">
        <v>191</v>
      </c>
      <c r="J153" t="s">
        <v>415</v>
      </c>
      <c r="K153" t="s">
        <v>406</v>
      </c>
      <c r="L153" t="s">
        <v>342</v>
      </c>
      <c r="M153" s="49"/>
    </row>
    <row r="154" spans="1:13" x14ac:dyDescent="0.25">
      <c r="A154" t="s">
        <v>402</v>
      </c>
      <c r="B154">
        <v>41</v>
      </c>
      <c r="C154" s="1">
        <v>1974000</v>
      </c>
      <c r="D154" s="1">
        <v>47000</v>
      </c>
      <c r="E154" t="s">
        <v>201</v>
      </c>
      <c r="F154" t="s">
        <v>206</v>
      </c>
      <c r="G154">
        <v>1942</v>
      </c>
      <c r="H154" s="49">
        <f t="shared" si="2"/>
        <v>75</v>
      </c>
      <c r="I154" t="s">
        <v>191</v>
      </c>
      <c r="J154" t="s">
        <v>415</v>
      </c>
      <c r="K154" t="s">
        <v>406</v>
      </c>
      <c r="L154" t="s">
        <v>342</v>
      </c>
      <c r="M154" s="49"/>
    </row>
    <row r="155" spans="1:13" x14ac:dyDescent="0.25">
      <c r="A155" t="s">
        <v>402</v>
      </c>
      <c r="B155">
        <v>42</v>
      </c>
      <c r="C155" s="1">
        <v>2100000</v>
      </c>
      <c r="D155" s="1">
        <v>50000</v>
      </c>
      <c r="E155" t="s">
        <v>201</v>
      </c>
      <c r="F155" t="s">
        <v>206</v>
      </c>
      <c r="G155">
        <v>1942</v>
      </c>
      <c r="H155" s="49">
        <f t="shared" si="2"/>
        <v>75</v>
      </c>
      <c r="I155" t="s">
        <v>191</v>
      </c>
      <c r="J155" t="s">
        <v>415</v>
      </c>
      <c r="K155" t="s">
        <v>406</v>
      </c>
      <c r="L155" t="s">
        <v>342</v>
      </c>
      <c r="M155" s="49"/>
    </row>
    <row r="156" spans="1:13" x14ac:dyDescent="0.25">
      <c r="A156" t="s">
        <v>402</v>
      </c>
      <c r="B156">
        <v>43</v>
      </c>
      <c r="C156" s="1">
        <v>2100000</v>
      </c>
      <c r="D156" s="1">
        <v>50000</v>
      </c>
      <c r="E156" t="s">
        <v>201</v>
      </c>
      <c r="F156" t="s">
        <v>206</v>
      </c>
      <c r="G156">
        <v>1942</v>
      </c>
      <c r="H156" s="49">
        <f t="shared" si="2"/>
        <v>75</v>
      </c>
      <c r="I156" t="s">
        <v>191</v>
      </c>
      <c r="J156" t="s">
        <v>415</v>
      </c>
      <c r="K156" t="s">
        <v>406</v>
      </c>
      <c r="L156" t="s">
        <v>342</v>
      </c>
      <c r="M156" s="49"/>
    </row>
    <row r="157" spans="1:13" x14ac:dyDescent="0.25">
      <c r="A157" t="s">
        <v>402</v>
      </c>
      <c r="B157">
        <v>48</v>
      </c>
      <c r="C157" s="1">
        <v>1134000</v>
      </c>
      <c r="D157" s="1">
        <v>27000</v>
      </c>
      <c r="E157" t="s">
        <v>258</v>
      </c>
      <c r="F157" t="s">
        <v>206</v>
      </c>
      <c r="G157">
        <v>1942</v>
      </c>
      <c r="H157" s="49">
        <f t="shared" si="2"/>
        <v>75</v>
      </c>
      <c r="I157" t="s">
        <v>191</v>
      </c>
      <c r="J157" t="s">
        <v>410</v>
      </c>
      <c r="K157" t="s">
        <v>404</v>
      </c>
      <c r="L157" t="s">
        <v>342</v>
      </c>
      <c r="M157" s="49"/>
    </row>
    <row r="158" spans="1:13" x14ac:dyDescent="0.25">
      <c r="A158" t="s">
        <v>402</v>
      </c>
      <c r="B158">
        <v>49</v>
      </c>
      <c r="C158" s="1">
        <v>1134000</v>
      </c>
      <c r="D158" s="1">
        <v>27000</v>
      </c>
      <c r="E158" t="s">
        <v>407</v>
      </c>
      <c r="F158" t="s">
        <v>206</v>
      </c>
      <c r="G158">
        <v>1942</v>
      </c>
      <c r="H158" s="49">
        <f t="shared" si="2"/>
        <v>75</v>
      </c>
      <c r="I158" t="s">
        <v>191</v>
      </c>
      <c r="J158" t="s">
        <v>410</v>
      </c>
      <c r="K158" t="s">
        <v>404</v>
      </c>
      <c r="L158" t="s">
        <v>342</v>
      </c>
      <c r="M158" s="49"/>
    </row>
    <row r="159" spans="1:13" x14ac:dyDescent="0.25">
      <c r="A159" t="s">
        <v>402</v>
      </c>
      <c r="B159">
        <v>50</v>
      </c>
      <c r="C159" s="1">
        <v>1134000</v>
      </c>
      <c r="D159" s="1">
        <v>27000</v>
      </c>
      <c r="E159" t="s">
        <v>407</v>
      </c>
      <c r="F159" t="s">
        <v>206</v>
      </c>
      <c r="G159">
        <v>1942</v>
      </c>
      <c r="H159" s="49">
        <f t="shared" si="2"/>
        <v>75</v>
      </c>
      <c r="I159" t="s">
        <v>191</v>
      </c>
      <c r="J159" t="s">
        <v>410</v>
      </c>
      <c r="K159" t="s">
        <v>404</v>
      </c>
      <c r="L159" t="s">
        <v>342</v>
      </c>
      <c r="M159" s="49"/>
    </row>
    <row r="160" spans="1:13" x14ac:dyDescent="0.25">
      <c r="A160" t="s">
        <v>418</v>
      </c>
      <c r="B160" t="s">
        <v>419</v>
      </c>
      <c r="C160" s="1">
        <v>25000</v>
      </c>
      <c r="D160">
        <v>595</v>
      </c>
      <c r="E160" t="s">
        <v>420</v>
      </c>
      <c r="F160" t="s">
        <v>206</v>
      </c>
      <c r="G160">
        <v>1996</v>
      </c>
      <c r="H160" s="49">
        <f t="shared" si="2"/>
        <v>21</v>
      </c>
      <c r="J160" t="s">
        <v>421</v>
      </c>
      <c r="K160" t="s">
        <v>422</v>
      </c>
      <c r="L160" t="s">
        <v>342</v>
      </c>
      <c r="M160" s="49"/>
    </row>
    <row r="161" spans="1:13" x14ac:dyDescent="0.25">
      <c r="A161" t="s">
        <v>418</v>
      </c>
      <c r="B161" t="s">
        <v>423</v>
      </c>
      <c r="C161" s="1">
        <v>10000</v>
      </c>
      <c r="D161">
        <v>238</v>
      </c>
      <c r="E161" t="s">
        <v>313</v>
      </c>
      <c r="F161" t="s">
        <v>206</v>
      </c>
      <c r="G161">
        <v>1989</v>
      </c>
      <c r="H161" s="49">
        <f t="shared" si="2"/>
        <v>28</v>
      </c>
      <c r="J161" t="s">
        <v>424</v>
      </c>
      <c r="K161" t="s">
        <v>425</v>
      </c>
      <c r="L161" t="s">
        <v>342</v>
      </c>
      <c r="M161" s="49"/>
    </row>
    <row r="162" spans="1:13" x14ac:dyDescent="0.25">
      <c r="A162" t="s">
        <v>418</v>
      </c>
      <c r="B162" t="s">
        <v>426</v>
      </c>
      <c r="C162" s="1">
        <v>10000</v>
      </c>
      <c r="D162">
        <v>238</v>
      </c>
      <c r="E162" t="s">
        <v>195</v>
      </c>
      <c r="F162" t="s">
        <v>206</v>
      </c>
      <c r="G162">
        <v>1989</v>
      </c>
      <c r="H162" s="49">
        <f t="shared" si="2"/>
        <v>28</v>
      </c>
      <c r="J162" t="s">
        <v>424</v>
      </c>
      <c r="K162" t="s">
        <v>425</v>
      </c>
      <c r="L162" t="s">
        <v>342</v>
      </c>
      <c r="M162" s="49"/>
    </row>
    <row r="163" spans="1:13" x14ac:dyDescent="0.25">
      <c r="A163" t="s">
        <v>418</v>
      </c>
      <c r="B163" t="s">
        <v>427</v>
      </c>
      <c r="C163" s="1">
        <v>25000</v>
      </c>
      <c r="D163">
        <v>595</v>
      </c>
      <c r="E163" t="s">
        <v>313</v>
      </c>
      <c r="F163" t="s">
        <v>206</v>
      </c>
      <c r="G163">
        <v>1996</v>
      </c>
      <c r="H163" s="49">
        <f t="shared" si="2"/>
        <v>21</v>
      </c>
      <c r="J163" t="s">
        <v>428</v>
      </c>
      <c r="K163" t="s">
        <v>422</v>
      </c>
      <c r="L163" t="s">
        <v>342</v>
      </c>
      <c r="M163" s="49"/>
    </row>
    <row r="164" spans="1:13" x14ac:dyDescent="0.25">
      <c r="A164" t="s">
        <v>418</v>
      </c>
      <c r="B164" t="s">
        <v>429</v>
      </c>
      <c r="C164" s="1">
        <v>4000</v>
      </c>
      <c r="D164">
        <v>95</v>
      </c>
      <c r="E164" t="s">
        <v>430</v>
      </c>
      <c r="F164" t="s">
        <v>206</v>
      </c>
      <c r="G164">
        <v>1996</v>
      </c>
      <c r="H164" s="49">
        <f t="shared" si="2"/>
        <v>21</v>
      </c>
      <c r="J164" t="s">
        <v>431</v>
      </c>
      <c r="K164" t="s">
        <v>422</v>
      </c>
      <c r="L164" t="s">
        <v>342</v>
      </c>
      <c r="M164" s="49"/>
    </row>
    <row r="165" spans="1:13" x14ac:dyDescent="0.25">
      <c r="A165" t="s">
        <v>418</v>
      </c>
      <c r="B165" t="s">
        <v>432</v>
      </c>
      <c r="C165" s="1">
        <v>25000</v>
      </c>
      <c r="D165">
        <v>595</v>
      </c>
      <c r="E165" t="s">
        <v>195</v>
      </c>
      <c r="F165" t="s">
        <v>206</v>
      </c>
      <c r="G165">
        <v>1996</v>
      </c>
      <c r="H165" s="49">
        <f t="shared" si="2"/>
        <v>21</v>
      </c>
      <c r="J165" t="s">
        <v>428</v>
      </c>
      <c r="K165" t="s">
        <v>422</v>
      </c>
      <c r="L165" t="s">
        <v>342</v>
      </c>
      <c r="M165" s="49"/>
    </row>
    <row r="166" spans="1:13" x14ac:dyDescent="0.25">
      <c r="A166" t="s">
        <v>418</v>
      </c>
      <c r="B166" t="s">
        <v>433</v>
      </c>
      <c r="C166" s="1">
        <v>567000</v>
      </c>
      <c r="D166" s="1">
        <v>13500</v>
      </c>
      <c r="E166" t="s">
        <v>201</v>
      </c>
      <c r="F166" t="s">
        <v>206</v>
      </c>
      <c r="G166">
        <v>1961</v>
      </c>
      <c r="H166" s="49">
        <f t="shared" si="2"/>
        <v>56</v>
      </c>
      <c r="J166" t="s">
        <v>434</v>
      </c>
      <c r="K166" t="s">
        <v>435</v>
      </c>
      <c r="L166" t="s">
        <v>342</v>
      </c>
      <c r="M166" s="49"/>
    </row>
    <row r="167" spans="1:13" x14ac:dyDescent="0.25">
      <c r="A167" t="s">
        <v>418</v>
      </c>
      <c r="B167" t="s">
        <v>436</v>
      </c>
      <c r="C167" s="1">
        <v>105000</v>
      </c>
      <c r="D167" s="1">
        <v>2500</v>
      </c>
      <c r="E167" t="s">
        <v>201</v>
      </c>
      <c r="F167" t="s">
        <v>206</v>
      </c>
      <c r="G167">
        <v>1961</v>
      </c>
      <c r="H167" s="49">
        <f t="shared" si="2"/>
        <v>56</v>
      </c>
      <c r="J167" t="s">
        <v>437</v>
      </c>
      <c r="K167" t="s">
        <v>435</v>
      </c>
      <c r="L167" t="s">
        <v>342</v>
      </c>
      <c r="M167" s="49"/>
    </row>
    <row r="168" spans="1:13" x14ac:dyDescent="0.25">
      <c r="A168" t="s">
        <v>418</v>
      </c>
      <c r="B168" t="s">
        <v>438</v>
      </c>
      <c r="C168" s="1">
        <v>105000</v>
      </c>
      <c r="D168" s="1">
        <v>2500</v>
      </c>
      <c r="E168" t="s">
        <v>201</v>
      </c>
      <c r="F168" t="s">
        <v>206</v>
      </c>
      <c r="G168">
        <v>1961</v>
      </c>
      <c r="H168" s="49">
        <f t="shared" si="2"/>
        <v>56</v>
      </c>
      <c r="J168" t="s">
        <v>437</v>
      </c>
      <c r="K168" t="s">
        <v>435</v>
      </c>
      <c r="L168" t="s">
        <v>342</v>
      </c>
      <c r="M168" s="49"/>
    </row>
    <row r="169" spans="1:13" x14ac:dyDescent="0.25">
      <c r="A169" t="s">
        <v>418</v>
      </c>
      <c r="B169" t="s">
        <v>439</v>
      </c>
      <c r="C169" s="1">
        <v>105000</v>
      </c>
      <c r="D169" s="1">
        <v>2500</v>
      </c>
      <c r="E169" t="s">
        <v>201</v>
      </c>
      <c r="F169" t="s">
        <v>206</v>
      </c>
      <c r="G169">
        <v>1961</v>
      </c>
      <c r="H169" s="49">
        <f t="shared" si="2"/>
        <v>56</v>
      </c>
      <c r="J169" t="s">
        <v>437</v>
      </c>
      <c r="K169" t="s">
        <v>435</v>
      </c>
      <c r="L169" t="s">
        <v>342</v>
      </c>
      <c r="M169" s="49"/>
    </row>
    <row r="170" spans="1:13" x14ac:dyDescent="0.25">
      <c r="A170" t="s">
        <v>418</v>
      </c>
      <c r="B170" t="s">
        <v>440</v>
      </c>
      <c r="C170" s="1">
        <v>567000</v>
      </c>
      <c r="D170" s="1">
        <v>13500</v>
      </c>
      <c r="E170" t="s">
        <v>201</v>
      </c>
      <c r="F170" t="s">
        <v>206</v>
      </c>
      <c r="G170">
        <v>1961</v>
      </c>
      <c r="H170" s="49">
        <f t="shared" si="2"/>
        <v>56</v>
      </c>
      <c r="J170" t="s">
        <v>434</v>
      </c>
      <c r="K170" t="s">
        <v>435</v>
      </c>
      <c r="L170" t="s">
        <v>342</v>
      </c>
      <c r="M170" s="49"/>
    </row>
    <row r="171" spans="1:13" x14ac:dyDescent="0.25">
      <c r="A171" t="s">
        <v>418</v>
      </c>
      <c r="B171" t="s">
        <v>441</v>
      </c>
      <c r="C171" s="1">
        <v>105000</v>
      </c>
      <c r="D171" s="1">
        <v>2500</v>
      </c>
      <c r="E171" t="s">
        <v>201</v>
      </c>
      <c r="F171" t="s">
        <v>206</v>
      </c>
      <c r="G171">
        <v>1961</v>
      </c>
      <c r="H171" s="49">
        <f t="shared" si="2"/>
        <v>56</v>
      </c>
      <c r="J171" t="s">
        <v>437</v>
      </c>
      <c r="K171" t="s">
        <v>435</v>
      </c>
      <c r="L171" t="s">
        <v>342</v>
      </c>
      <c r="M171" s="49"/>
    </row>
    <row r="172" spans="1:13" x14ac:dyDescent="0.25">
      <c r="A172" t="s">
        <v>418</v>
      </c>
      <c r="B172" t="s">
        <v>442</v>
      </c>
      <c r="C172" s="1">
        <v>567000</v>
      </c>
      <c r="D172" s="1">
        <v>13500</v>
      </c>
      <c r="E172" t="s">
        <v>201</v>
      </c>
      <c r="F172" t="s">
        <v>206</v>
      </c>
      <c r="G172">
        <v>1961</v>
      </c>
      <c r="H172" s="49">
        <f t="shared" si="2"/>
        <v>56</v>
      </c>
      <c r="J172" t="s">
        <v>434</v>
      </c>
      <c r="K172" t="s">
        <v>435</v>
      </c>
      <c r="L172" t="s">
        <v>342</v>
      </c>
      <c r="M172" s="49"/>
    </row>
    <row r="173" spans="1:13" x14ac:dyDescent="0.25">
      <c r="A173" t="s">
        <v>418</v>
      </c>
      <c r="B173" t="s">
        <v>443</v>
      </c>
      <c r="C173" s="1">
        <v>105000</v>
      </c>
      <c r="D173" s="1">
        <v>2500</v>
      </c>
      <c r="E173" t="s">
        <v>201</v>
      </c>
      <c r="F173" t="s">
        <v>206</v>
      </c>
      <c r="G173">
        <v>1961</v>
      </c>
      <c r="H173" s="49">
        <f t="shared" si="2"/>
        <v>56</v>
      </c>
      <c r="J173" t="s">
        <v>437</v>
      </c>
      <c r="K173" t="s">
        <v>435</v>
      </c>
      <c r="L173" t="s">
        <v>342</v>
      </c>
      <c r="M173" s="49"/>
    </row>
    <row r="174" spans="1:13" x14ac:dyDescent="0.25">
      <c r="A174" t="s">
        <v>418</v>
      </c>
      <c r="B174" t="s">
        <v>444</v>
      </c>
      <c r="C174" s="1">
        <v>105000</v>
      </c>
      <c r="D174" s="1">
        <v>2500</v>
      </c>
      <c r="E174" t="s">
        <v>201</v>
      </c>
      <c r="F174" t="s">
        <v>206</v>
      </c>
      <c r="G174">
        <v>1961</v>
      </c>
      <c r="H174" s="49">
        <f t="shared" si="2"/>
        <v>56</v>
      </c>
      <c r="J174" t="s">
        <v>437</v>
      </c>
      <c r="K174" t="s">
        <v>435</v>
      </c>
      <c r="L174" t="s">
        <v>342</v>
      </c>
      <c r="M174" s="49"/>
    </row>
    <row r="175" spans="1:13" x14ac:dyDescent="0.25">
      <c r="A175" t="s">
        <v>418</v>
      </c>
      <c r="B175" t="s">
        <v>445</v>
      </c>
      <c r="C175" s="1">
        <v>105000</v>
      </c>
      <c r="D175" s="1">
        <v>2500</v>
      </c>
      <c r="E175" t="s">
        <v>201</v>
      </c>
      <c r="F175" t="s">
        <v>206</v>
      </c>
      <c r="G175">
        <v>1969</v>
      </c>
      <c r="H175" s="49">
        <f t="shared" si="2"/>
        <v>48</v>
      </c>
      <c r="J175" t="s">
        <v>437</v>
      </c>
      <c r="K175" t="s">
        <v>435</v>
      </c>
      <c r="L175" t="s">
        <v>342</v>
      </c>
      <c r="M175" s="49"/>
    </row>
    <row r="176" spans="1:13" x14ac:dyDescent="0.25">
      <c r="A176" t="s">
        <v>418</v>
      </c>
      <c r="B176" t="s">
        <v>446</v>
      </c>
      <c r="C176" s="1">
        <v>567000</v>
      </c>
      <c r="D176" s="1">
        <v>13500</v>
      </c>
      <c r="E176" t="s">
        <v>201</v>
      </c>
      <c r="F176" t="s">
        <v>206</v>
      </c>
      <c r="G176">
        <v>1961</v>
      </c>
      <c r="H176" s="49">
        <f t="shared" si="2"/>
        <v>56</v>
      </c>
      <c r="J176" t="s">
        <v>434</v>
      </c>
      <c r="K176" t="s">
        <v>435</v>
      </c>
      <c r="L176" t="s">
        <v>342</v>
      </c>
      <c r="M176" s="49"/>
    </row>
    <row r="177" spans="1:16" hidden="1" x14ac:dyDescent="0.25">
      <c r="A177" t="s">
        <v>447</v>
      </c>
      <c r="B177" t="s">
        <v>448</v>
      </c>
      <c r="C177" s="1">
        <v>12100</v>
      </c>
      <c r="D177">
        <v>288</v>
      </c>
      <c r="E177" t="s">
        <v>313</v>
      </c>
      <c r="F177" t="s">
        <v>184</v>
      </c>
      <c r="G177">
        <v>1998</v>
      </c>
      <c r="H177" s="49">
        <f t="shared" si="2"/>
        <v>19</v>
      </c>
      <c r="J177" t="s">
        <v>449</v>
      </c>
      <c r="K177" t="s">
        <v>450</v>
      </c>
      <c r="L177" t="s">
        <v>342</v>
      </c>
      <c r="M177" s="49"/>
    </row>
    <row r="178" spans="1:16" hidden="1" x14ac:dyDescent="0.25">
      <c r="A178" t="s">
        <v>447</v>
      </c>
      <c r="B178" t="s">
        <v>451</v>
      </c>
      <c r="C178" s="1">
        <v>5000</v>
      </c>
      <c r="D178">
        <v>119</v>
      </c>
      <c r="E178" t="s">
        <v>195</v>
      </c>
      <c r="F178" t="s">
        <v>184</v>
      </c>
      <c r="G178">
        <v>1998</v>
      </c>
      <c r="H178" s="49">
        <f t="shared" si="2"/>
        <v>19</v>
      </c>
      <c r="J178" t="s">
        <v>452</v>
      </c>
      <c r="K178" t="s">
        <v>450</v>
      </c>
      <c r="L178" t="s">
        <v>342</v>
      </c>
      <c r="M178" s="49"/>
    </row>
    <row r="179" spans="1:16" hidden="1" x14ac:dyDescent="0.25">
      <c r="A179" t="s">
        <v>447</v>
      </c>
      <c r="B179" t="s">
        <v>453</v>
      </c>
      <c r="C179" s="1">
        <v>5000</v>
      </c>
      <c r="D179">
        <v>119</v>
      </c>
      <c r="E179" t="s">
        <v>195</v>
      </c>
      <c r="F179" t="s">
        <v>184</v>
      </c>
      <c r="G179">
        <v>1998</v>
      </c>
      <c r="H179" s="49">
        <f t="shared" si="2"/>
        <v>19</v>
      </c>
      <c r="J179" t="s">
        <v>452</v>
      </c>
      <c r="K179" t="s">
        <v>450</v>
      </c>
      <c r="L179" t="s">
        <v>342</v>
      </c>
      <c r="M179" s="49"/>
    </row>
    <row r="180" spans="1:16" hidden="1" x14ac:dyDescent="0.25">
      <c r="A180" t="s">
        <v>447</v>
      </c>
      <c r="B180" t="s">
        <v>454</v>
      </c>
      <c r="C180" s="1">
        <v>5000</v>
      </c>
      <c r="D180">
        <v>119</v>
      </c>
      <c r="E180" t="s">
        <v>198</v>
      </c>
      <c r="F180" t="s">
        <v>184</v>
      </c>
      <c r="G180">
        <v>1998</v>
      </c>
      <c r="H180" s="49">
        <f t="shared" si="2"/>
        <v>19</v>
      </c>
      <c r="J180" t="s">
        <v>452</v>
      </c>
      <c r="K180" t="s">
        <v>450</v>
      </c>
      <c r="L180" t="s">
        <v>342</v>
      </c>
      <c r="M180" s="49"/>
    </row>
    <row r="181" spans="1:16" hidden="1" x14ac:dyDescent="0.25">
      <c r="A181" t="s">
        <v>447</v>
      </c>
      <c r="B181" t="s">
        <v>455</v>
      </c>
      <c r="C181" s="1">
        <v>5000</v>
      </c>
      <c r="D181">
        <v>119</v>
      </c>
      <c r="E181" t="s">
        <v>313</v>
      </c>
      <c r="F181" t="s">
        <v>184</v>
      </c>
      <c r="G181">
        <v>1998</v>
      </c>
      <c r="H181" s="49">
        <f t="shared" si="2"/>
        <v>19</v>
      </c>
      <c r="J181" t="s">
        <v>452</v>
      </c>
      <c r="K181" t="s">
        <v>450</v>
      </c>
      <c r="L181" t="s">
        <v>342</v>
      </c>
      <c r="M181" s="49"/>
    </row>
    <row r="182" spans="1:16" hidden="1" x14ac:dyDescent="0.25">
      <c r="A182" t="s">
        <v>447</v>
      </c>
      <c r="B182" t="s">
        <v>456</v>
      </c>
      <c r="C182" s="1">
        <v>5000</v>
      </c>
      <c r="D182">
        <v>119</v>
      </c>
      <c r="E182" t="s">
        <v>313</v>
      </c>
      <c r="F182" t="s">
        <v>184</v>
      </c>
      <c r="G182">
        <v>1989</v>
      </c>
      <c r="H182" s="49">
        <f t="shared" si="2"/>
        <v>28</v>
      </c>
      <c r="J182" t="s">
        <v>452</v>
      </c>
      <c r="K182" t="s">
        <v>450</v>
      </c>
      <c r="L182" t="s">
        <v>342</v>
      </c>
      <c r="M182" s="49"/>
    </row>
    <row r="183" spans="1:16" hidden="1" x14ac:dyDescent="0.25">
      <c r="A183" t="s">
        <v>447</v>
      </c>
      <c r="B183" t="s">
        <v>457</v>
      </c>
      <c r="C183" s="1">
        <v>5000</v>
      </c>
      <c r="D183">
        <v>119</v>
      </c>
      <c r="E183" t="s">
        <v>195</v>
      </c>
      <c r="F183" t="s">
        <v>184</v>
      </c>
      <c r="G183">
        <v>1998</v>
      </c>
      <c r="H183" s="49">
        <f t="shared" si="2"/>
        <v>19</v>
      </c>
      <c r="J183" t="s">
        <v>452</v>
      </c>
      <c r="K183" t="s">
        <v>450</v>
      </c>
      <c r="L183" t="s">
        <v>342</v>
      </c>
      <c r="M183" s="49"/>
    </row>
    <row r="184" spans="1:16" hidden="1" x14ac:dyDescent="0.25">
      <c r="A184" t="s">
        <v>447</v>
      </c>
      <c r="B184" t="s">
        <v>458</v>
      </c>
      <c r="C184" s="1">
        <v>5000</v>
      </c>
      <c r="D184">
        <v>119</v>
      </c>
      <c r="E184" t="s">
        <v>195</v>
      </c>
      <c r="F184" t="s">
        <v>184</v>
      </c>
      <c r="G184">
        <v>1998</v>
      </c>
      <c r="H184" s="49">
        <f t="shared" si="2"/>
        <v>19</v>
      </c>
      <c r="J184" t="s">
        <v>452</v>
      </c>
      <c r="K184" t="s">
        <v>450</v>
      </c>
      <c r="L184" t="s">
        <v>342</v>
      </c>
      <c r="M184" s="49"/>
    </row>
    <row r="185" spans="1:16" hidden="1" x14ac:dyDescent="0.25">
      <c r="A185" t="s">
        <v>447</v>
      </c>
      <c r="B185" t="s">
        <v>459</v>
      </c>
      <c r="C185" s="1">
        <v>12100</v>
      </c>
      <c r="D185">
        <v>288</v>
      </c>
      <c r="E185" t="s">
        <v>313</v>
      </c>
      <c r="F185" t="s">
        <v>184</v>
      </c>
      <c r="G185">
        <v>1998</v>
      </c>
      <c r="H185" s="49">
        <f t="shared" si="2"/>
        <v>19</v>
      </c>
      <c r="J185" t="s">
        <v>449</v>
      </c>
      <c r="K185" t="s">
        <v>450</v>
      </c>
      <c r="L185" t="s">
        <v>342</v>
      </c>
      <c r="M185" s="49"/>
    </row>
    <row r="186" spans="1:16" hidden="1" x14ac:dyDescent="0.25">
      <c r="A186" t="s">
        <v>447</v>
      </c>
      <c r="B186" t="s">
        <v>460</v>
      </c>
      <c r="C186" s="1">
        <v>12100</v>
      </c>
      <c r="D186">
        <v>288</v>
      </c>
      <c r="E186" t="s">
        <v>313</v>
      </c>
      <c r="F186" t="s">
        <v>184</v>
      </c>
      <c r="G186">
        <v>1998</v>
      </c>
      <c r="H186" s="49">
        <f t="shared" si="2"/>
        <v>19</v>
      </c>
      <c r="J186" t="s">
        <v>449</v>
      </c>
      <c r="K186" t="s">
        <v>450</v>
      </c>
      <c r="L186" t="s">
        <v>342</v>
      </c>
      <c r="M186" s="49"/>
    </row>
    <row r="187" spans="1:16" hidden="1" x14ac:dyDescent="0.25">
      <c r="A187" t="s">
        <v>447</v>
      </c>
      <c r="B187" t="s">
        <v>461</v>
      </c>
      <c r="C187" s="1">
        <v>12100</v>
      </c>
      <c r="D187">
        <v>288</v>
      </c>
      <c r="E187" t="s">
        <v>313</v>
      </c>
      <c r="F187" t="s">
        <v>184</v>
      </c>
      <c r="G187">
        <v>1998</v>
      </c>
      <c r="H187" s="49">
        <f t="shared" si="2"/>
        <v>19</v>
      </c>
      <c r="J187" t="s">
        <v>449</v>
      </c>
      <c r="K187" t="s">
        <v>450</v>
      </c>
      <c r="L187" t="s">
        <v>342</v>
      </c>
      <c r="M187" s="49"/>
    </row>
    <row r="188" spans="1:16" hidden="1" x14ac:dyDescent="0.25">
      <c r="A188" t="s">
        <v>447</v>
      </c>
      <c r="B188" t="s">
        <v>462</v>
      </c>
      <c r="C188" s="1">
        <v>12100</v>
      </c>
      <c r="D188">
        <v>288</v>
      </c>
      <c r="E188" t="s">
        <v>313</v>
      </c>
      <c r="F188" t="s">
        <v>184</v>
      </c>
      <c r="G188">
        <v>1998</v>
      </c>
      <c r="H188" s="49">
        <f t="shared" si="2"/>
        <v>19</v>
      </c>
      <c r="J188" t="s">
        <v>449</v>
      </c>
      <c r="K188" t="s">
        <v>450</v>
      </c>
      <c r="L188" t="s">
        <v>342</v>
      </c>
      <c r="M188" s="49"/>
    </row>
    <row r="189" spans="1:16" hidden="1" x14ac:dyDescent="0.25">
      <c r="A189" t="s">
        <v>447</v>
      </c>
      <c r="B189" t="s">
        <v>463</v>
      </c>
      <c r="C189" s="1">
        <v>12100</v>
      </c>
      <c r="D189">
        <v>288</v>
      </c>
      <c r="E189" t="s">
        <v>201</v>
      </c>
      <c r="F189" t="s">
        <v>184</v>
      </c>
      <c r="G189">
        <v>1998</v>
      </c>
      <c r="H189" s="49">
        <f t="shared" si="2"/>
        <v>19</v>
      </c>
      <c r="J189" t="s">
        <v>449</v>
      </c>
      <c r="K189" t="s">
        <v>450</v>
      </c>
      <c r="L189" t="s">
        <v>342</v>
      </c>
      <c r="M189" s="49"/>
    </row>
    <row r="190" spans="1:16" hidden="1" x14ac:dyDescent="0.25">
      <c r="A190" t="s">
        <v>447</v>
      </c>
      <c r="B190" t="s">
        <v>464</v>
      </c>
      <c r="C190" s="1">
        <v>10000</v>
      </c>
      <c r="D190">
        <v>238</v>
      </c>
      <c r="E190" t="s">
        <v>201</v>
      </c>
      <c r="F190" t="s">
        <v>184</v>
      </c>
      <c r="G190">
        <v>1990</v>
      </c>
      <c r="H190" s="49">
        <f t="shared" si="2"/>
        <v>27</v>
      </c>
      <c r="J190" t="s">
        <v>465</v>
      </c>
      <c r="K190" t="s">
        <v>404</v>
      </c>
      <c r="L190" t="s">
        <v>342</v>
      </c>
      <c r="M190" s="49"/>
    </row>
    <row r="191" spans="1:16" hidden="1" x14ac:dyDescent="0.25">
      <c r="A191" t="s">
        <v>447</v>
      </c>
      <c r="B191" t="s">
        <v>466</v>
      </c>
      <c r="C191" s="1">
        <v>653898</v>
      </c>
      <c r="D191" s="1">
        <v>15569</v>
      </c>
      <c r="E191" t="s">
        <v>195</v>
      </c>
      <c r="F191" t="s">
        <v>184</v>
      </c>
      <c r="G191">
        <v>1913</v>
      </c>
      <c r="H191" s="49">
        <f t="shared" si="2"/>
        <v>104</v>
      </c>
      <c r="J191" t="s">
        <v>467</v>
      </c>
      <c r="K191" t="s">
        <v>468</v>
      </c>
      <c r="L191" t="s">
        <v>469</v>
      </c>
      <c r="M191" s="49" t="s">
        <v>111</v>
      </c>
      <c r="N191" t="s">
        <v>470</v>
      </c>
      <c r="O191" t="s">
        <v>471</v>
      </c>
      <c r="P191" t="s">
        <v>472</v>
      </c>
    </row>
    <row r="192" spans="1:16" hidden="1" x14ac:dyDescent="0.25">
      <c r="A192" t="s">
        <v>447</v>
      </c>
      <c r="B192" t="s">
        <v>473</v>
      </c>
      <c r="C192" s="1">
        <v>642012</v>
      </c>
      <c r="D192" s="1">
        <v>15286</v>
      </c>
      <c r="E192" t="s">
        <v>195</v>
      </c>
      <c r="F192" t="s">
        <v>184</v>
      </c>
      <c r="G192">
        <v>1913</v>
      </c>
      <c r="H192" s="49">
        <f t="shared" si="2"/>
        <v>104</v>
      </c>
      <c r="J192" t="s">
        <v>467</v>
      </c>
      <c r="K192" t="s">
        <v>468</v>
      </c>
      <c r="L192" t="s">
        <v>342</v>
      </c>
      <c r="M192" s="49"/>
      <c r="P192" t="s">
        <v>474</v>
      </c>
    </row>
    <row r="193" spans="1:16" x14ac:dyDescent="0.25">
      <c r="A193" t="s">
        <v>447</v>
      </c>
      <c r="B193" t="s">
        <v>475</v>
      </c>
      <c r="C193" s="1">
        <v>329658</v>
      </c>
      <c r="D193" s="1">
        <v>7849</v>
      </c>
      <c r="E193" t="s">
        <v>201</v>
      </c>
      <c r="F193" t="s">
        <v>206</v>
      </c>
      <c r="G193">
        <v>1954</v>
      </c>
      <c r="H193" s="49">
        <f t="shared" si="2"/>
        <v>63</v>
      </c>
      <c r="J193" t="s">
        <v>476</v>
      </c>
      <c r="K193" t="s">
        <v>404</v>
      </c>
      <c r="L193" t="s">
        <v>342</v>
      </c>
      <c r="M193" s="49"/>
    </row>
    <row r="194" spans="1:16" x14ac:dyDescent="0.25">
      <c r="A194" t="s">
        <v>447</v>
      </c>
      <c r="B194" t="s">
        <v>477</v>
      </c>
      <c r="C194" s="1">
        <v>328802</v>
      </c>
      <c r="D194" s="1">
        <v>7829</v>
      </c>
      <c r="E194" t="s">
        <v>201</v>
      </c>
      <c r="F194" t="s">
        <v>206</v>
      </c>
      <c r="G194">
        <v>1954</v>
      </c>
      <c r="H194" s="49">
        <f t="shared" si="2"/>
        <v>63</v>
      </c>
      <c r="J194" t="s">
        <v>476</v>
      </c>
      <c r="K194" t="s">
        <v>404</v>
      </c>
      <c r="L194" t="s">
        <v>342</v>
      </c>
      <c r="M194" s="49"/>
    </row>
    <row r="195" spans="1:16" hidden="1" x14ac:dyDescent="0.25">
      <c r="A195" t="s">
        <v>447</v>
      </c>
      <c r="B195" t="s">
        <v>478</v>
      </c>
      <c r="C195" s="1">
        <v>2304583</v>
      </c>
      <c r="D195" s="1">
        <v>54871</v>
      </c>
      <c r="E195" t="s">
        <v>201</v>
      </c>
      <c r="F195" t="s">
        <v>184</v>
      </c>
      <c r="G195">
        <v>2013</v>
      </c>
      <c r="H195" s="49">
        <f t="shared" ref="H195:H202" si="3">2017-G195</f>
        <v>4</v>
      </c>
      <c r="J195" t="s">
        <v>465</v>
      </c>
      <c r="K195" t="s">
        <v>404</v>
      </c>
      <c r="L195" t="s">
        <v>342</v>
      </c>
      <c r="M195" s="49"/>
    </row>
    <row r="196" spans="1:16" x14ac:dyDescent="0.25">
      <c r="A196" t="s">
        <v>447</v>
      </c>
      <c r="B196" t="s">
        <v>479</v>
      </c>
      <c r="C196" s="1">
        <v>2227512</v>
      </c>
      <c r="D196" s="1">
        <v>53036</v>
      </c>
      <c r="E196" t="s">
        <v>198</v>
      </c>
      <c r="F196" t="s">
        <v>206</v>
      </c>
      <c r="G196">
        <v>1926</v>
      </c>
      <c r="H196" s="49">
        <f t="shared" si="3"/>
        <v>91</v>
      </c>
      <c r="J196" t="s">
        <v>480</v>
      </c>
      <c r="K196" t="s">
        <v>404</v>
      </c>
      <c r="L196" t="s">
        <v>469</v>
      </c>
      <c r="M196" s="49" t="s">
        <v>111</v>
      </c>
      <c r="N196" t="s">
        <v>481</v>
      </c>
      <c r="O196" t="s">
        <v>465</v>
      </c>
      <c r="P196" t="s">
        <v>482</v>
      </c>
    </row>
    <row r="197" spans="1:16" x14ac:dyDescent="0.25">
      <c r="A197" t="s">
        <v>447</v>
      </c>
      <c r="B197" t="s">
        <v>483</v>
      </c>
      <c r="C197" s="1">
        <v>2215752</v>
      </c>
      <c r="D197" s="1">
        <v>52756</v>
      </c>
      <c r="E197" t="s">
        <v>198</v>
      </c>
      <c r="F197" t="s">
        <v>206</v>
      </c>
      <c r="G197">
        <v>1926</v>
      </c>
      <c r="H197" s="49">
        <f t="shared" si="3"/>
        <v>91</v>
      </c>
      <c r="J197" t="s">
        <v>480</v>
      </c>
      <c r="K197" t="s">
        <v>404</v>
      </c>
      <c r="L197" t="s">
        <v>469</v>
      </c>
      <c r="M197" s="49" t="s">
        <v>111</v>
      </c>
      <c r="N197" t="s">
        <v>481</v>
      </c>
      <c r="O197" t="s">
        <v>465</v>
      </c>
      <c r="P197" t="s">
        <v>482</v>
      </c>
    </row>
    <row r="198" spans="1:16" x14ac:dyDescent="0.25">
      <c r="A198" t="s">
        <v>447</v>
      </c>
      <c r="B198" t="s">
        <v>484</v>
      </c>
      <c r="C198" s="1">
        <v>1087548</v>
      </c>
      <c r="D198" s="1">
        <v>25894</v>
      </c>
      <c r="E198" t="s">
        <v>198</v>
      </c>
      <c r="F198" t="s">
        <v>206</v>
      </c>
      <c r="G198">
        <v>1942</v>
      </c>
      <c r="H198" s="49">
        <f t="shared" si="3"/>
        <v>75</v>
      </c>
      <c r="J198" t="s">
        <v>485</v>
      </c>
      <c r="K198" t="s">
        <v>404</v>
      </c>
      <c r="L198" t="s">
        <v>342</v>
      </c>
      <c r="M198" s="49"/>
    </row>
    <row r="199" spans="1:16" x14ac:dyDescent="0.25">
      <c r="A199" t="s">
        <v>447</v>
      </c>
      <c r="B199" t="s">
        <v>486</v>
      </c>
      <c r="C199" s="1">
        <v>1056468</v>
      </c>
      <c r="D199" s="1">
        <v>25154</v>
      </c>
      <c r="E199" t="s">
        <v>201</v>
      </c>
      <c r="F199" t="s">
        <v>206</v>
      </c>
      <c r="G199">
        <v>1942</v>
      </c>
      <c r="H199" s="49">
        <f t="shared" si="3"/>
        <v>75</v>
      </c>
      <c r="J199" t="s">
        <v>485</v>
      </c>
      <c r="K199" t="s">
        <v>404</v>
      </c>
      <c r="L199" t="s">
        <v>342</v>
      </c>
      <c r="M199" s="49"/>
    </row>
    <row r="200" spans="1:16" x14ac:dyDescent="0.25">
      <c r="A200" t="s">
        <v>447</v>
      </c>
      <c r="B200" t="s">
        <v>487</v>
      </c>
      <c r="C200" s="1">
        <v>1087548</v>
      </c>
      <c r="D200" s="1">
        <v>25894</v>
      </c>
      <c r="E200" t="s">
        <v>201</v>
      </c>
      <c r="F200" t="s">
        <v>206</v>
      </c>
      <c r="G200">
        <v>1942</v>
      </c>
      <c r="H200" s="49">
        <f t="shared" si="3"/>
        <v>75</v>
      </c>
      <c r="J200" t="s">
        <v>485</v>
      </c>
      <c r="K200" t="s">
        <v>404</v>
      </c>
      <c r="L200" t="s">
        <v>342</v>
      </c>
      <c r="M200" s="49"/>
    </row>
    <row r="201" spans="1:16" x14ac:dyDescent="0.25">
      <c r="A201" t="s">
        <v>447</v>
      </c>
      <c r="B201" t="s">
        <v>488</v>
      </c>
      <c r="C201" s="1">
        <v>329658</v>
      </c>
      <c r="D201" s="1">
        <v>7849</v>
      </c>
      <c r="E201" t="s">
        <v>201</v>
      </c>
      <c r="F201" t="s">
        <v>206</v>
      </c>
      <c r="G201">
        <v>1954</v>
      </c>
      <c r="H201" s="49">
        <f t="shared" si="3"/>
        <v>63</v>
      </c>
      <c r="J201" t="s">
        <v>476</v>
      </c>
      <c r="K201" t="s">
        <v>404</v>
      </c>
      <c r="L201" t="s">
        <v>342</v>
      </c>
      <c r="M201" s="49"/>
    </row>
    <row r="202" spans="1:16" x14ac:dyDescent="0.25">
      <c r="A202" t="s">
        <v>447</v>
      </c>
      <c r="B202" t="s">
        <v>489</v>
      </c>
      <c r="C202" s="1">
        <v>327222</v>
      </c>
      <c r="D202" s="1">
        <v>7791</v>
      </c>
      <c r="E202" t="s">
        <v>201</v>
      </c>
      <c r="F202" t="s">
        <v>206</v>
      </c>
      <c r="G202">
        <v>1954</v>
      </c>
      <c r="H202" s="49">
        <f t="shared" si="3"/>
        <v>63</v>
      </c>
      <c r="J202" t="s">
        <v>476</v>
      </c>
      <c r="K202" t="s">
        <v>404</v>
      </c>
      <c r="L202" t="s">
        <v>342</v>
      </c>
      <c r="M202" s="49"/>
    </row>
    <row r="203" spans="1:16" hidden="1" x14ac:dyDescent="0.25">
      <c r="G203" s="50" t="s">
        <v>493</v>
      </c>
      <c r="H203" s="51">
        <f>SUM(H2:H202)</f>
        <v>10725</v>
      </c>
      <c r="L203" s="50" t="s">
        <v>491</v>
      </c>
      <c r="M203" s="50">
        <f>COUNTIF(M2:M202,"Small")</f>
        <v>12</v>
      </c>
    </row>
    <row r="204" spans="1:16" hidden="1" x14ac:dyDescent="0.25">
      <c r="G204" s="50" t="s">
        <v>494</v>
      </c>
      <c r="H204" s="51">
        <f>H203*8766</f>
        <v>94015350</v>
      </c>
      <c r="L204" s="50" t="s">
        <v>492</v>
      </c>
      <c r="M204" s="50">
        <f>COUNTIF(M2:M202,"Large")</f>
        <v>0</v>
      </c>
    </row>
    <row r="206" spans="1:16" x14ac:dyDescent="0.25">
      <c r="E206" t="s">
        <v>206</v>
      </c>
      <c r="F206">
        <f>COUNTIF(F2:F202,"UST")</f>
        <v>121</v>
      </c>
      <c r="G206" t="s">
        <v>590</v>
      </c>
      <c r="H206">
        <f>SUMIF(F2:F202,"UST",H2:H202)</f>
        <v>7050</v>
      </c>
      <c r="I206" t="s">
        <v>111</v>
      </c>
      <c r="J206">
        <f>COUNTIFS(M2:M202,"Small",F2:F202,"UST")</f>
        <v>10</v>
      </c>
    </row>
    <row r="207" spans="1:16" x14ac:dyDescent="0.25">
      <c r="E207" t="s">
        <v>184</v>
      </c>
      <c r="F207">
        <f>COUNTIF(F2:F202,"AST")</f>
        <v>80</v>
      </c>
      <c r="G207" t="s">
        <v>591</v>
      </c>
      <c r="H207">
        <f>SUMIF(F2:F202,"AST",H2:H202)</f>
        <v>3675</v>
      </c>
      <c r="I207" t="s">
        <v>112</v>
      </c>
      <c r="J207">
        <f>COUNTIFS(M2:M202,"Large",F2:F202,"UST")</f>
        <v>0</v>
      </c>
    </row>
    <row r="209" spans="1:10" x14ac:dyDescent="0.25">
      <c r="I209" t="s">
        <v>593</v>
      </c>
      <c r="J209" s="122">
        <f>J206/(H206*8765)</f>
        <v>1.618299733385119E-7</v>
      </c>
    </row>
    <row r="210" spans="1:10" x14ac:dyDescent="0.25">
      <c r="I210" t="s">
        <v>592</v>
      </c>
      <c r="J210" s="122">
        <f>J207/(H206*8765)</f>
        <v>0</v>
      </c>
    </row>
    <row r="211" spans="1:10" x14ac:dyDescent="0.25">
      <c r="I211" t="s">
        <v>594</v>
      </c>
      <c r="J211" s="122">
        <f>J206/H206</f>
        <v>1.4184397163120568E-3</v>
      </c>
    </row>
    <row r="212" spans="1:10" x14ac:dyDescent="0.25">
      <c r="I212" t="s">
        <v>595</v>
      </c>
      <c r="J212" s="122">
        <f>J207/H206</f>
        <v>0</v>
      </c>
    </row>
    <row r="215" spans="1:10" ht="15.75" thickBot="1" x14ac:dyDescent="0.3"/>
    <row r="216" spans="1:10" x14ac:dyDescent="0.25">
      <c r="A216" s="7"/>
      <c r="B216" s="294" t="s">
        <v>860</v>
      </c>
      <c r="C216" s="295" t="s">
        <v>495</v>
      </c>
    </row>
    <row r="217" spans="1:10" x14ac:dyDescent="0.25">
      <c r="A217" s="20" t="s">
        <v>181</v>
      </c>
      <c r="B217" s="5">
        <f>COUNTIFS($A$2:$A$202,A217,$M$2:$M$202,"Small",$F$2:$F$202,"UST")</f>
        <v>0</v>
      </c>
      <c r="C217" s="21">
        <f>SUMIFS($H$2:$H$202,$A$2:$A$202,A217,$F$2:$F$202,"UST")</f>
        <v>100</v>
      </c>
    </row>
    <row r="218" spans="1:10" x14ac:dyDescent="0.25">
      <c r="A218" s="20" t="s">
        <v>219</v>
      </c>
      <c r="B218" s="5">
        <f t="shared" ref="B218:B224" si="4">COUNTIFS($A$2:$A$202,A218,$M$2:$M$202,"Small",$F$2:$F$202,"UST")</f>
        <v>0</v>
      </c>
      <c r="C218" s="21">
        <f t="shared" ref="C218:C224" si="5">SUMIFS($H$2:$H$202,$A$2:$A$202,A218,$F$2:$F$202,"UST")</f>
        <v>128</v>
      </c>
    </row>
    <row r="219" spans="1:10" x14ac:dyDescent="0.25">
      <c r="A219" s="20" t="s">
        <v>235</v>
      </c>
      <c r="B219" s="5">
        <f t="shared" si="4"/>
        <v>1</v>
      </c>
      <c r="C219" s="21">
        <f t="shared" si="5"/>
        <v>229</v>
      </c>
    </row>
    <row r="220" spans="1:10" x14ac:dyDescent="0.25">
      <c r="A220" s="20" t="s">
        <v>256</v>
      </c>
      <c r="B220" s="5">
        <f t="shared" si="4"/>
        <v>6</v>
      </c>
      <c r="C220" s="21">
        <f t="shared" si="5"/>
        <v>998</v>
      </c>
    </row>
    <row r="221" spans="1:10" x14ac:dyDescent="0.25">
      <c r="A221" s="20" t="s">
        <v>337</v>
      </c>
      <c r="B221" s="5">
        <f t="shared" si="4"/>
        <v>1</v>
      </c>
      <c r="C221" s="21">
        <f t="shared" si="5"/>
        <v>1658</v>
      </c>
    </row>
    <row r="222" spans="1:10" x14ac:dyDescent="0.25">
      <c r="A222" s="20" t="s">
        <v>402</v>
      </c>
      <c r="B222" s="5">
        <f t="shared" si="4"/>
        <v>0</v>
      </c>
      <c r="C222" s="21">
        <f t="shared" si="5"/>
        <v>2530</v>
      </c>
    </row>
    <row r="223" spans="1:10" x14ac:dyDescent="0.25">
      <c r="A223" s="20" t="s">
        <v>418</v>
      </c>
      <c r="B223" s="5">
        <f t="shared" si="4"/>
        <v>0</v>
      </c>
      <c r="C223" s="21">
        <f t="shared" si="5"/>
        <v>748</v>
      </c>
    </row>
    <row r="224" spans="1:10" ht="15.75" thickBot="1" x14ac:dyDescent="0.3">
      <c r="A224" s="22" t="s">
        <v>447</v>
      </c>
      <c r="B224" s="9">
        <f t="shared" si="4"/>
        <v>2</v>
      </c>
      <c r="C224" s="25">
        <f t="shared" si="5"/>
        <v>659</v>
      </c>
    </row>
  </sheetData>
  <sheetProtection algorithmName="SHA-512" hashValue="iVhjtle0QS0zNlMGLuLbJJ0skLe6ZI9qPMoJzY5dBj16HVTC7AmKvH4Wk2PS0OyBelhAi+Nbb9kx0BTNoyGCmA==" saltValue="CMXthgkRdaHsnIKlwQgAhg==" spinCount="100000" sheet="1" objects="1" scenarios="1"/>
  <autoFilter ref="A1:W204" xr:uid="{00000000-0009-0000-0000-00000B000000}">
    <filterColumn colId="5">
      <filters>
        <filter val="UST"/>
      </filters>
    </filterColumn>
  </autoFilter>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F10"/>
  <sheetViews>
    <sheetView workbookViewId="0"/>
  </sheetViews>
  <sheetFormatPr defaultRowHeight="15" x14ac:dyDescent="0.25"/>
  <cols>
    <col min="2" max="2" width="33.28515625" customWidth="1"/>
    <col min="3" max="3" width="23.85546875" customWidth="1"/>
    <col min="4" max="4" width="15.5703125" customWidth="1"/>
    <col min="5" max="5" width="18.85546875" customWidth="1"/>
  </cols>
  <sheetData>
    <row r="1" spans="2:6" ht="45" customHeight="1" x14ac:dyDescent="0.25">
      <c r="B1" s="473" t="s">
        <v>653</v>
      </c>
      <c r="C1" s="474"/>
      <c r="D1" s="474"/>
      <c r="E1" s="475"/>
    </row>
    <row r="2" spans="2:6" ht="18.75" customHeight="1" x14ac:dyDescent="0.25">
      <c r="B2" s="479" t="s">
        <v>651</v>
      </c>
      <c r="C2" s="480"/>
      <c r="D2" s="480"/>
      <c r="E2" s="481"/>
      <c r="F2" s="388"/>
    </row>
    <row r="3" spans="2:6" ht="35.25" customHeight="1" x14ac:dyDescent="0.25">
      <c r="B3" s="20" t="s">
        <v>956</v>
      </c>
      <c r="C3" s="5" t="s">
        <v>121</v>
      </c>
      <c r="D3" s="19" t="s">
        <v>596</v>
      </c>
      <c r="E3" s="390" t="s">
        <v>602</v>
      </c>
    </row>
    <row r="4" spans="2:6" ht="30" x14ac:dyDescent="0.25">
      <c r="B4" s="150" t="s">
        <v>655</v>
      </c>
      <c r="C4" s="5" t="s">
        <v>601</v>
      </c>
      <c r="D4" s="389">
        <v>2.8E-3</v>
      </c>
      <c r="E4" s="391">
        <f>D4/8765</f>
        <v>3.1945236737022246E-7</v>
      </c>
    </row>
    <row r="5" spans="2:6" x14ac:dyDescent="0.25">
      <c r="B5" s="20"/>
      <c r="C5" s="5" t="s">
        <v>599</v>
      </c>
      <c r="D5" s="389">
        <v>3.0000000000000001E-6</v>
      </c>
      <c r="E5" s="391">
        <f>D5/8765</f>
        <v>3.4227039361095267E-10</v>
      </c>
    </row>
    <row r="6" spans="2:6" x14ac:dyDescent="0.25">
      <c r="B6" s="476" t="s">
        <v>652</v>
      </c>
      <c r="C6" s="477"/>
      <c r="D6" s="477"/>
      <c r="E6" s="478"/>
    </row>
    <row r="7" spans="2:6" x14ac:dyDescent="0.25">
      <c r="B7" s="413" t="s">
        <v>647</v>
      </c>
      <c r="C7" s="414"/>
      <c r="D7" s="414"/>
      <c r="E7" s="435"/>
    </row>
    <row r="8" spans="2:6" x14ac:dyDescent="0.25">
      <c r="B8" s="413" t="s">
        <v>648</v>
      </c>
      <c r="C8" s="414"/>
      <c r="D8" s="414"/>
      <c r="E8" s="435"/>
    </row>
    <row r="9" spans="2:6" x14ac:dyDescent="0.25">
      <c r="B9" s="413" t="s">
        <v>649</v>
      </c>
      <c r="C9" s="414"/>
      <c r="D9" s="414"/>
      <c r="E9" s="435"/>
    </row>
    <row r="10" spans="2:6" ht="15.75" thickBot="1" x14ac:dyDescent="0.3">
      <c r="B10" s="394" t="s">
        <v>650</v>
      </c>
      <c r="C10" s="395"/>
      <c r="D10" s="395"/>
      <c r="E10" s="469"/>
    </row>
  </sheetData>
  <sheetProtection algorithmName="SHA-512" hashValue="vu5tpIXQRUYBz2x2OgVHl36E228bQdEqb+X7qfqdZoUCVfL2Iu8CYMHvjN/pGLNxOMWc6WRPoQEX9t3vRMqH1g==" saltValue="ZEYuR5GSvE3pE4v21hpYMg==" spinCount="100000" sheet="1" objects="1" scenarios="1"/>
  <mergeCells count="7">
    <mergeCell ref="B7:E7"/>
    <mergeCell ref="B8:E8"/>
    <mergeCell ref="B9:E9"/>
    <mergeCell ref="B10:E10"/>
    <mergeCell ref="B1:E1"/>
    <mergeCell ref="B6:E6"/>
    <mergeCell ref="B2:E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26"/>
  <sheetViews>
    <sheetView workbookViewId="0">
      <selection sqref="A1:P1"/>
    </sheetView>
  </sheetViews>
  <sheetFormatPr defaultRowHeight="15" x14ac:dyDescent="0.25"/>
  <cols>
    <col min="1" max="1" width="5.7109375" customWidth="1"/>
    <col min="2" max="2" width="13.5703125" customWidth="1"/>
    <col min="16" max="16" width="9.140625" style="55"/>
    <col min="17" max="18" width="9.140625" style="172"/>
  </cols>
  <sheetData>
    <row r="1" spans="1:18" ht="15.75" x14ac:dyDescent="0.25">
      <c r="A1" s="484" t="s">
        <v>705</v>
      </c>
      <c r="B1" s="484"/>
      <c r="C1" s="484"/>
      <c r="D1" s="484"/>
      <c r="E1" s="484"/>
      <c r="F1" s="484"/>
      <c r="G1" s="484"/>
      <c r="H1" s="484"/>
      <c r="I1" s="484"/>
      <c r="J1" s="484"/>
      <c r="K1" s="484"/>
      <c r="L1" s="484"/>
      <c r="M1" s="484"/>
      <c r="N1" s="484"/>
      <c r="O1" s="484"/>
      <c r="P1" s="484"/>
    </row>
    <row r="2" spans="1:18" ht="49.5" customHeight="1" x14ac:dyDescent="0.25">
      <c r="A2" s="485" t="s">
        <v>706</v>
      </c>
      <c r="B2" s="485"/>
      <c r="C2" s="485"/>
      <c r="D2" s="485"/>
      <c r="E2" s="485"/>
      <c r="F2" s="485"/>
      <c r="G2" s="485"/>
      <c r="H2" s="485"/>
      <c r="I2" s="485"/>
      <c r="J2" s="485"/>
      <c r="K2" s="485"/>
      <c r="L2" s="485"/>
      <c r="M2" s="485"/>
      <c r="N2" s="485"/>
      <c r="O2" s="485"/>
      <c r="P2" s="485"/>
    </row>
    <row r="3" spans="1:18" s="180" customFormat="1" ht="18" customHeight="1" x14ac:dyDescent="0.25">
      <c r="A3" s="486" t="s">
        <v>707</v>
      </c>
      <c r="B3" s="487"/>
      <c r="C3" s="173"/>
      <c r="D3" s="488" t="s">
        <v>323</v>
      </c>
      <c r="E3" s="489"/>
      <c r="F3" s="173"/>
      <c r="G3" s="490" t="s">
        <v>539</v>
      </c>
      <c r="H3" s="491"/>
      <c r="I3" s="173"/>
      <c r="J3" s="174" t="s">
        <v>537</v>
      </c>
      <c r="K3" s="175" t="s">
        <v>538</v>
      </c>
      <c r="L3" s="176" t="s">
        <v>708</v>
      </c>
      <c r="M3" s="177" t="s">
        <v>534</v>
      </c>
      <c r="N3" s="178"/>
      <c r="O3" s="492" t="s">
        <v>709</v>
      </c>
      <c r="P3" s="493"/>
      <c r="Q3" s="179"/>
      <c r="R3" s="179"/>
    </row>
    <row r="4" spans="1:18" ht="6.75" customHeight="1" x14ac:dyDescent="0.25">
      <c r="A4" s="181"/>
      <c r="B4" s="182"/>
      <c r="C4" s="182"/>
      <c r="D4" s="182"/>
      <c r="E4" s="182"/>
      <c r="F4" s="182"/>
      <c r="G4" s="182"/>
      <c r="H4" s="182"/>
      <c r="I4" s="182"/>
      <c r="J4" s="182"/>
      <c r="K4" s="182"/>
      <c r="L4" s="182"/>
      <c r="M4" s="182"/>
      <c r="N4" s="182"/>
      <c r="O4" s="183"/>
      <c r="P4" s="184"/>
    </row>
    <row r="5" spans="1:18" x14ac:dyDescent="0.25">
      <c r="A5" s="482" t="s">
        <v>710</v>
      </c>
      <c r="B5" s="185" t="s">
        <v>711</v>
      </c>
      <c r="C5" s="186">
        <v>70</v>
      </c>
      <c r="D5" s="186">
        <v>71</v>
      </c>
      <c r="E5" s="186">
        <v>71</v>
      </c>
      <c r="F5" s="186">
        <v>72</v>
      </c>
      <c r="G5" s="186">
        <v>75</v>
      </c>
      <c r="H5" s="187">
        <v>82</v>
      </c>
      <c r="I5" s="187">
        <v>82</v>
      </c>
      <c r="J5" s="187">
        <v>83</v>
      </c>
      <c r="K5" s="187">
        <v>83</v>
      </c>
      <c r="L5" s="187">
        <v>83</v>
      </c>
      <c r="M5" s="186"/>
      <c r="N5" s="186"/>
      <c r="O5" s="186" t="s">
        <v>712</v>
      </c>
      <c r="P5" s="186" t="s">
        <v>713</v>
      </c>
    </row>
    <row r="6" spans="1:18" x14ac:dyDescent="0.25">
      <c r="A6" s="482"/>
      <c r="B6" s="185" t="s">
        <v>714</v>
      </c>
      <c r="C6" s="186">
        <v>63</v>
      </c>
      <c r="D6" s="186">
        <v>191</v>
      </c>
      <c r="E6" s="186">
        <v>37</v>
      </c>
      <c r="F6" s="186">
        <v>56</v>
      </c>
      <c r="G6" s="186">
        <v>6</v>
      </c>
      <c r="H6" s="187">
        <v>6</v>
      </c>
      <c r="I6" s="187">
        <v>55</v>
      </c>
      <c r="J6" s="187">
        <v>76</v>
      </c>
      <c r="K6" s="187">
        <v>23</v>
      </c>
      <c r="L6" s="187">
        <v>38</v>
      </c>
      <c r="M6" s="186"/>
      <c r="N6" s="186"/>
      <c r="O6" s="186"/>
      <c r="P6" s="186"/>
    </row>
    <row r="7" spans="1:18" s="192" customFormat="1" x14ac:dyDescent="0.25">
      <c r="A7" s="482"/>
      <c r="B7" s="188" t="s">
        <v>715</v>
      </c>
      <c r="C7" s="189">
        <v>4623</v>
      </c>
      <c r="D7" s="189">
        <v>16830</v>
      </c>
      <c r="E7" s="189">
        <v>5031</v>
      </c>
      <c r="F7" s="189">
        <v>4810</v>
      </c>
      <c r="G7" s="189">
        <v>10671</v>
      </c>
      <c r="H7" s="189">
        <v>2417</v>
      </c>
      <c r="I7" s="189">
        <v>871</v>
      </c>
      <c r="J7" s="189">
        <v>2229</v>
      </c>
      <c r="K7" s="189">
        <v>-1090</v>
      </c>
      <c r="L7" s="189">
        <v>-1004</v>
      </c>
      <c r="M7" s="190"/>
      <c r="N7" s="190"/>
      <c r="O7" s="190">
        <f>SUM(C7:N7)</f>
        <v>45388</v>
      </c>
      <c r="P7" s="190"/>
      <c r="Q7" s="191"/>
      <c r="R7" s="191"/>
    </row>
    <row r="8" spans="1:18" x14ac:dyDescent="0.25">
      <c r="A8" s="482"/>
      <c r="B8" s="185" t="s">
        <v>711</v>
      </c>
      <c r="C8" s="186">
        <v>47</v>
      </c>
      <c r="D8" s="193">
        <v>53</v>
      </c>
      <c r="E8" s="186">
        <v>64</v>
      </c>
      <c r="F8" s="186">
        <v>64</v>
      </c>
      <c r="G8" s="186">
        <v>64</v>
      </c>
      <c r="H8" s="187">
        <v>65</v>
      </c>
      <c r="I8" s="5">
        <v>65</v>
      </c>
      <c r="J8" s="5">
        <v>66</v>
      </c>
      <c r="K8" s="5">
        <v>67</v>
      </c>
      <c r="L8" s="186">
        <v>77</v>
      </c>
      <c r="M8" s="186">
        <v>78</v>
      </c>
      <c r="N8" s="186">
        <v>78</v>
      </c>
      <c r="O8" s="186"/>
      <c r="P8" s="186"/>
      <c r="Q8" s="191"/>
    </row>
    <row r="9" spans="1:18" x14ac:dyDescent="0.25">
      <c r="A9" s="482"/>
      <c r="B9" s="185" t="s">
        <v>714</v>
      </c>
      <c r="C9" s="194">
        <f>8/60/24</f>
        <v>5.5555555555555558E-3</v>
      </c>
      <c r="D9" s="193"/>
      <c r="E9" s="194">
        <f>4/60/24</f>
        <v>2.7777777777777779E-3</v>
      </c>
      <c r="F9" s="194">
        <f>1/24</f>
        <v>4.1666666666666664E-2</v>
      </c>
      <c r="G9" s="186"/>
      <c r="H9" s="187"/>
      <c r="I9" s="5"/>
      <c r="J9" s="5"/>
      <c r="K9" s="5"/>
      <c r="L9" s="186">
        <v>75</v>
      </c>
      <c r="M9" s="186">
        <v>114</v>
      </c>
      <c r="N9" s="186">
        <v>127</v>
      </c>
      <c r="O9" s="186"/>
      <c r="P9" s="186"/>
      <c r="Q9" s="191"/>
    </row>
    <row r="10" spans="1:18" s="192" customFormat="1" x14ac:dyDescent="0.25">
      <c r="A10" s="482"/>
      <c r="B10" s="188" t="s">
        <v>716</v>
      </c>
      <c r="C10" s="195">
        <v>5</v>
      </c>
      <c r="D10" s="196" t="s">
        <v>546</v>
      </c>
      <c r="E10" s="197">
        <v>0.25</v>
      </c>
      <c r="F10" s="197">
        <v>0.25</v>
      </c>
      <c r="G10" s="197">
        <v>0.01</v>
      </c>
      <c r="H10" s="198">
        <v>0.01</v>
      </c>
      <c r="I10" s="199">
        <v>0.01</v>
      </c>
      <c r="J10" s="200">
        <v>0.01</v>
      </c>
      <c r="K10" s="199">
        <v>0.01</v>
      </c>
      <c r="L10" s="189">
        <v>999</v>
      </c>
      <c r="M10" s="189">
        <v>7874</v>
      </c>
      <c r="N10" s="189">
        <v>13221</v>
      </c>
      <c r="O10" s="190"/>
      <c r="P10" s="190">
        <f>SUM(C10:N10)</f>
        <v>22099.55</v>
      </c>
      <c r="Q10" s="191"/>
      <c r="R10" s="191"/>
    </row>
    <row r="11" spans="1:18" x14ac:dyDescent="0.25">
      <c r="A11" s="482" t="s">
        <v>717</v>
      </c>
      <c r="B11" s="185" t="s">
        <v>711</v>
      </c>
      <c r="C11" s="186"/>
      <c r="D11" s="186"/>
      <c r="E11" s="186"/>
      <c r="F11" s="186"/>
      <c r="G11" s="186"/>
      <c r="H11" s="186"/>
      <c r="I11" s="186"/>
      <c r="J11" s="186"/>
      <c r="K11" s="186"/>
      <c r="L11" s="186"/>
      <c r="M11" s="186"/>
      <c r="N11" s="186"/>
      <c r="O11" s="186"/>
      <c r="P11" s="186"/>
    </row>
    <row r="12" spans="1:18" x14ac:dyDescent="0.25">
      <c r="A12" s="482"/>
      <c r="B12" s="185" t="s">
        <v>714</v>
      </c>
      <c r="C12" s="186"/>
      <c r="D12" s="186"/>
      <c r="E12" s="186"/>
      <c r="F12" s="186"/>
      <c r="G12" s="186"/>
      <c r="H12" s="186"/>
      <c r="I12" s="186"/>
      <c r="J12" s="186"/>
      <c r="K12" s="186"/>
      <c r="L12" s="186"/>
      <c r="M12" s="186"/>
      <c r="N12" s="186"/>
      <c r="O12" s="186"/>
      <c r="P12" s="186"/>
    </row>
    <row r="13" spans="1:18" x14ac:dyDescent="0.25">
      <c r="A13" s="482"/>
      <c r="B13" s="188" t="s">
        <v>715</v>
      </c>
      <c r="C13" s="186"/>
      <c r="D13" s="186"/>
      <c r="E13" s="186"/>
      <c r="F13" s="186"/>
      <c r="G13" s="186"/>
      <c r="H13" s="186"/>
      <c r="I13" s="186"/>
      <c r="J13" s="186"/>
      <c r="K13" s="186"/>
      <c r="L13" s="186"/>
      <c r="M13" s="186"/>
      <c r="N13" s="186"/>
      <c r="O13" s="186"/>
      <c r="P13" s="186"/>
    </row>
    <row r="14" spans="1:18" x14ac:dyDescent="0.25">
      <c r="A14" s="482"/>
      <c r="B14" s="185" t="s">
        <v>711</v>
      </c>
      <c r="C14" s="186">
        <v>47</v>
      </c>
      <c r="D14" s="186">
        <v>54</v>
      </c>
      <c r="E14" s="186">
        <v>54</v>
      </c>
      <c r="F14" s="186"/>
      <c r="G14" s="186"/>
      <c r="H14" s="186"/>
      <c r="I14" s="186"/>
      <c r="J14" s="186"/>
      <c r="K14" s="186"/>
      <c r="L14" s="186"/>
      <c r="M14" s="186"/>
      <c r="N14" s="186"/>
      <c r="O14" s="186"/>
      <c r="P14" s="186"/>
    </row>
    <row r="15" spans="1:18" x14ac:dyDescent="0.25">
      <c r="A15" s="482"/>
      <c r="B15" s="185" t="s">
        <v>714</v>
      </c>
      <c r="C15" s="186"/>
      <c r="D15" s="194">
        <f>2/24</f>
        <v>8.3333333333333329E-2</v>
      </c>
      <c r="E15" s="194">
        <f>7/24</f>
        <v>0.29166666666666669</v>
      </c>
      <c r="F15" s="186"/>
      <c r="G15" s="186"/>
      <c r="H15" s="186"/>
      <c r="I15" s="186"/>
      <c r="J15" s="186"/>
      <c r="K15" s="186"/>
      <c r="L15" s="186"/>
      <c r="M15" s="186"/>
      <c r="N15" s="186"/>
      <c r="O15" s="186"/>
      <c r="P15" s="186"/>
    </row>
    <row r="16" spans="1:18" ht="15" customHeight="1" x14ac:dyDescent="0.25">
      <c r="A16" s="482"/>
      <c r="B16" s="188" t="s">
        <v>716</v>
      </c>
      <c r="C16" s="201" t="s">
        <v>546</v>
      </c>
      <c r="D16" s="202">
        <f>1.5/4</f>
        <v>0.375</v>
      </c>
      <c r="E16" s="203">
        <v>10</v>
      </c>
      <c r="F16" s="186"/>
      <c r="G16" s="186"/>
      <c r="H16" s="186"/>
      <c r="I16" s="186"/>
      <c r="J16" s="186"/>
      <c r="K16" s="186"/>
      <c r="L16" s="186"/>
      <c r="M16" s="186"/>
      <c r="N16" s="186"/>
      <c r="O16" s="186"/>
      <c r="P16" s="186"/>
    </row>
    <row r="17" spans="1:18" ht="15" customHeight="1" x14ac:dyDescent="0.25">
      <c r="A17" s="482" t="s">
        <v>718</v>
      </c>
      <c r="B17" s="185" t="s">
        <v>711</v>
      </c>
      <c r="C17" s="187">
        <v>49</v>
      </c>
      <c r="D17" s="186"/>
      <c r="E17" s="186"/>
      <c r="F17" s="186"/>
      <c r="G17" s="186"/>
      <c r="H17" s="186"/>
      <c r="I17" s="186"/>
      <c r="J17" s="186"/>
      <c r="K17" s="186"/>
      <c r="L17" s="186"/>
      <c r="M17" s="186"/>
      <c r="N17" s="186"/>
      <c r="O17" s="186"/>
      <c r="P17" s="186"/>
    </row>
    <row r="18" spans="1:18" x14ac:dyDescent="0.25">
      <c r="A18" s="482"/>
      <c r="B18" s="185" t="s">
        <v>714</v>
      </c>
      <c r="C18" s="187">
        <v>71</v>
      </c>
      <c r="D18" s="186"/>
      <c r="E18" s="186"/>
      <c r="F18" s="186"/>
      <c r="G18" s="186"/>
      <c r="H18" s="186"/>
      <c r="I18" s="186"/>
      <c r="J18" s="186"/>
      <c r="K18" s="186"/>
      <c r="L18" s="186"/>
      <c r="M18" s="186"/>
      <c r="N18" s="186"/>
      <c r="O18" s="186"/>
      <c r="P18" s="186"/>
    </row>
    <row r="19" spans="1:18" x14ac:dyDescent="0.25">
      <c r="A19" s="482"/>
      <c r="B19" s="188" t="s">
        <v>715</v>
      </c>
      <c r="C19" s="204">
        <v>4260</v>
      </c>
      <c r="D19" s="186"/>
      <c r="E19" s="186"/>
      <c r="F19" s="186"/>
      <c r="G19" s="186"/>
      <c r="H19" s="186"/>
      <c r="I19" s="186"/>
      <c r="J19" s="186"/>
      <c r="K19" s="186"/>
      <c r="L19" s="186"/>
      <c r="M19" s="186"/>
      <c r="N19" s="186"/>
      <c r="O19" s="205">
        <f>SUM(C19:N19)</f>
        <v>4260</v>
      </c>
      <c r="P19" s="186"/>
    </row>
    <row r="20" spans="1:18" x14ac:dyDescent="0.25">
      <c r="A20" s="482"/>
      <c r="B20" s="185" t="s">
        <v>711</v>
      </c>
      <c r="C20" s="186"/>
      <c r="D20" s="186"/>
      <c r="E20" s="186"/>
      <c r="F20" s="186"/>
      <c r="G20" s="186"/>
      <c r="H20" s="186"/>
      <c r="I20" s="186"/>
      <c r="J20" s="186"/>
      <c r="K20" s="186"/>
      <c r="L20" s="186"/>
      <c r="M20" s="186"/>
      <c r="N20" s="186"/>
      <c r="O20" s="186"/>
      <c r="P20" s="186"/>
    </row>
    <row r="21" spans="1:18" x14ac:dyDescent="0.25">
      <c r="A21" s="482"/>
      <c r="B21" s="185" t="s">
        <v>714</v>
      </c>
      <c r="C21" s="186"/>
      <c r="D21" s="186"/>
      <c r="E21" s="186"/>
      <c r="F21" s="186"/>
      <c r="G21" s="186"/>
      <c r="H21" s="186"/>
      <c r="I21" s="186"/>
      <c r="J21" s="186"/>
      <c r="K21" s="186"/>
      <c r="L21" s="186"/>
      <c r="M21" s="186"/>
      <c r="N21" s="186"/>
      <c r="O21" s="186"/>
      <c r="P21" s="186"/>
    </row>
    <row r="22" spans="1:18" ht="15" customHeight="1" x14ac:dyDescent="0.25">
      <c r="A22" s="482"/>
      <c r="B22" s="188" t="s">
        <v>716</v>
      </c>
      <c r="C22" s="186"/>
      <c r="D22" s="186"/>
      <c r="E22" s="186"/>
      <c r="F22" s="186"/>
      <c r="G22" s="186"/>
      <c r="H22" s="186"/>
      <c r="I22" s="186"/>
      <c r="J22" s="186"/>
      <c r="K22" s="186"/>
      <c r="L22" s="186"/>
      <c r="M22" s="186"/>
      <c r="N22" s="186"/>
      <c r="O22" s="186"/>
      <c r="P22" s="186"/>
    </row>
    <row r="23" spans="1:18" x14ac:dyDescent="0.25">
      <c r="A23" s="483" t="s">
        <v>719</v>
      </c>
      <c r="B23" s="206" t="s">
        <v>711</v>
      </c>
      <c r="C23" s="186"/>
      <c r="D23" s="186"/>
      <c r="E23" s="186"/>
      <c r="F23" s="186"/>
      <c r="G23" s="186"/>
      <c r="H23" s="186"/>
      <c r="I23" s="186"/>
      <c r="J23" s="186"/>
      <c r="K23" s="186"/>
      <c r="L23" s="186"/>
      <c r="M23" s="186"/>
      <c r="N23" s="186"/>
      <c r="O23" s="186"/>
      <c r="P23" s="186"/>
    </row>
    <row r="24" spans="1:18" x14ac:dyDescent="0.25">
      <c r="A24" s="483"/>
      <c r="B24" s="206" t="s">
        <v>714</v>
      </c>
      <c r="C24" s="186"/>
      <c r="D24" s="186"/>
      <c r="E24" s="186"/>
      <c r="F24" s="186"/>
      <c r="G24" s="186"/>
      <c r="H24" s="186"/>
      <c r="I24" s="186"/>
      <c r="J24" s="186"/>
      <c r="K24" s="186"/>
      <c r="L24" s="186"/>
      <c r="M24" s="186"/>
      <c r="N24" s="186"/>
      <c r="O24" s="186"/>
      <c r="P24" s="186"/>
    </row>
    <row r="25" spans="1:18" x14ac:dyDescent="0.25">
      <c r="A25" s="483"/>
      <c r="B25" s="207" t="s">
        <v>715</v>
      </c>
      <c r="C25" s="186"/>
      <c r="D25" s="186"/>
      <c r="E25" s="186"/>
      <c r="F25" s="186"/>
      <c r="G25" s="186"/>
      <c r="H25" s="186"/>
      <c r="I25" s="186"/>
      <c r="J25" s="186"/>
      <c r="K25" s="186"/>
      <c r="L25" s="186"/>
      <c r="M25" s="186"/>
      <c r="N25" s="186"/>
      <c r="O25" s="186"/>
      <c r="P25" s="186"/>
    </row>
    <row r="26" spans="1:18" x14ac:dyDescent="0.25">
      <c r="A26" s="483"/>
      <c r="B26" s="206" t="s">
        <v>711</v>
      </c>
      <c r="C26" s="186"/>
      <c r="D26" s="186"/>
      <c r="E26" s="186"/>
      <c r="F26" s="186"/>
      <c r="G26" s="186"/>
      <c r="H26" s="186"/>
      <c r="I26" s="186"/>
      <c r="J26" s="186"/>
      <c r="K26" s="186"/>
      <c r="L26" s="186"/>
      <c r="M26" s="186"/>
      <c r="N26" s="186"/>
      <c r="O26" s="186"/>
      <c r="P26" s="186"/>
    </row>
    <row r="27" spans="1:18" x14ac:dyDescent="0.25">
      <c r="A27" s="483"/>
      <c r="B27" s="206" t="s">
        <v>714</v>
      </c>
      <c r="C27" s="186"/>
      <c r="D27" s="186"/>
      <c r="E27" s="186"/>
      <c r="F27" s="186"/>
      <c r="G27" s="186"/>
      <c r="H27" s="186"/>
      <c r="I27" s="186"/>
      <c r="J27" s="186"/>
      <c r="K27" s="186"/>
      <c r="L27" s="186"/>
      <c r="M27" s="186"/>
      <c r="N27" s="186"/>
      <c r="O27" s="186"/>
      <c r="P27" s="186"/>
    </row>
    <row r="28" spans="1:18" ht="15" customHeight="1" x14ac:dyDescent="0.25">
      <c r="A28" s="483"/>
      <c r="B28" s="207" t="s">
        <v>716</v>
      </c>
      <c r="C28" s="186"/>
      <c r="D28" s="186"/>
      <c r="E28" s="186"/>
      <c r="F28" s="186"/>
      <c r="G28" s="186"/>
      <c r="H28" s="186"/>
      <c r="I28" s="186"/>
      <c r="J28" s="186"/>
      <c r="K28" s="186"/>
      <c r="L28" s="186"/>
      <c r="M28" s="186"/>
      <c r="N28" s="186"/>
      <c r="O28" s="186"/>
      <c r="P28" s="186"/>
    </row>
    <row r="29" spans="1:18" x14ac:dyDescent="0.25">
      <c r="A29" s="482" t="s">
        <v>720</v>
      </c>
      <c r="B29" s="185" t="s">
        <v>711</v>
      </c>
      <c r="C29" s="186">
        <v>14</v>
      </c>
      <c r="D29" s="186"/>
      <c r="E29" s="186"/>
      <c r="F29" s="186"/>
      <c r="G29" s="186"/>
      <c r="H29" s="186"/>
      <c r="I29" s="186"/>
      <c r="J29" s="186"/>
      <c r="K29" s="186"/>
      <c r="L29" s="186"/>
      <c r="M29" s="186"/>
      <c r="N29" s="186"/>
      <c r="O29" s="186"/>
      <c r="P29" s="186"/>
    </row>
    <row r="30" spans="1:18" x14ac:dyDescent="0.25">
      <c r="A30" s="482"/>
      <c r="B30" s="185" t="s">
        <v>714</v>
      </c>
      <c r="C30" s="186"/>
      <c r="D30" s="186"/>
      <c r="E30" s="186"/>
      <c r="F30" s="186"/>
      <c r="G30" s="186"/>
      <c r="H30" s="186"/>
      <c r="I30" s="186"/>
      <c r="J30" s="186"/>
      <c r="K30" s="186"/>
      <c r="L30" s="186"/>
      <c r="M30" s="186"/>
      <c r="N30" s="186"/>
      <c r="O30" s="186"/>
      <c r="P30" s="186"/>
    </row>
    <row r="31" spans="1:18" s="1" customFormat="1" x14ac:dyDescent="0.25">
      <c r="A31" s="482"/>
      <c r="B31" s="188" t="s">
        <v>715</v>
      </c>
      <c r="C31" s="208">
        <v>27000</v>
      </c>
      <c r="D31" s="205"/>
      <c r="E31" s="205"/>
      <c r="F31" s="205"/>
      <c r="G31" s="205"/>
      <c r="H31" s="205"/>
      <c r="I31" s="205"/>
      <c r="J31" s="205"/>
      <c r="K31" s="205"/>
      <c r="L31" s="205"/>
      <c r="M31" s="205"/>
      <c r="N31" s="205"/>
      <c r="O31" s="205">
        <f>SUM(C31:M31)</f>
        <v>27000</v>
      </c>
      <c r="P31" s="205"/>
      <c r="Q31" s="209"/>
      <c r="R31" s="209"/>
    </row>
    <row r="32" spans="1:18" x14ac:dyDescent="0.25">
      <c r="A32" s="482"/>
      <c r="B32" s="185" t="s">
        <v>711</v>
      </c>
      <c r="C32" s="186">
        <v>64</v>
      </c>
      <c r="D32" s="186">
        <v>72</v>
      </c>
      <c r="E32" s="186"/>
      <c r="F32" s="186"/>
      <c r="G32" s="186"/>
      <c r="H32" s="186"/>
      <c r="I32" s="186"/>
      <c r="J32" s="186"/>
      <c r="K32" s="186"/>
      <c r="L32" s="186"/>
      <c r="M32" s="186"/>
      <c r="N32" s="186"/>
      <c r="O32" s="186"/>
      <c r="P32" s="186"/>
    </row>
    <row r="33" spans="1:18" x14ac:dyDescent="0.25">
      <c r="A33" s="482"/>
      <c r="B33" s="185" t="s">
        <v>714</v>
      </c>
      <c r="C33" s="194">
        <f>1/24</f>
        <v>4.1666666666666664E-2</v>
      </c>
      <c r="D33" s="186">
        <v>1</v>
      </c>
      <c r="E33" s="186"/>
      <c r="F33" s="186"/>
      <c r="G33" s="186"/>
      <c r="H33" s="186"/>
      <c r="I33" s="186"/>
      <c r="J33" s="186"/>
      <c r="K33" s="186"/>
      <c r="L33" s="186"/>
      <c r="M33" s="186"/>
      <c r="N33" s="186"/>
      <c r="O33" s="186"/>
      <c r="P33" s="186"/>
    </row>
    <row r="34" spans="1:18" x14ac:dyDescent="0.25">
      <c r="A34" s="482"/>
      <c r="B34" s="188" t="s">
        <v>716</v>
      </c>
      <c r="C34" s="210">
        <v>1</v>
      </c>
      <c r="D34" s="211">
        <f>2/4</f>
        <v>0.5</v>
      </c>
      <c r="E34" s="186"/>
      <c r="F34" s="186"/>
      <c r="G34" s="186"/>
      <c r="H34" s="186"/>
      <c r="I34" s="186"/>
      <c r="J34" s="186"/>
      <c r="K34" s="186"/>
      <c r="L34" s="186"/>
      <c r="M34" s="186"/>
      <c r="N34" s="186"/>
      <c r="O34" s="186"/>
      <c r="P34" s="186">
        <f>SUM(C34:O34)</f>
        <v>1.5</v>
      </c>
    </row>
    <row r="35" spans="1:18" x14ac:dyDescent="0.25">
      <c r="A35" s="483" t="s">
        <v>721</v>
      </c>
      <c r="B35" s="206" t="s">
        <v>711</v>
      </c>
      <c r="C35" s="186"/>
      <c r="D35" s="186"/>
      <c r="E35" s="186"/>
      <c r="F35" s="186"/>
      <c r="G35" s="186"/>
      <c r="H35" s="186"/>
      <c r="I35" s="186"/>
      <c r="J35" s="186"/>
      <c r="K35" s="186"/>
      <c r="L35" s="186"/>
      <c r="M35" s="186"/>
      <c r="N35" s="186"/>
      <c r="O35" s="186"/>
      <c r="P35" s="186"/>
    </row>
    <row r="36" spans="1:18" x14ac:dyDescent="0.25">
      <c r="A36" s="483"/>
      <c r="B36" s="206" t="s">
        <v>714</v>
      </c>
      <c r="C36" s="186"/>
      <c r="D36" s="186"/>
      <c r="E36" s="186"/>
      <c r="F36" s="186"/>
      <c r="G36" s="186"/>
      <c r="H36" s="186"/>
      <c r="I36" s="186"/>
      <c r="J36" s="186"/>
      <c r="K36" s="186"/>
      <c r="L36" s="186"/>
      <c r="M36" s="186"/>
      <c r="N36" s="186"/>
      <c r="O36" s="186"/>
      <c r="P36" s="186"/>
    </row>
    <row r="37" spans="1:18" x14ac:dyDescent="0.25">
      <c r="A37" s="483"/>
      <c r="B37" s="207" t="s">
        <v>715</v>
      </c>
      <c r="C37" s="186"/>
      <c r="D37" s="186"/>
      <c r="E37" s="186"/>
      <c r="F37" s="186"/>
      <c r="G37" s="186"/>
      <c r="H37" s="186"/>
      <c r="I37" s="186"/>
      <c r="J37" s="186"/>
      <c r="K37" s="186"/>
      <c r="L37" s="186"/>
      <c r="M37" s="186"/>
      <c r="N37" s="186"/>
      <c r="O37" s="186"/>
      <c r="P37" s="186"/>
    </row>
    <row r="38" spans="1:18" x14ac:dyDescent="0.25">
      <c r="A38" s="483"/>
      <c r="B38" s="206" t="s">
        <v>711</v>
      </c>
      <c r="C38" s="186"/>
      <c r="D38" s="186"/>
      <c r="E38" s="186"/>
      <c r="F38" s="186"/>
      <c r="G38" s="186"/>
      <c r="H38" s="186"/>
      <c r="I38" s="186"/>
      <c r="J38" s="186"/>
      <c r="K38" s="186"/>
      <c r="L38" s="186"/>
      <c r="M38" s="186"/>
      <c r="N38" s="186"/>
      <c r="O38" s="186"/>
      <c r="P38" s="186"/>
    </row>
    <row r="39" spans="1:18" x14ac:dyDescent="0.25">
      <c r="A39" s="483"/>
      <c r="B39" s="206" t="s">
        <v>714</v>
      </c>
      <c r="C39" s="186"/>
      <c r="D39" s="186"/>
      <c r="E39" s="186"/>
      <c r="F39" s="186"/>
      <c r="G39" s="186"/>
      <c r="H39" s="186"/>
      <c r="I39" s="186"/>
      <c r="J39" s="186"/>
      <c r="K39" s="186"/>
      <c r="L39" s="186"/>
      <c r="M39" s="186"/>
      <c r="N39" s="186"/>
      <c r="O39" s="186"/>
      <c r="P39" s="186"/>
    </row>
    <row r="40" spans="1:18" x14ac:dyDescent="0.25">
      <c r="A40" s="483"/>
      <c r="B40" s="207" t="s">
        <v>716</v>
      </c>
      <c r="C40" s="186"/>
      <c r="D40" s="186"/>
      <c r="E40" s="186"/>
      <c r="F40" s="186"/>
      <c r="G40" s="186"/>
      <c r="H40" s="186"/>
      <c r="I40" s="186"/>
      <c r="J40" s="186"/>
      <c r="K40" s="186"/>
      <c r="L40" s="186"/>
      <c r="M40" s="186"/>
      <c r="N40" s="186"/>
      <c r="O40" s="186"/>
      <c r="P40" s="186"/>
    </row>
    <row r="41" spans="1:18" x14ac:dyDescent="0.25">
      <c r="A41" s="482" t="s">
        <v>722</v>
      </c>
      <c r="B41" s="185" t="s">
        <v>711</v>
      </c>
      <c r="C41" s="187">
        <v>81</v>
      </c>
      <c r="D41" s="186"/>
      <c r="E41" s="186"/>
      <c r="F41" s="186"/>
      <c r="G41" s="186"/>
      <c r="H41" s="186"/>
      <c r="I41" s="186"/>
      <c r="J41" s="186"/>
      <c r="K41" s="186"/>
      <c r="L41" s="186"/>
      <c r="M41" s="186"/>
      <c r="N41" s="186"/>
      <c r="O41" s="186"/>
      <c r="P41" s="186"/>
    </row>
    <row r="42" spans="1:18" x14ac:dyDescent="0.25">
      <c r="A42" s="482"/>
      <c r="B42" s="185" t="s">
        <v>714</v>
      </c>
      <c r="C42" s="187"/>
      <c r="D42" s="186"/>
      <c r="E42" s="186"/>
      <c r="F42" s="186"/>
      <c r="G42" s="186"/>
      <c r="H42" s="186"/>
      <c r="I42" s="186"/>
      <c r="J42" s="186"/>
      <c r="K42" s="186"/>
      <c r="L42" s="186"/>
      <c r="M42" s="186"/>
      <c r="N42" s="186"/>
      <c r="O42" s="186"/>
      <c r="P42" s="186"/>
    </row>
    <row r="43" spans="1:18" s="1" customFormat="1" x14ac:dyDescent="0.25">
      <c r="A43" s="482"/>
      <c r="B43" s="188" t="s">
        <v>715</v>
      </c>
      <c r="C43" s="212">
        <v>6505</v>
      </c>
      <c r="D43" s="205"/>
      <c r="E43" s="205"/>
      <c r="F43" s="205"/>
      <c r="G43" s="205"/>
      <c r="H43" s="205"/>
      <c r="I43" s="205"/>
      <c r="J43" s="205"/>
      <c r="K43" s="205"/>
      <c r="L43" s="205"/>
      <c r="M43" s="205"/>
      <c r="N43" s="205"/>
      <c r="O43" s="205">
        <f>SUM(C43:M43)</f>
        <v>6505</v>
      </c>
      <c r="P43" s="205"/>
      <c r="Q43" s="209"/>
      <c r="R43" s="209"/>
    </row>
    <row r="44" spans="1:18" x14ac:dyDescent="0.25">
      <c r="A44" s="482"/>
      <c r="B44" s="185" t="s">
        <v>711</v>
      </c>
      <c r="C44" s="186">
        <v>78</v>
      </c>
      <c r="D44" s="186"/>
      <c r="E44" s="186"/>
      <c r="F44" s="186"/>
      <c r="G44" s="186"/>
      <c r="H44" s="186"/>
      <c r="I44" s="186"/>
      <c r="J44" s="186"/>
      <c r="K44" s="186"/>
      <c r="L44" s="186"/>
      <c r="M44" s="186"/>
      <c r="N44" s="186"/>
      <c r="O44" s="186"/>
      <c r="P44" s="186"/>
    </row>
    <row r="45" spans="1:18" x14ac:dyDescent="0.25">
      <c r="A45" s="482"/>
      <c r="B45" s="185" t="s">
        <v>714</v>
      </c>
      <c r="C45" s="186"/>
      <c r="D45" s="186"/>
      <c r="E45" s="186"/>
      <c r="F45" s="186"/>
      <c r="G45" s="186"/>
      <c r="H45" s="186"/>
      <c r="I45" s="186"/>
      <c r="J45" s="186"/>
      <c r="K45" s="186"/>
      <c r="L45" s="186"/>
      <c r="M45" s="186"/>
      <c r="N45" s="186"/>
      <c r="O45" s="186"/>
      <c r="P45" s="186"/>
    </row>
    <row r="46" spans="1:18" x14ac:dyDescent="0.25">
      <c r="A46" s="482"/>
      <c r="B46" s="188" t="s">
        <v>716</v>
      </c>
      <c r="C46" s="213" t="s">
        <v>546</v>
      </c>
      <c r="D46" s="186"/>
      <c r="E46" s="186"/>
      <c r="F46" s="186"/>
      <c r="G46" s="186"/>
      <c r="H46" s="186"/>
      <c r="I46" s="186"/>
      <c r="J46" s="186"/>
      <c r="K46" s="186"/>
      <c r="L46" s="186"/>
      <c r="M46" s="186"/>
      <c r="N46" s="186"/>
      <c r="O46" s="205"/>
      <c r="P46" s="186">
        <f>SUM(C46:O46)</f>
        <v>0</v>
      </c>
    </row>
    <row r="47" spans="1:18" x14ac:dyDescent="0.25">
      <c r="A47" s="483" t="s">
        <v>723</v>
      </c>
      <c r="B47" s="206" t="s">
        <v>711</v>
      </c>
      <c r="C47" s="186"/>
      <c r="D47" s="186"/>
      <c r="E47" s="186"/>
      <c r="F47" s="186"/>
      <c r="G47" s="186"/>
      <c r="H47" s="186"/>
      <c r="I47" s="186"/>
      <c r="J47" s="186"/>
      <c r="K47" s="186"/>
      <c r="L47" s="186"/>
      <c r="M47" s="186"/>
      <c r="N47" s="186"/>
      <c r="O47" s="186"/>
      <c r="P47" s="186"/>
    </row>
    <row r="48" spans="1:18" x14ac:dyDescent="0.25">
      <c r="A48" s="483"/>
      <c r="B48" s="206" t="s">
        <v>714</v>
      </c>
      <c r="C48" s="186"/>
      <c r="D48" s="186"/>
      <c r="E48" s="186"/>
      <c r="F48" s="186"/>
      <c r="G48" s="186"/>
      <c r="H48" s="186"/>
      <c r="I48" s="186"/>
      <c r="J48" s="186"/>
      <c r="K48" s="186"/>
      <c r="L48" s="186"/>
      <c r="M48" s="186"/>
      <c r="N48" s="186"/>
      <c r="O48" s="186"/>
      <c r="P48" s="186"/>
    </row>
    <row r="49" spans="1:17" x14ac:dyDescent="0.25">
      <c r="A49" s="483"/>
      <c r="B49" s="207" t="s">
        <v>715</v>
      </c>
      <c r="C49" s="186"/>
      <c r="D49" s="186"/>
      <c r="E49" s="186"/>
      <c r="F49" s="186"/>
      <c r="G49" s="186"/>
      <c r="H49" s="186"/>
      <c r="I49" s="186"/>
      <c r="J49" s="186"/>
      <c r="K49" s="186"/>
      <c r="L49" s="186"/>
      <c r="M49" s="186"/>
      <c r="N49" s="186"/>
      <c r="O49" s="186"/>
      <c r="P49" s="186"/>
    </row>
    <row r="50" spans="1:17" x14ac:dyDescent="0.25">
      <c r="A50" s="483"/>
      <c r="B50" s="206" t="s">
        <v>711</v>
      </c>
      <c r="C50" s="186"/>
      <c r="D50" s="186"/>
      <c r="E50" s="186"/>
      <c r="F50" s="186"/>
      <c r="G50" s="186"/>
      <c r="H50" s="186"/>
      <c r="I50" s="186"/>
      <c r="J50" s="186"/>
      <c r="K50" s="186"/>
      <c r="L50" s="186"/>
      <c r="M50" s="186"/>
      <c r="N50" s="186"/>
      <c r="O50" s="186"/>
      <c r="P50" s="186"/>
    </row>
    <row r="51" spans="1:17" x14ac:dyDescent="0.25">
      <c r="A51" s="483"/>
      <c r="B51" s="206" t="s">
        <v>714</v>
      </c>
      <c r="C51" s="186"/>
      <c r="D51" s="186"/>
      <c r="E51" s="186"/>
      <c r="F51" s="186"/>
      <c r="G51" s="186"/>
      <c r="H51" s="186"/>
      <c r="I51" s="186"/>
      <c r="J51" s="186"/>
      <c r="K51" s="186"/>
      <c r="L51" s="186"/>
      <c r="M51" s="186"/>
      <c r="N51" s="186"/>
      <c r="O51" s="186"/>
      <c r="P51" s="186"/>
    </row>
    <row r="52" spans="1:17" x14ac:dyDescent="0.25">
      <c r="A52" s="483"/>
      <c r="B52" s="207" t="s">
        <v>716</v>
      </c>
      <c r="C52" s="186"/>
      <c r="D52" s="186"/>
      <c r="E52" s="186"/>
      <c r="F52" s="186"/>
      <c r="G52" s="186"/>
      <c r="H52" s="186"/>
      <c r="I52" s="186"/>
      <c r="J52" s="186"/>
      <c r="K52" s="186"/>
      <c r="L52" s="186"/>
      <c r="M52" s="186"/>
      <c r="N52" s="186"/>
      <c r="O52" s="186"/>
      <c r="P52" s="186"/>
    </row>
    <row r="53" spans="1:17" x14ac:dyDescent="0.25">
      <c r="A53" s="482" t="s">
        <v>724</v>
      </c>
      <c r="B53" s="185" t="s">
        <v>711</v>
      </c>
      <c r="C53" s="187">
        <v>80</v>
      </c>
      <c r="D53" s="186"/>
      <c r="E53" s="186"/>
      <c r="F53" s="186"/>
      <c r="G53" s="186"/>
      <c r="H53" s="186"/>
      <c r="I53" s="186"/>
      <c r="J53" s="186"/>
      <c r="K53" s="186"/>
      <c r="L53" s="186"/>
      <c r="M53" s="186"/>
      <c r="N53" s="186"/>
      <c r="O53" s="186"/>
      <c r="P53" s="186"/>
    </row>
    <row r="54" spans="1:17" x14ac:dyDescent="0.25">
      <c r="A54" s="482"/>
      <c r="B54" s="185" t="s">
        <v>714</v>
      </c>
      <c r="C54" s="187">
        <f>30*8+5+8+5</f>
        <v>258</v>
      </c>
      <c r="D54" s="186"/>
      <c r="E54" s="186"/>
      <c r="F54" s="186"/>
      <c r="G54" s="186"/>
      <c r="H54" s="186"/>
      <c r="I54" s="186"/>
      <c r="J54" s="186"/>
      <c r="K54" s="186"/>
      <c r="L54" s="186"/>
      <c r="M54" s="186"/>
      <c r="N54" s="186"/>
      <c r="O54" s="186"/>
      <c r="P54" s="186"/>
    </row>
    <row r="55" spans="1:17" x14ac:dyDescent="0.25">
      <c r="A55" s="482"/>
      <c r="B55" s="188" t="s">
        <v>715</v>
      </c>
      <c r="C55" s="205">
        <v>1900</v>
      </c>
      <c r="D55" s="205"/>
      <c r="E55" s="205"/>
      <c r="F55" s="205"/>
      <c r="G55" s="205"/>
      <c r="H55" s="205"/>
      <c r="I55" s="205"/>
      <c r="J55" s="205"/>
      <c r="K55" s="205"/>
      <c r="L55" s="205"/>
      <c r="M55" s="205"/>
      <c r="N55" s="205"/>
      <c r="O55" s="205">
        <f>SUM(C55:M55)</f>
        <v>1900</v>
      </c>
      <c r="P55" s="205"/>
    </row>
    <row r="56" spans="1:17" x14ac:dyDescent="0.25">
      <c r="A56" s="482"/>
      <c r="B56" s="185" t="s">
        <v>711</v>
      </c>
      <c r="C56" s="205">
        <v>58</v>
      </c>
      <c r="D56" s="205"/>
      <c r="E56" s="205"/>
      <c r="F56" s="205"/>
      <c r="G56" s="205"/>
      <c r="H56" s="205"/>
      <c r="I56" s="205"/>
      <c r="J56" s="205"/>
      <c r="K56" s="205"/>
      <c r="L56" s="205"/>
      <c r="M56" s="205"/>
      <c r="N56" s="205"/>
      <c r="O56" s="205"/>
      <c r="P56" s="205"/>
    </row>
    <row r="57" spans="1:17" x14ac:dyDescent="0.25">
      <c r="A57" s="482"/>
      <c r="B57" s="185" t="s">
        <v>714</v>
      </c>
      <c r="C57" s="205"/>
      <c r="D57" s="205"/>
      <c r="E57" s="205"/>
      <c r="F57" s="205"/>
      <c r="G57" s="205"/>
      <c r="H57" s="205"/>
      <c r="I57" s="205"/>
      <c r="J57" s="205"/>
      <c r="K57" s="205"/>
      <c r="L57" s="205"/>
      <c r="M57" s="205"/>
      <c r="N57" s="205"/>
      <c r="O57" s="205"/>
      <c r="P57" s="205"/>
    </row>
    <row r="58" spans="1:17" x14ac:dyDescent="0.25">
      <c r="A58" s="482"/>
      <c r="B58" s="188" t="s">
        <v>716</v>
      </c>
      <c r="C58" s="205">
        <v>1500</v>
      </c>
      <c r="D58" s="205"/>
      <c r="E58" s="205"/>
      <c r="F58" s="205"/>
      <c r="G58" s="205"/>
      <c r="H58" s="205"/>
      <c r="I58" s="205"/>
      <c r="J58" s="205"/>
      <c r="K58" s="205"/>
      <c r="L58" s="205"/>
      <c r="M58" s="205"/>
      <c r="N58" s="205"/>
      <c r="O58" s="205"/>
      <c r="P58" s="205">
        <f>SUM(C58:O58)</f>
        <v>1500</v>
      </c>
    </row>
    <row r="59" spans="1:17" x14ac:dyDescent="0.25">
      <c r="A59" s="482" t="s">
        <v>100</v>
      </c>
      <c r="B59" s="185" t="s">
        <v>711</v>
      </c>
      <c r="C59" s="214">
        <v>80</v>
      </c>
      <c r="D59" s="205"/>
      <c r="E59" s="205"/>
      <c r="F59" s="205"/>
      <c r="G59" s="205"/>
      <c r="H59" s="205"/>
      <c r="I59" s="205"/>
      <c r="J59" s="205"/>
      <c r="K59" s="205"/>
      <c r="L59" s="205"/>
      <c r="M59" s="205"/>
      <c r="N59" s="205"/>
      <c r="O59" s="215"/>
      <c r="P59" s="205"/>
    </row>
    <row r="60" spans="1:17" x14ac:dyDescent="0.25">
      <c r="A60" s="482"/>
      <c r="B60" s="185" t="s">
        <v>714</v>
      </c>
      <c r="C60" s="214">
        <v>307</v>
      </c>
      <c r="D60" s="205"/>
      <c r="E60" s="205"/>
      <c r="F60" s="205"/>
      <c r="G60" s="205"/>
      <c r="H60" s="205"/>
      <c r="I60" s="205"/>
      <c r="J60" s="205"/>
      <c r="K60" s="205"/>
      <c r="L60" s="205"/>
      <c r="M60" s="205"/>
      <c r="N60" s="205"/>
      <c r="O60" s="215"/>
      <c r="P60" s="205"/>
    </row>
    <row r="61" spans="1:17" x14ac:dyDescent="0.25">
      <c r="A61" s="482"/>
      <c r="B61" s="188" t="s">
        <v>715</v>
      </c>
      <c r="C61" s="212">
        <f>13.3*29+12.8*24+2.4*39+4.7*58+1206+693+15*11</f>
        <v>3123.1000000000004</v>
      </c>
      <c r="D61" s="205"/>
      <c r="E61" s="205"/>
      <c r="F61" s="205"/>
      <c r="G61" s="205"/>
      <c r="H61" s="205"/>
      <c r="I61" s="205"/>
      <c r="J61" s="205"/>
      <c r="K61" s="205"/>
      <c r="L61" s="205"/>
      <c r="M61" s="205"/>
      <c r="N61" s="205"/>
      <c r="O61" s="215">
        <f>SUM(C61:M61)</f>
        <v>3123.1000000000004</v>
      </c>
      <c r="P61" s="205"/>
      <c r="Q61" s="172" t="s">
        <v>725</v>
      </c>
    </row>
    <row r="62" spans="1:17" x14ac:dyDescent="0.25">
      <c r="A62" s="482"/>
      <c r="B62" s="185" t="s">
        <v>711</v>
      </c>
      <c r="C62" s="205">
        <v>73</v>
      </c>
      <c r="D62" s="205"/>
      <c r="E62" s="205"/>
      <c r="F62" s="205"/>
      <c r="G62" s="205"/>
      <c r="H62" s="205"/>
      <c r="I62" s="205"/>
      <c r="J62" s="205"/>
      <c r="K62" s="205"/>
      <c r="L62" s="205"/>
      <c r="M62" s="205"/>
      <c r="N62" s="205"/>
      <c r="O62" s="205"/>
      <c r="P62" s="205"/>
    </row>
    <row r="63" spans="1:17" x14ac:dyDescent="0.25">
      <c r="A63" s="482"/>
      <c r="B63" s="185" t="s">
        <v>714</v>
      </c>
      <c r="C63" s="205">
        <v>3</v>
      </c>
      <c r="D63" s="205"/>
      <c r="E63" s="205"/>
      <c r="F63" s="205"/>
      <c r="G63" s="205"/>
      <c r="H63" s="205"/>
      <c r="I63" s="205"/>
      <c r="J63" s="205"/>
      <c r="K63" s="205"/>
      <c r="L63" s="205"/>
      <c r="M63" s="205"/>
      <c r="N63" s="205"/>
      <c r="O63" s="205"/>
      <c r="P63" s="205"/>
    </row>
    <row r="64" spans="1:17" x14ac:dyDescent="0.25">
      <c r="A64" s="482"/>
      <c r="B64" s="188" t="s">
        <v>716</v>
      </c>
      <c r="C64" s="216">
        <v>0.01</v>
      </c>
      <c r="D64" s="205"/>
      <c r="E64" s="205"/>
      <c r="F64" s="205"/>
      <c r="G64" s="205"/>
      <c r="H64" s="205"/>
      <c r="I64" s="205"/>
      <c r="J64" s="205"/>
      <c r="K64" s="205"/>
      <c r="L64" s="205"/>
      <c r="M64" s="205"/>
      <c r="N64" s="205"/>
      <c r="O64" s="205"/>
      <c r="P64" s="205">
        <f>SUM(C64:O64)</f>
        <v>0.01</v>
      </c>
    </row>
    <row r="65" spans="1:17" x14ac:dyDescent="0.25">
      <c r="A65" s="482" t="s">
        <v>101</v>
      </c>
      <c r="B65" s="185" t="s">
        <v>711</v>
      </c>
      <c r="C65" s="214">
        <v>80</v>
      </c>
      <c r="D65" s="205"/>
      <c r="E65" s="205"/>
      <c r="F65" s="205"/>
      <c r="G65" s="205"/>
      <c r="H65" s="205"/>
      <c r="I65" s="205"/>
      <c r="J65" s="205"/>
      <c r="K65" s="205"/>
      <c r="L65" s="205"/>
      <c r="M65" s="205"/>
      <c r="N65" s="205"/>
      <c r="O65" s="205"/>
      <c r="P65" s="205"/>
    </row>
    <row r="66" spans="1:17" x14ac:dyDescent="0.25">
      <c r="A66" s="482"/>
      <c r="B66" s="185" t="s">
        <v>714</v>
      </c>
      <c r="C66" s="214">
        <v>34</v>
      </c>
      <c r="D66" s="205"/>
      <c r="E66" s="205"/>
      <c r="F66" s="205"/>
      <c r="G66" s="205"/>
      <c r="H66" s="205"/>
      <c r="I66" s="205"/>
      <c r="J66" s="205"/>
      <c r="K66" s="205"/>
      <c r="L66" s="205"/>
      <c r="M66" s="205"/>
      <c r="N66" s="205"/>
      <c r="O66" s="205"/>
      <c r="P66" s="205"/>
    </row>
    <row r="67" spans="1:17" x14ac:dyDescent="0.25">
      <c r="A67" s="482"/>
      <c r="B67" s="188" t="s">
        <v>715</v>
      </c>
      <c r="C67" s="212">
        <f>1497*3+2412*1+1614*2+1380*2+1070*3+785*2+487*13+377*3+165*3</f>
        <v>25628</v>
      </c>
      <c r="D67" s="205"/>
      <c r="E67" s="205"/>
      <c r="F67" s="205"/>
      <c r="G67" s="205"/>
      <c r="H67" s="205"/>
      <c r="I67" s="205"/>
      <c r="J67" s="205"/>
      <c r="K67" s="205"/>
      <c r="L67" s="205"/>
      <c r="M67" s="205"/>
      <c r="N67" s="205"/>
      <c r="O67" s="205">
        <f>SUM(C67:M67)</f>
        <v>25628</v>
      </c>
      <c r="P67" s="205"/>
      <c r="Q67" s="172" t="s">
        <v>726</v>
      </c>
    </row>
    <row r="68" spans="1:17" x14ac:dyDescent="0.25">
      <c r="A68" s="482"/>
      <c r="B68" s="185" t="s">
        <v>711</v>
      </c>
      <c r="C68" s="205"/>
      <c r="D68" s="205"/>
      <c r="E68" s="205"/>
      <c r="F68" s="205"/>
      <c r="G68" s="205"/>
      <c r="H68" s="205"/>
      <c r="I68" s="205"/>
      <c r="J68" s="205"/>
      <c r="K68" s="205"/>
      <c r="L68" s="205"/>
      <c r="M68" s="205"/>
      <c r="N68" s="205"/>
      <c r="O68" s="205"/>
      <c r="P68" s="205"/>
    </row>
    <row r="69" spans="1:17" x14ac:dyDescent="0.25">
      <c r="A69" s="482"/>
      <c r="B69" s="185" t="s">
        <v>714</v>
      </c>
      <c r="C69" s="205"/>
      <c r="D69" s="205"/>
      <c r="E69" s="205"/>
      <c r="F69" s="205"/>
      <c r="G69" s="205"/>
      <c r="H69" s="205"/>
      <c r="I69" s="205"/>
      <c r="J69" s="205"/>
      <c r="K69" s="205"/>
      <c r="L69" s="205"/>
      <c r="M69" s="205"/>
      <c r="N69" s="205"/>
      <c r="O69" s="205"/>
      <c r="P69" s="205"/>
    </row>
    <row r="70" spans="1:17" x14ac:dyDescent="0.25">
      <c r="A70" s="482"/>
      <c r="B70" s="188" t="s">
        <v>716</v>
      </c>
      <c r="C70" s="205"/>
      <c r="D70" s="205"/>
      <c r="E70" s="205"/>
      <c r="F70" s="205"/>
      <c r="G70" s="205"/>
      <c r="H70" s="205"/>
      <c r="I70" s="205"/>
      <c r="J70" s="205"/>
      <c r="K70" s="205"/>
      <c r="L70" s="205"/>
      <c r="M70" s="205"/>
      <c r="N70" s="205"/>
      <c r="O70" s="205"/>
      <c r="P70" s="205"/>
    </row>
    <row r="71" spans="1:17" x14ac:dyDescent="0.25">
      <c r="A71" s="482" t="s">
        <v>102</v>
      </c>
      <c r="B71" s="185" t="s">
        <v>711</v>
      </c>
      <c r="C71" s="214">
        <v>81</v>
      </c>
      <c r="D71" s="205"/>
      <c r="E71" s="205"/>
      <c r="F71" s="205"/>
      <c r="G71" s="205"/>
      <c r="H71" s="205"/>
      <c r="I71" s="205"/>
      <c r="J71" s="205"/>
      <c r="K71" s="205"/>
      <c r="L71" s="205"/>
      <c r="M71" s="205"/>
      <c r="N71" s="205"/>
      <c r="O71" s="205"/>
      <c r="P71" s="205"/>
    </row>
    <row r="72" spans="1:17" x14ac:dyDescent="0.25">
      <c r="A72" s="482"/>
      <c r="B72" s="185" t="s">
        <v>714</v>
      </c>
      <c r="C72" s="214">
        <v>2</v>
      </c>
      <c r="D72" s="205"/>
      <c r="E72" s="205"/>
      <c r="F72" s="205"/>
      <c r="G72" s="205"/>
      <c r="H72" s="205"/>
      <c r="I72" s="205"/>
      <c r="J72" s="205"/>
      <c r="K72" s="205"/>
      <c r="L72" s="205"/>
      <c r="M72" s="205"/>
      <c r="N72" s="205"/>
      <c r="O72" s="205"/>
      <c r="P72" s="205"/>
    </row>
    <row r="73" spans="1:17" x14ac:dyDescent="0.25">
      <c r="A73" s="482"/>
      <c r="B73" s="188" t="s">
        <v>715</v>
      </c>
      <c r="C73" s="212">
        <f>2*1440+1400</f>
        <v>4280</v>
      </c>
      <c r="D73" s="205"/>
      <c r="E73" s="205"/>
      <c r="F73" s="205"/>
      <c r="G73" s="205"/>
      <c r="H73" s="205"/>
      <c r="I73" s="205"/>
      <c r="J73" s="205"/>
      <c r="K73" s="205"/>
      <c r="L73" s="205"/>
      <c r="M73" s="205"/>
      <c r="N73" s="205"/>
      <c r="O73" s="205">
        <f>SUM(C73:M73)</f>
        <v>4280</v>
      </c>
      <c r="P73" s="205"/>
      <c r="Q73" s="172" t="s">
        <v>727</v>
      </c>
    </row>
    <row r="74" spans="1:17" x14ac:dyDescent="0.25">
      <c r="A74" s="482"/>
      <c r="B74" s="185" t="s">
        <v>711</v>
      </c>
      <c r="C74" s="186"/>
      <c r="D74" s="186"/>
      <c r="E74" s="186"/>
      <c r="F74" s="186"/>
      <c r="G74" s="186"/>
      <c r="H74" s="186"/>
      <c r="I74" s="186"/>
      <c r="J74" s="186"/>
      <c r="K74" s="186"/>
      <c r="L74" s="186"/>
      <c r="M74" s="186"/>
      <c r="N74" s="186"/>
      <c r="O74" s="186"/>
      <c r="P74" s="186"/>
    </row>
    <row r="75" spans="1:17" x14ac:dyDescent="0.25">
      <c r="A75" s="482"/>
      <c r="B75" s="185" t="s">
        <v>714</v>
      </c>
      <c r="C75" s="186"/>
      <c r="D75" s="186"/>
      <c r="E75" s="186"/>
      <c r="F75" s="186"/>
      <c r="G75" s="186"/>
      <c r="H75" s="186"/>
      <c r="I75" s="186"/>
      <c r="J75" s="186"/>
      <c r="K75" s="186"/>
      <c r="L75" s="186"/>
      <c r="M75" s="186"/>
      <c r="N75" s="186"/>
      <c r="O75" s="186"/>
      <c r="P75" s="186"/>
    </row>
    <row r="76" spans="1:17" x14ac:dyDescent="0.25">
      <c r="A76" s="482"/>
      <c r="B76" s="188" t="s">
        <v>716</v>
      </c>
      <c r="C76" s="186"/>
      <c r="D76" s="186"/>
      <c r="E76" s="186"/>
      <c r="F76" s="186"/>
      <c r="G76" s="186"/>
      <c r="H76" s="186"/>
      <c r="I76" s="186"/>
      <c r="J76" s="186"/>
      <c r="K76" s="186"/>
      <c r="L76" s="186"/>
      <c r="M76" s="186"/>
      <c r="N76" s="186"/>
      <c r="O76" s="186"/>
      <c r="P76" s="186"/>
    </row>
    <row r="77" spans="1:17" x14ac:dyDescent="0.25">
      <c r="A77" s="483" t="s">
        <v>103</v>
      </c>
      <c r="B77" s="206" t="s">
        <v>711</v>
      </c>
      <c r="C77" s="186"/>
      <c r="D77" s="186"/>
      <c r="E77" s="186"/>
      <c r="F77" s="186"/>
      <c r="G77" s="186"/>
      <c r="H77" s="186"/>
      <c r="I77" s="186"/>
      <c r="J77" s="186"/>
      <c r="K77" s="186"/>
      <c r="L77" s="186"/>
      <c r="M77" s="186"/>
      <c r="N77" s="186"/>
      <c r="O77" s="186"/>
      <c r="P77" s="186"/>
    </row>
    <row r="78" spans="1:17" x14ac:dyDescent="0.25">
      <c r="A78" s="483"/>
      <c r="B78" s="206" t="s">
        <v>714</v>
      </c>
      <c r="C78" s="186"/>
      <c r="D78" s="186"/>
      <c r="E78" s="186"/>
      <c r="F78" s="186"/>
      <c r="G78" s="186"/>
      <c r="H78" s="186"/>
      <c r="I78" s="186"/>
      <c r="J78" s="186"/>
      <c r="K78" s="186"/>
      <c r="L78" s="186"/>
      <c r="M78" s="186"/>
      <c r="N78" s="186"/>
      <c r="O78" s="186"/>
      <c r="P78" s="186"/>
    </row>
    <row r="79" spans="1:17" x14ac:dyDescent="0.25">
      <c r="A79" s="483"/>
      <c r="B79" s="207" t="s">
        <v>715</v>
      </c>
      <c r="C79" s="186"/>
      <c r="D79" s="186"/>
      <c r="E79" s="186"/>
      <c r="F79" s="186"/>
      <c r="G79" s="186"/>
      <c r="H79" s="186"/>
      <c r="I79" s="186"/>
      <c r="J79" s="186"/>
      <c r="K79" s="186"/>
      <c r="L79" s="186"/>
      <c r="M79" s="186"/>
      <c r="N79" s="186"/>
      <c r="O79" s="186"/>
      <c r="P79" s="186"/>
    </row>
    <row r="80" spans="1:17" x14ac:dyDescent="0.25">
      <c r="A80" s="483"/>
      <c r="B80" s="206" t="s">
        <v>711</v>
      </c>
      <c r="C80" s="186"/>
      <c r="D80" s="186"/>
      <c r="E80" s="186"/>
      <c r="F80" s="186"/>
      <c r="G80" s="186"/>
      <c r="H80" s="186"/>
      <c r="I80" s="186"/>
      <c r="J80" s="186"/>
      <c r="K80" s="186"/>
      <c r="L80" s="186"/>
      <c r="M80" s="186"/>
      <c r="N80" s="186"/>
      <c r="O80" s="186"/>
      <c r="P80" s="186"/>
    </row>
    <row r="81" spans="1:17" x14ac:dyDescent="0.25">
      <c r="A81" s="483"/>
      <c r="B81" s="206" t="s">
        <v>714</v>
      </c>
      <c r="C81" s="186"/>
      <c r="D81" s="186"/>
      <c r="E81" s="186"/>
      <c r="F81" s="186"/>
      <c r="G81" s="186"/>
      <c r="H81" s="186"/>
      <c r="I81" s="186"/>
      <c r="J81" s="186"/>
      <c r="K81" s="186"/>
      <c r="L81" s="186"/>
      <c r="M81" s="186"/>
      <c r="N81" s="186"/>
      <c r="O81" s="186"/>
      <c r="P81" s="186"/>
    </row>
    <row r="82" spans="1:17" x14ac:dyDescent="0.25">
      <c r="A82" s="483"/>
      <c r="B82" s="207" t="s">
        <v>716</v>
      </c>
      <c r="C82" s="186"/>
      <c r="D82" s="186"/>
      <c r="E82" s="186"/>
      <c r="F82" s="186"/>
      <c r="G82" s="186"/>
      <c r="H82" s="186"/>
      <c r="I82" s="186"/>
      <c r="J82" s="186"/>
      <c r="K82" s="186"/>
      <c r="L82" s="186"/>
      <c r="M82" s="186"/>
      <c r="N82" s="186"/>
      <c r="O82" s="186"/>
      <c r="P82" s="186"/>
    </row>
    <row r="83" spans="1:17" x14ac:dyDescent="0.25">
      <c r="A83" s="483" t="s">
        <v>104</v>
      </c>
      <c r="B83" s="206" t="s">
        <v>711</v>
      </c>
      <c r="C83" s="186"/>
      <c r="D83" s="186"/>
      <c r="E83" s="186"/>
      <c r="F83" s="186"/>
      <c r="G83" s="186"/>
      <c r="H83" s="186"/>
      <c r="I83" s="186"/>
      <c r="J83" s="186"/>
      <c r="K83" s="186"/>
      <c r="L83" s="186"/>
      <c r="M83" s="186"/>
      <c r="N83" s="186"/>
      <c r="O83" s="186"/>
      <c r="P83" s="186"/>
    </row>
    <row r="84" spans="1:17" x14ac:dyDescent="0.25">
      <c r="A84" s="483"/>
      <c r="B84" s="206" t="s">
        <v>714</v>
      </c>
      <c r="C84" s="186"/>
      <c r="D84" s="186"/>
      <c r="E84" s="186"/>
      <c r="F84" s="186"/>
      <c r="G84" s="186"/>
      <c r="H84" s="186"/>
      <c r="I84" s="186"/>
      <c r="J84" s="186"/>
      <c r="K84" s="186"/>
      <c r="L84" s="186"/>
      <c r="M84" s="186"/>
      <c r="N84" s="186"/>
      <c r="O84" s="186"/>
      <c r="P84" s="186"/>
    </row>
    <row r="85" spans="1:17" x14ac:dyDescent="0.25">
      <c r="A85" s="483"/>
      <c r="B85" s="207" t="s">
        <v>715</v>
      </c>
      <c r="C85" s="186"/>
      <c r="D85" s="186"/>
      <c r="E85" s="186"/>
      <c r="F85" s="186"/>
      <c r="G85" s="186"/>
      <c r="H85" s="186"/>
      <c r="I85" s="186"/>
      <c r="J85" s="186"/>
      <c r="K85" s="186"/>
      <c r="L85" s="186"/>
      <c r="M85" s="186"/>
      <c r="N85" s="186"/>
      <c r="O85" s="186"/>
      <c r="P85" s="186"/>
    </row>
    <row r="86" spans="1:17" x14ac:dyDescent="0.25">
      <c r="A86" s="483"/>
      <c r="B86" s="206" t="s">
        <v>711</v>
      </c>
      <c r="C86" s="186"/>
      <c r="D86" s="186"/>
      <c r="E86" s="186"/>
      <c r="F86" s="186"/>
      <c r="G86" s="186"/>
      <c r="H86" s="186"/>
      <c r="I86" s="186"/>
      <c r="J86" s="186"/>
      <c r="K86" s="186"/>
      <c r="L86" s="186"/>
      <c r="M86" s="186"/>
      <c r="N86" s="186"/>
      <c r="O86" s="186"/>
      <c r="P86" s="186"/>
    </row>
    <row r="87" spans="1:17" x14ac:dyDescent="0.25">
      <c r="A87" s="483"/>
      <c r="B87" s="206" t="s">
        <v>714</v>
      </c>
      <c r="C87" s="186"/>
      <c r="D87" s="186"/>
      <c r="E87" s="186"/>
      <c r="F87" s="186"/>
      <c r="G87" s="186"/>
      <c r="H87" s="186"/>
      <c r="I87" s="186"/>
      <c r="J87" s="186"/>
      <c r="K87" s="186"/>
      <c r="L87" s="186"/>
      <c r="M87" s="186"/>
      <c r="N87" s="186"/>
      <c r="O87" s="186"/>
      <c r="P87" s="186"/>
    </row>
    <row r="88" spans="1:17" x14ac:dyDescent="0.25">
      <c r="A88" s="483"/>
      <c r="B88" s="207" t="s">
        <v>716</v>
      </c>
      <c r="C88" s="186"/>
      <c r="D88" s="186"/>
      <c r="E88" s="186"/>
      <c r="F88" s="186"/>
      <c r="G88" s="186"/>
      <c r="H88" s="186"/>
      <c r="I88" s="186"/>
      <c r="J88" s="186"/>
      <c r="K88" s="186"/>
      <c r="L88" s="186"/>
      <c r="M88" s="186"/>
      <c r="N88" s="186"/>
      <c r="O88" s="186"/>
      <c r="P88" s="186"/>
    </row>
    <row r="89" spans="1:17" x14ac:dyDescent="0.25">
      <c r="A89" s="482" t="s">
        <v>105</v>
      </c>
      <c r="B89" s="185" t="s">
        <v>711</v>
      </c>
      <c r="C89" s="187">
        <v>81</v>
      </c>
      <c r="D89" s="186"/>
      <c r="E89" s="186"/>
      <c r="F89" s="186"/>
      <c r="G89" s="186"/>
      <c r="H89" s="186"/>
      <c r="I89" s="186"/>
      <c r="J89" s="186"/>
      <c r="K89" s="186"/>
      <c r="L89" s="186"/>
      <c r="M89" s="186"/>
      <c r="N89" s="186"/>
      <c r="O89" s="186"/>
      <c r="P89" s="186"/>
    </row>
    <row r="90" spans="1:17" x14ac:dyDescent="0.25">
      <c r="A90" s="482"/>
      <c r="B90" s="185" t="s">
        <v>714</v>
      </c>
      <c r="C90" s="187"/>
      <c r="D90" s="186"/>
      <c r="E90" s="186"/>
      <c r="F90" s="186"/>
      <c r="G90" s="186"/>
      <c r="H90" s="186"/>
      <c r="I90" s="186"/>
      <c r="J90" s="186"/>
      <c r="K90" s="186"/>
      <c r="L90" s="186"/>
      <c r="M90" s="186"/>
      <c r="N90" s="186"/>
      <c r="O90" s="186"/>
      <c r="P90" s="186"/>
    </row>
    <row r="91" spans="1:17" x14ac:dyDescent="0.25">
      <c r="A91" s="482"/>
      <c r="B91" s="188" t="s">
        <v>715</v>
      </c>
      <c r="C91" s="213" t="s">
        <v>546</v>
      </c>
      <c r="D91" s="186"/>
      <c r="E91" s="186"/>
      <c r="F91" s="186"/>
      <c r="G91" s="186"/>
      <c r="H91" s="186"/>
      <c r="I91" s="186"/>
      <c r="J91" s="186"/>
      <c r="K91" s="186"/>
      <c r="L91" s="186"/>
      <c r="M91" s="186"/>
      <c r="N91" s="186"/>
      <c r="O91" s="186">
        <f>SUM(C91:N91)</f>
        <v>0</v>
      </c>
      <c r="P91" s="186"/>
    </row>
    <row r="92" spans="1:17" x14ac:dyDescent="0.25">
      <c r="A92" s="482"/>
      <c r="B92" s="185" t="s">
        <v>711</v>
      </c>
      <c r="C92" s="186"/>
      <c r="D92" s="186"/>
      <c r="E92" s="186"/>
      <c r="F92" s="186"/>
      <c r="G92" s="186"/>
      <c r="H92" s="186"/>
      <c r="I92" s="186"/>
      <c r="J92" s="186"/>
      <c r="K92" s="186"/>
      <c r="L92" s="186"/>
      <c r="M92" s="186"/>
      <c r="N92" s="186"/>
      <c r="O92" s="186"/>
      <c r="P92" s="186"/>
    </row>
    <row r="93" spans="1:17" x14ac:dyDescent="0.25">
      <c r="A93" s="482"/>
      <c r="B93" s="185" t="s">
        <v>714</v>
      </c>
      <c r="C93" s="186"/>
      <c r="D93" s="186"/>
      <c r="E93" s="186"/>
      <c r="F93" s="186"/>
      <c r="G93" s="186"/>
      <c r="H93" s="186"/>
      <c r="I93" s="186"/>
      <c r="J93" s="186"/>
      <c r="K93" s="186"/>
      <c r="L93" s="186"/>
      <c r="M93" s="186"/>
      <c r="N93" s="186"/>
      <c r="O93" s="186"/>
      <c r="P93" s="186"/>
    </row>
    <row r="94" spans="1:17" x14ac:dyDescent="0.25">
      <c r="A94" s="482"/>
      <c r="B94" s="188" t="s">
        <v>716</v>
      </c>
      <c r="C94" s="186"/>
      <c r="D94" s="186"/>
      <c r="E94" s="186"/>
      <c r="F94" s="186"/>
      <c r="G94" s="186"/>
      <c r="H94" s="186"/>
      <c r="I94" s="186"/>
      <c r="J94" s="186"/>
      <c r="K94" s="186"/>
      <c r="L94" s="186"/>
      <c r="M94" s="186"/>
      <c r="N94" s="186"/>
      <c r="O94" s="186"/>
      <c r="P94" s="186"/>
    </row>
    <row r="95" spans="1:17" x14ac:dyDescent="0.25">
      <c r="A95" s="482" t="s">
        <v>106</v>
      </c>
      <c r="B95" s="185" t="s">
        <v>711</v>
      </c>
      <c r="C95" s="186">
        <v>48</v>
      </c>
      <c r="D95" s="217">
        <v>98</v>
      </c>
      <c r="E95" s="186"/>
      <c r="F95" s="186"/>
      <c r="G95" s="186"/>
      <c r="H95" s="186"/>
      <c r="I95" s="186"/>
      <c r="J95" s="186"/>
      <c r="K95" s="186"/>
      <c r="L95" s="186"/>
      <c r="M95" s="186"/>
      <c r="N95" s="186"/>
      <c r="O95" s="186"/>
      <c r="P95" s="186"/>
      <c r="Q95" s="218" t="s">
        <v>728</v>
      </c>
    </row>
    <row r="96" spans="1:17" x14ac:dyDescent="0.25">
      <c r="A96" s="482"/>
      <c r="B96" s="185" t="s">
        <v>714</v>
      </c>
      <c r="C96" s="186"/>
      <c r="D96" s="217">
        <v>31</v>
      </c>
      <c r="E96" s="186"/>
      <c r="F96" s="186"/>
      <c r="G96" s="186"/>
      <c r="H96" s="186"/>
      <c r="I96" s="186"/>
      <c r="J96" s="186"/>
      <c r="K96" s="186"/>
      <c r="L96" s="186"/>
      <c r="M96" s="186"/>
      <c r="N96" s="186"/>
      <c r="O96" s="186"/>
      <c r="P96" s="186"/>
      <c r="Q96" s="172" t="s">
        <v>729</v>
      </c>
    </row>
    <row r="97" spans="1:17" x14ac:dyDescent="0.25">
      <c r="A97" s="482"/>
      <c r="B97" s="188" t="s">
        <v>715</v>
      </c>
      <c r="C97" s="201" t="s">
        <v>546</v>
      </c>
      <c r="D97" s="217">
        <v>1469</v>
      </c>
      <c r="E97" s="186"/>
      <c r="F97" s="186"/>
      <c r="G97" s="186"/>
      <c r="H97" s="186"/>
      <c r="I97" s="186"/>
      <c r="J97" s="186"/>
      <c r="K97" s="186"/>
      <c r="L97" s="186"/>
      <c r="M97" s="186"/>
      <c r="N97" s="186"/>
      <c r="O97" s="186">
        <v>0</v>
      </c>
      <c r="P97" s="186"/>
      <c r="Q97" s="172" t="s">
        <v>730</v>
      </c>
    </row>
    <row r="98" spans="1:17" x14ac:dyDescent="0.25">
      <c r="A98" s="482"/>
      <c r="B98" s="185" t="s">
        <v>711</v>
      </c>
      <c r="C98" s="187">
        <v>49</v>
      </c>
      <c r="D98" s="187">
        <v>49</v>
      </c>
      <c r="E98" s="186">
        <v>73</v>
      </c>
      <c r="F98" s="187">
        <v>81</v>
      </c>
      <c r="G98" s="186"/>
      <c r="H98" s="186"/>
      <c r="I98" s="186"/>
      <c r="J98" s="186"/>
      <c r="K98" s="186"/>
      <c r="L98" s="186"/>
      <c r="M98" s="186"/>
      <c r="N98" s="186"/>
      <c r="O98" s="186"/>
      <c r="P98" s="186"/>
    </row>
    <row r="99" spans="1:17" x14ac:dyDescent="0.25">
      <c r="A99" s="482"/>
      <c r="B99" s="185" t="s">
        <v>714</v>
      </c>
      <c r="C99" s="187">
        <v>11</v>
      </c>
      <c r="D99" s="187">
        <v>4</v>
      </c>
      <c r="E99" s="186"/>
      <c r="F99" s="187"/>
      <c r="G99" s="186"/>
      <c r="H99" s="186"/>
      <c r="I99" s="186"/>
      <c r="J99" s="186"/>
      <c r="K99" s="186"/>
      <c r="L99" s="186"/>
      <c r="M99" s="186"/>
      <c r="N99" s="186"/>
      <c r="O99" s="186"/>
      <c r="P99" s="186"/>
    </row>
    <row r="100" spans="1:17" x14ac:dyDescent="0.25">
      <c r="A100" s="482"/>
      <c r="B100" s="188" t="s">
        <v>716</v>
      </c>
      <c r="C100" s="204">
        <v>11009</v>
      </c>
      <c r="D100" s="204">
        <v>17737</v>
      </c>
      <c r="E100" s="211">
        <v>0.01</v>
      </c>
      <c r="F100" s="213" t="s">
        <v>546</v>
      </c>
      <c r="G100" s="186"/>
      <c r="H100" s="186"/>
      <c r="I100" s="186"/>
      <c r="J100" s="186"/>
      <c r="K100" s="186"/>
      <c r="L100" s="186"/>
      <c r="M100" s="186"/>
      <c r="N100" s="186"/>
      <c r="O100" s="186"/>
      <c r="P100" s="205">
        <f>SUM(C100:O100)</f>
        <v>28746.01</v>
      </c>
    </row>
    <row r="101" spans="1:17" ht="15" customHeight="1" x14ac:dyDescent="0.25">
      <c r="A101" s="482" t="s">
        <v>107</v>
      </c>
      <c r="B101" s="185" t="s">
        <v>711</v>
      </c>
      <c r="C101" s="187">
        <v>49</v>
      </c>
      <c r="D101" s="186"/>
      <c r="E101" s="186"/>
      <c r="F101" s="186"/>
      <c r="G101" s="186"/>
      <c r="H101" s="186"/>
      <c r="I101" s="186"/>
      <c r="J101" s="186"/>
      <c r="K101" s="186"/>
      <c r="L101" s="186"/>
      <c r="M101" s="186"/>
      <c r="N101" s="186"/>
      <c r="O101" s="186"/>
      <c r="P101" s="186"/>
    </row>
    <row r="102" spans="1:17" x14ac:dyDescent="0.25">
      <c r="A102" s="482"/>
      <c r="B102" s="185" t="s">
        <v>714</v>
      </c>
      <c r="C102" s="187">
        <v>71</v>
      </c>
      <c r="D102" s="186"/>
      <c r="E102" s="186"/>
      <c r="F102" s="186"/>
      <c r="G102" s="186"/>
      <c r="H102" s="186"/>
      <c r="I102" s="186"/>
      <c r="J102" s="186"/>
      <c r="K102" s="186"/>
      <c r="L102" s="186"/>
      <c r="M102" s="186"/>
      <c r="N102" s="186"/>
      <c r="O102" s="186"/>
      <c r="P102" s="186"/>
    </row>
    <row r="103" spans="1:17" x14ac:dyDescent="0.25">
      <c r="A103" s="482"/>
      <c r="B103" s="188" t="s">
        <v>715</v>
      </c>
      <c r="C103" s="204">
        <v>1420</v>
      </c>
      <c r="D103" s="186"/>
      <c r="E103" s="186"/>
      <c r="F103" s="186"/>
      <c r="G103" s="186"/>
      <c r="H103" s="186"/>
      <c r="I103" s="186"/>
      <c r="J103" s="186"/>
      <c r="K103" s="186"/>
      <c r="L103" s="186"/>
      <c r="M103" s="186"/>
      <c r="N103" s="186"/>
      <c r="O103" s="205">
        <f>SUM(C103:N103)</f>
        <v>1420</v>
      </c>
      <c r="P103" s="186"/>
    </row>
    <row r="104" spans="1:17" x14ac:dyDescent="0.25">
      <c r="A104" s="482"/>
      <c r="B104" s="185" t="s">
        <v>711</v>
      </c>
      <c r="C104" s="186">
        <v>69</v>
      </c>
      <c r="D104" s="186">
        <v>75</v>
      </c>
      <c r="E104" s="186"/>
      <c r="F104" s="186"/>
      <c r="G104" s="186"/>
      <c r="H104" s="186"/>
      <c r="I104" s="186"/>
      <c r="J104" s="186"/>
      <c r="K104" s="186"/>
      <c r="L104" s="186"/>
      <c r="M104" s="186"/>
      <c r="N104" s="186"/>
      <c r="O104" s="186"/>
      <c r="P104" s="186"/>
    </row>
    <row r="105" spans="1:17" x14ac:dyDescent="0.25">
      <c r="A105" s="482"/>
      <c r="B105" s="185" t="s">
        <v>714</v>
      </c>
      <c r="C105" s="194">
        <f>1.5/60/24</f>
        <v>1.0416666666666667E-3</v>
      </c>
      <c r="D105" s="186"/>
      <c r="E105" s="186"/>
      <c r="F105" s="186"/>
      <c r="G105" s="186"/>
      <c r="H105" s="186"/>
      <c r="I105" s="186"/>
      <c r="J105" s="186"/>
      <c r="K105" s="186"/>
      <c r="L105" s="186"/>
      <c r="M105" s="186"/>
      <c r="N105" s="186"/>
      <c r="O105" s="186"/>
      <c r="P105" s="186"/>
    </row>
    <row r="106" spans="1:17" x14ac:dyDescent="0.25">
      <c r="A106" s="482"/>
      <c r="B106" s="188" t="s">
        <v>716</v>
      </c>
      <c r="C106" s="210">
        <v>1</v>
      </c>
      <c r="D106" s="219" t="s">
        <v>546</v>
      </c>
      <c r="E106" s="186"/>
      <c r="F106" s="186"/>
      <c r="G106" s="186"/>
      <c r="H106" s="186"/>
      <c r="I106" s="186"/>
      <c r="J106" s="186"/>
      <c r="K106" s="186"/>
      <c r="L106" s="186"/>
      <c r="M106" s="186"/>
      <c r="N106" s="186"/>
      <c r="O106" s="186"/>
      <c r="P106" s="186">
        <f>SUM(C106:O106)</f>
        <v>1</v>
      </c>
    </row>
    <row r="107" spans="1:17" x14ac:dyDescent="0.25">
      <c r="A107" s="483" t="s">
        <v>108</v>
      </c>
      <c r="B107" s="206" t="s">
        <v>711</v>
      </c>
      <c r="C107" s="186"/>
      <c r="D107" s="186"/>
      <c r="E107" s="186"/>
      <c r="F107" s="186"/>
      <c r="G107" s="186"/>
      <c r="H107" s="186"/>
      <c r="I107" s="186"/>
      <c r="J107" s="186"/>
      <c r="K107" s="186"/>
      <c r="L107" s="186"/>
      <c r="M107" s="186"/>
      <c r="N107" s="186"/>
      <c r="O107" s="186"/>
      <c r="P107" s="186"/>
    </row>
    <row r="108" spans="1:17" x14ac:dyDescent="0.25">
      <c r="A108" s="483"/>
      <c r="B108" s="206" t="s">
        <v>714</v>
      </c>
      <c r="C108" s="186"/>
      <c r="D108" s="186"/>
      <c r="E108" s="186"/>
      <c r="F108" s="186"/>
      <c r="G108" s="186"/>
      <c r="H108" s="186"/>
      <c r="I108" s="186"/>
      <c r="J108" s="186"/>
      <c r="K108" s="186"/>
      <c r="L108" s="186"/>
      <c r="M108" s="186"/>
      <c r="N108" s="186"/>
      <c r="O108" s="186"/>
      <c r="P108" s="186"/>
    </row>
    <row r="109" spans="1:17" x14ac:dyDescent="0.25">
      <c r="A109" s="483"/>
      <c r="B109" s="207" t="s">
        <v>715</v>
      </c>
      <c r="C109" s="186"/>
      <c r="D109" s="186"/>
      <c r="E109" s="186"/>
      <c r="F109" s="186"/>
      <c r="G109" s="186"/>
      <c r="H109" s="186"/>
      <c r="I109" s="186"/>
      <c r="J109" s="186"/>
      <c r="K109" s="186"/>
      <c r="L109" s="186"/>
      <c r="M109" s="186"/>
      <c r="N109" s="186"/>
      <c r="O109" s="186"/>
      <c r="P109" s="186"/>
    </row>
    <row r="110" spans="1:17" x14ac:dyDescent="0.25">
      <c r="A110" s="483"/>
      <c r="B110" s="206" t="s">
        <v>711</v>
      </c>
      <c r="C110" s="186"/>
      <c r="D110" s="186"/>
      <c r="E110" s="186"/>
      <c r="F110" s="186"/>
      <c r="G110" s="186"/>
      <c r="H110" s="186"/>
      <c r="I110" s="186"/>
      <c r="J110" s="186"/>
      <c r="K110" s="186"/>
      <c r="L110" s="186"/>
      <c r="M110" s="186"/>
      <c r="N110" s="186"/>
      <c r="O110" s="186"/>
      <c r="P110" s="186"/>
    </row>
    <row r="111" spans="1:17" x14ac:dyDescent="0.25">
      <c r="A111" s="483"/>
      <c r="B111" s="206" t="s">
        <v>714</v>
      </c>
      <c r="C111" s="186"/>
      <c r="D111" s="186"/>
      <c r="E111" s="186"/>
      <c r="F111" s="186"/>
      <c r="G111" s="186"/>
      <c r="H111" s="186"/>
      <c r="I111" s="186"/>
      <c r="J111" s="186"/>
      <c r="K111" s="186"/>
      <c r="L111" s="186"/>
      <c r="M111" s="186"/>
      <c r="N111" s="186"/>
      <c r="O111" s="186"/>
      <c r="P111" s="186"/>
    </row>
    <row r="112" spans="1:17" x14ac:dyDescent="0.25">
      <c r="A112" s="483"/>
      <c r="B112" s="207" t="s">
        <v>716</v>
      </c>
      <c r="C112" s="186"/>
      <c r="D112" s="186"/>
      <c r="E112" s="186"/>
      <c r="F112" s="186"/>
      <c r="G112" s="186"/>
      <c r="H112" s="186"/>
      <c r="I112" s="186"/>
      <c r="J112" s="186"/>
      <c r="K112" s="186"/>
      <c r="L112" s="186"/>
      <c r="M112" s="186"/>
      <c r="N112" s="186"/>
      <c r="O112" s="186"/>
      <c r="P112" s="186"/>
    </row>
    <row r="113" spans="1:16" x14ac:dyDescent="0.25">
      <c r="A113" s="482" t="s">
        <v>109</v>
      </c>
      <c r="B113" s="185" t="s">
        <v>711</v>
      </c>
      <c r="C113" s="186"/>
      <c r="D113" s="186"/>
      <c r="E113" s="186"/>
      <c r="F113" s="186"/>
      <c r="G113" s="186"/>
      <c r="H113" s="186"/>
      <c r="I113" s="186"/>
      <c r="J113" s="186"/>
      <c r="K113" s="186"/>
      <c r="L113" s="186"/>
      <c r="M113" s="186"/>
      <c r="N113" s="186"/>
      <c r="O113" s="186"/>
      <c r="P113" s="186"/>
    </row>
    <row r="114" spans="1:16" x14ac:dyDescent="0.25">
      <c r="A114" s="482"/>
      <c r="B114" s="185" t="s">
        <v>714</v>
      </c>
      <c r="C114" s="186"/>
      <c r="D114" s="186"/>
      <c r="E114" s="186"/>
      <c r="F114" s="186"/>
      <c r="G114" s="186"/>
      <c r="H114" s="186"/>
      <c r="I114" s="186"/>
      <c r="J114" s="186"/>
      <c r="K114" s="186"/>
      <c r="L114" s="186"/>
      <c r="M114" s="186"/>
      <c r="N114" s="186"/>
      <c r="O114" s="186"/>
      <c r="P114" s="186"/>
    </row>
    <row r="115" spans="1:16" x14ac:dyDescent="0.25">
      <c r="A115" s="482"/>
      <c r="B115" s="188" t="s">
        <v>715</v>
      </c>
      <c r="C115" s="220"/>
      <c r="D115" s="186"/>
      <c r="E115" s="186"/>
      <c r="F115" s="186"/>
      <c r="G115" s="186"/>
      <c r="H115" s="186"/>
      <c r="I115" s="186"/>
      <c r="J115" s="186"/>
      <c r="K115" s="186"/>
      <c r="L115" s="186"/>
      <c r="M115" s="186"/>
      <c r="N115" s="186"/>
      <c r="O115" s="186"/>
      <c r="P115" s="186"/>
    </row>
    <row r="116" spans="1:16" x14ac:dyDescent="0.25">
      <c r="A116" s="482"/>
      <c r="B116" s="185" t="s">
        <v>711</v>
      </c>
      <c r="C116" s="186">
        <v>64</v>
      </c>
      <c r="D116" s="186"/>
      <c r="E116" s="186"/>
      <c r="F116" s="186"/>
      <c r="G116" s="186"/>
      <c r="H116" s="186"/>
      <c r="I116" s="186"/>
      <c r="J116" s="186"/>
      <c r="K116" s="186"/>
      <c r="L116" s="186"/>
      <c r="M116" s="186"/>
      <c r="N116" s="186"/>
      <c r="O116" s="186"/>
      <c r="P116" s="186"/>
    </row>
    <row r="117" spans="1:16" x14ac:dyDescent="0.25">
      <c r="A117" s="482"/>
      <c r="B117" s="185" t="s">
        <v>714</v>
      </c>
      <c r="C117" s="186">
        <f>19+6+15</f>
        <v>40</v>
      </c>
      <c r="D117" s="186"/>
      <c r="E117" s="186"/>
      <c r="F117" s="186"/>
      <c r="G117" s="186"/>
      <c r="H117" s="186"/>
      <c r="I117" s="186"/>
      <c r="J117" s="186"/>
      <c r="K117" s="186"/>
      <c r="L117" s="186"/>
      <c r="M117" s="186"/>
      <c r="N117" s="186"/>
      <c r="O117" s="186"/>
      <c r="P117" s="186"/>
    </row>
    <row r="118" spans="1:16" x14ac:dyDescent="0.25">
      <c r="A118" s="482"/>
      <c r="B118" s="188" t="s">
        <v>716</v>
      </c>
      <c r="C118" s="210">
        <v>0.66</v>
      </c>
      <c r="D118" s="186"/>
      <c r="E118" s="186"/>
      <c r="F118" s="186"/>
      <c r="G118" s="186"/>
      <c r="H118" s="186"/>
      <c r="I118" s="186"/>
      <c r="J118" s="186"/>
      <c r="K118" s="186"/>
      <c r="L118" s="186"/>
      <c r="M118" s="186"/>
      <c r="N118" s="186"/>
      <c r="O118" s="186"/>
      <c r="P118" s="186"/>
    </row>
    <row r="119" spans="1:16" x14ac:dyDescent="0.25">
      <c r="A119" s="483" t="s">
        <v>110</v>
      </c>
      <c r="B119" s="206" t="s">
        <v>711</v>
      </c>
      <c r="C119" s="186"/>
      <c r="D119" s="186"/>
      <c r="E119" s="186"/>
      <c r="F119" s="186"/>
      <c r="G119" s="186"/>
      <c r="H119" s="186"/>
      <c r="I119" s="186"/>
      <c r="J119" s="186"/>
      <c r="K119" s="186"/>
      <c r="L119" s="186"/>
      <c r="M119" s="186"/>
      <c r="N119" s="186"/>
      <c r="O119" s="186"/>
      <c r="P119" s="186"/>
    </row>
    <row r="120" spans="1:16" x14ac:dyDescent="0.25">
      <c r="A120" s="483"/>
      <c r="B120" s="206" t="s">
        <v>714</v>
      </c>
      <c r="C120" s="186"/>
      <c r="D120" s="186"/>
      <c r="E120" s="186"/>
      <c r="F120" s="186"/>
      <c r="G120" s="186"/>
      <c r="H120" s="186"/>
      <c r="I120" s="186"/>
      <c r="J120" s="186"/>
      <c r="K120" s="186"/>
      <c r="L120" s="186"/>
      <c r="M120" s="186"/>
      <c r="N120" s="186"/>
      <c r="O120" s="186"/>
      <c r="P120" s="186"/>
    </row>
    <row r="121" spans="1:16" x14ac:dyDescent="0.25">
      <c r="A121" s="483"/>
      <c r="B121" s="207" t="s">
        <v>715</v>
      </c>
      <c r="C121" s="186"/>
      <c r="D121" s="186"/>
      <c r="E121" s="186"/>
      <c r="F121" s="186"/>
      <c r="G121" s="186"/>
      <c r="H121" s="186"/>
      <c r="I121" s="186"/>
      <c r="J121" s="186"/>
      <c r="K121" s="186"/>
      <c r="L121" s="186"/>
      <c r="M121" s="186"/>
      <c r="N121" s="186"/>
      <c r="O121" s="186"/>
      <c r="P121" s="186"/>
    </row>
    <row r="122" spans="1:16" x14ac:dyDescent="0.25">
      <c r="A122" s="483"/>
      <c r="B122" s="206" t="s">
        <v>711</v>
      </c>
      <c r="C122" s="186"/>
      <c r="D122" s="186"/>
      <c r="E122" s="186"/>
      <c r="F122" s="186"/>
      <c r="G122" s="186"/>
      <c r="H122" s="186"/>
      <c r="I122" s="186"/>
      <c r="J122" s="186"/>
      <c r="K122" s="186"/>
      <c r="L122" s="186"/>
      <c r="M122" s="186"/>
      <c r="N122" s="186"/>
      <c r="O122" s="186"/>
      <c r="P122" s="186"/>
    </row>
    <row r="123" spans="1:16" x14ac:dyDescent="0.25">
      <c r="A123" s="483"/>
      <c r="B123" s="206" t="s">
        <v>714</v>
      </c>
      <c r="C123" s="186"/>
      <c r="D123" s="186"/>
      <c r="E123" s="186"/>
      <c r="F123" s="186"/>
      <c r="G123" s="186"/>
      <c r="H123" s="186"/>
      <c r="I123" s="186"/>
      <c r="J123" s="186"/>
      <c r="K123" s="186"/>
      <c r="L123" s="186"/>
      <c r="M123" s="186"/>
      <c r="N123" s="186"/>
      <c r="O123" s="186"/>
      <c r="P123" s="186"/>
    </row>
    <row r="124" spans="1:16" x14ac:dyDescent="0.25">
      <c r="A124" s="483"/>
      <c r="B124" s="207" t="s">
        <v>716</v>
      </c>
      <c r="C124" s="186"/>
      <c r="D124" s="186"/>
      <c r="E124" s="186"/>
      <c r="F124" s="186"/>
      <c r="G124" s="186"/>
      <c r="H124" s="186"/>
      <c r="I124" s="186"/>
      <c r="J124" s="186"/>
      <c r="K124" s="186"/>
      <c r="L124" s="186"/>
      <c r="M124" s="186"/>
      <c r="N124" s="186"/>
      <c r="O124" s="186"/>
      <c r="P124" s="186"/>
    </row>
    <row r="125" spans="1:16" ht="15.75" thickBot="1" x14ac:dyDescent="0.3">
      <c r="O125" s="221">
        <f>SUM(O7:O124)</f>
        <v>119504.1</v>
      </c>
      <c r="P125" s="221">
        <f>SUM(P7:P124)</f>
        <v>52348.069999999992</v>
      </c>
    </row>
    <row r="126" spans="1:16" ht="15.75" thickTop="1" x14ac:dyDescent="0.25">
      <c r="O126" s="192"/>
    </row>
  </sheetData>
  <sheetProtection algorithmName="SHA-512" hashValue="hdcZ5+FKIBPb5Gikt51F9UyNrTsw1TttDp1tAGuf44tfAqtMTzZEs+FQPLcYBAeZR0MxofCTmnKXZhMX8HXd5A==" saltValue="SaBbpVfQaJUNzGZpI47hnA==" spinCount="100000" sheet="1" objects="1" scenarios="1"/>
  <mergeCells count="26">
    <mergeCell ref="A1:P1"/>
    <mergeCell ref="A2:P2"/>
    <mergeCell ref="A3:B3"/>
    <mergeCell ref="D3:E3"/>
    <mergeCell ref="G3:H3"/>
    <mergeCell ref="O3:P3"/>
    <mergeCell ref="A71:A76"/>
    <mergeCell ref="A5:A10"/>
    <mergeCell ref="A11:A16"/>
    <mergeCell ref="A17:A22"/>
    <mergeCell ref="A23:A28"/>
    <mergeCell ref="A29:A34"/>
    <mergeCell ref="A35:A40"/>
    <mergeCell ref="A41:A46"/>
    <mergeCell ref="A47:A52"/>
    <mergeCell ref="A53:A58"/>
    <mergeCell ref="A59:A64"/>
    <mergeCell ref="A65:A70"/>
    <mergeCell ref="A113:A118"/>
    <mergeCell ref="A119:A124"/>
    <mergeCell ref="A77:A82"/>
    <mergeCell ref="A83:A88"/>
    <mergeCell ref="A89:A94"/>
    <mergeCell ref="A95:A100"/>
    <mergeCell ref="A101:A106"/>
    <mergeCell ref="A107:A1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E28"/>
  <sheetViews>
    <sheetView workbookViewId="0">
      <pane ySplit="1" topLeftCell="A2" activePane="bottomLeft" state="frozen"/>
      <selection pane="bottomLeft"/>
    </sheetView>
  </sheetViews>
  <sheetFormatPr defaultRowHeight="15" x14ac:dyDescent="0.25"/>
  <cols>
    <col min="2" max="2" width="28.42578125" customWidth="1"/>
    <col min="3" max="3" width="22.85546875" customWidth="1"/>
    <col min="4" max="4" width="16.5703125" customWidth="1"/>
    <col min="5" max="5" width="14.42578125" customWidth="1"/>
  </cols>
  <sheetData>
    <row r="1" spans="2:5" ht="19.5" customHeight="1" thickBot="1" x14ac:dyDescent="0.3">
      <c r="B1" s="55"/>
      <c r="C1" s="128" t="s">
        <v>613</v>
      </c>
      <c r="D1" s="129" t="s">
        <v>606</v>
      </c>
      <c r="E1" s="130" t="s">
        <v>607</v>
      </c>
    </row>
    <row r="2" spans="2:5" ht="21.75" customHeight="1" x14ac:dyDescent="0.25">
      <c r="B2" s="55"/>
      <c r="C2" s="494" t="s">
        <v>525</v>
      </c>
      <c r="D2" s="495"/>
      <c r="E2" s="496"/>
    </row>
    <row r="3" spans="2:5" x14ac:dyDescent="0.25">
      <c r="C3" s="20" t="s">
        <v>609</v>
      </c>
      <c r="D3" s="29">
        <f>E3*8765</f>
        <v>2.8048E-4</v>
      </c>
      <c r="E3" s="124">
        <v>3.2000000000000002E-8</v>
      </c>
    </row>
    <row r="4" spans="2:5" ht="15.75" thickBot="1" x14ac:dyDescent="0.3">
      <c r="C4" s="22" t="s">
        <v>610</v>
      </c>
      <c r="D4" s="32">
        <f>E4*8765</f>
        <v>1.9808899999999999E-5</v>
      </c>
      <c r="E4" s="125">
        <v>2.2600000000000001E-9</v>
      </c>
    </row>
    <row r="5" spans="2:5" x14ac:dyDescent="0.25">
      <c r="C5" s="55"/>
      <c r="D5" s="58"/>
      <c r="E5" s="58"/>
    </row>
    <row r="6" spans="2:5" ht="15.75" thickBot="1" x14ac:dyDescent="0.3"/>
    <row r="7" spans="2:5" x14ac:dyDescent="0.25">
      <c r="B7" s="418" t="s">
        <v>603</v>
      </c>
      <c r="C7" s="419"/>
      <c r="D7" s="419"/>
      <c r="E7" s="420"/>
    </row>
    <row r="8" spans="2:5" x14ac:dyDescent="0.25">
      <c r="B8" s="20" t="s">
        <v>605</v>
      </c>
      <c r="C8" s="95" t="s">
        <v>597</v>
      </c>
      <c r="D8" s="29">
        <v>1.6000000000000001E-3</v>
      </c>
      <c r="E8" s="124">
        <f>D8/8765</f>
        <v>1.8254420992584144E-7</v>
      </c>
    </row>
    <row r="9" spans="2:5" x14ac:dyDescent="0.25">
      <c r="B9" s="20"/>
      <c r="C9" s="95" t="s">
        <v>598</v>
      </c>
      <c r="D9" s="29">
        <v>1.1000000000000001E-3</v>
      </c>
      <c r="E9" s="124">
        <f>D9/8765</f>
        <v>1.2549914432401599E-7</v>
      </c>
    </row>
    <row r="10" spans="2:5" x14ac:dyDescent="0.25">
      <c r="B10" s="20" t="s">
        <v>600</v>
      </c>
      <c r="C10" s="95" t="s">
        <v>601</v>
      </c>
      <c r="D10" s="29">
        <v>2.8E-3</v>
      </c>
      <c r="E10" s="124">
        <f>D10/8765</f>
        <v>3.1945236737022246E-7</v>
      </c>
    </row>
    <row r="11" spans="2:5" ht="15.75" thickBot="1" x14ac:dyDescent="0.3">
      <c r="B11" s="22"/>
      <c r="C11" s="97" t="s">
        <v>599</v>
      </c>
      <c r="D11" s="32">
        <v>3.0000000000000001E-6</v>
      </c>
      <c r="E11" s="125">
        <f>D11/8765</f>
        <v>3.4227039361095267E-10</v>
      </c>
    </row>
    <row r="12" spans="2:5" x14ac:dyDescent="0.25">
      <c r="C12" s="2"/>
      <c r="D12" s="2"/>
      <c r="E12" s="2"/>
    </row>
    <row r="13" spans="2:5" ht="15.75" thickBot="1" x14ac:dyDescent="0.3">
      <c r="C13" s="2"/>
      <c r="D13" s="2"/>
      <c r="E13" s="2"/>
    </row>
    <row r="14" spans="2:5" x14ac:dyDescent="0.25">
      <c r="C14" s="418" t="s">
        <v>604</v>
      </c>
      <c r="D14" s="419"/>
      <c r="E14" s="420"/>
    </row>
    <row r="15" spans="2:5" x14ac:dyDescent="0.25">
      <c r="C15" s="94" t="s">
        <v>611</v>
      </c>
      <c r="D15" s="29">
        <v>9.9290780141843976E-4</v>
      </c>
      <c r="E15" s="124">
        <v>1.1328098133695833E-7</v>
      </c>
    </row>
    <row r="16" spans="2:5" ht="15.75" thickBot="1" x14ac:dyDescent="0.3">
      <c r="C16" s="96" t="s">
        <v>612</v>
      </c>
      <c r="D16" s="32">
        <v>2.8368794326241134E-4</v>
      </c>
      <c r="E16" s="125">
        <v>3.2365994667702379E-8</v>
      </c>
    </row>
    <row r="17" spans="3:5" x14ac:dyDescent="0.25">
      <c r="C17" s="2"/>
      <c r="D17" s="2"/>
      <c r="E17" s="2"/>
    </row>
    <row r="18" spans="3:5" ht="15.75" thickBot="1" x14ac:dyDescent="0.3">
      <c r="C18" s="2"/>
      <c r="D18" s="2"/>
      <c r="E18" s="2"/>
    </row>
    <row r="19" spans="3:5" x14ac:dyDescent="0.25">
      <c r="C19" s="418" t="s">
        <v>608</v>
      </c>
      <c r="D19" s="419"/>
      <c r="E19" s="420"/>
    </row>
    <row r="20" spans="3:5" x14ac:dyDescent="0.25">
      <c r="C20" s="127" t="s">
        <v>502</v>
      </c>
      <c r="D20" s="29">
        <f>E20*8765</f>
        <v>1.4335552665573299E-2</v>
      </c>
      <c r="E20" s="124">
        <v>1.6355450844921049E-6</v>
      </c>
    </row>
    <row r="21" spans="3:5" ht="15.75" thickBot="1" x14ac:dyDescent="0.3">
      <c r="C21" s="126" t="s">
        <v>503</v>
      </c>
      <c r="D21" s="32">
        <f>E21*8765</f>
        <v>3.5906776922505594E-2</v>
      </c>
      <c r="E21" s="125">
        <v>4.0966088901888872E-6</v>
      </c>
    </row>
    <row r="22" spans="3:5" x14ac:dyDescent="0.25">
      <c r="C22" s="47"/>
      <c r="E22" s="55"/>
    </row>
    <row r="23" spans="3:5" x14ac:dyDescent="0.25">
      <c r="C23" s="55"/>
    </row>
    <row r="24" spans="3:5" x14ac:dyDescent="0.25">
      <c r="C24" s="55"/>
    </row>
    <row r="25" spans="3:5" x14ac:dyDescent="0.25">
      <c r="C25" s="55"/>
    </row>
    <row r="26" spans="3:5" x14ac:dyDescent="0.25">
      <c r="C26" s="123"/>
    </row>
    <row r="27" spans="3:5" x14ac:dyDescent="0.25">
      <c r="C27" s="123"/>
    </row>
    <row r="28" spans="3:5" x14ac:dyDescent="0.25">
      <c r="C28" s="47"/>
    </row>
  </sheetData>
  <sheetProtection algorithmName="SHA-512" hashValue="cJ4x3N1nao+hOd0SR/lNM1Amq6lf+PWsn/KcuyukYyG6FuGGBVKPav2TFyqv91woDUL6d739C7Fvdc0HJ7tGBg==" saltValue="5+q2daSk2suFrVSjF6S2qQ==" spinCount="100000" sheet="1" objects="1" scenarios="1"/>
  <mergeCells count="4">
    <mergeCell ref="B7:E7"/>
    <mergeCell ref="C14:E14"/>
    <mergeCell ref="C19:E19"/>
    <mergeCell ref="C2:E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O51"/>
  <sheetViews>
    <sheetView zoomScale="70" zoomScaleNormal="70" workbookViewId="0"/>
  </sheetViews>
  <sheetFormatPr defaultRowHeight="15" x14ac:dyDescent="0.25"/>
  <cols>
    <col min="2" max="2" width="11.5703125" customWidth="1"/>
    <col min="3" max="3" width="25.85546875" customWidth="1"/>
    <col min="4" max="4" width="12.7109375" customWidth="1"/>
    <col min="5" max="5" width="12.28515625" customWidth="1"/>
    <col min="6" max="6" width="11.42578125" customWidth="1"/>
    <col min="7" max="7" width="13.28515625" customWidth="1"/>
    <col min="8" max="8" width="10.5703125" style="327" customWidth="1"/>
    <col min="9" max="9" width="10.85546875" customWidth="1"/>
    <col min="10" max="10" width="10.7109375" customWidth="1"/>
    <col min="11" max="11" width="12.85546875" customWidth="1"/>
    <col min="12" max="12" width="14" customWidth="1"/>
    <col min="13" max="13" width="17.5703125" customWidth="1"/>
    <col min="14" max="14" width="35" customWidth="1"/>
  </cols>
  <sheetData>
    <row r="1" spans="2:14" ht="15.75" thickBot="1" x14ac:dyDescent="0.3"/>
    <row r="2" spans="2:14" x14ac:dyDescent="0.25">
      <c r="B2" s="418" t="s">
        <v>855</v>
      </c>
      <c r="C2" s="419"/>
      <c r="D2" s="419"/>
      <c r="E2" s="419"/>
      <c r="F2" s="419"/>
      <c r="G2" s="419"/>
      <c r="H2" s="419"/>
      <c r="I2" s="419"/>
      <c r="J2" s="419"/>
      <c r="K2" s="419"/>
      <c r="L2" s="419"/>
      <c r="M2" s="419"/>
      <c r="N2" s="420"/>
    </row>
    <row r="3" spans="2:14" x14ac:dyDescent="0.25">
      <c r="B3" s="14" t="s">
        <v>118</v>
      </c>
      <c r="C3" s="43" t="s">
        <v>119</v>
      </c>
      <c r="D3" s="114" t="s">
        <v>522</v>
      </c>
      <c r="E3" s="267" t="s">
        <v>495</v>
      </c>
      <c r="F3" s="43" t="s">
        <v>117</v>
      </c>
      <c r="G3" s="43" t="s">
        <v>515</v>
      </c>
      <c r="H3" s="43"/>
      <c r="I3" s="114" t="s">
        <v>799</v>
      </c>
      <c r="J3" s="267" t="s">
        <v>114</v>
      </c>
      <c r="K3" s="267" t="s">
        <v>120</v>
      </c>
      <c r="L3" s="267" t="s">
        <v>115</v>
      </c>
      <c r="M3" s="267" t="s">
        <v>116</v>
      </c>
      <c r="N3" s="227" t="s">
        <v>523</v>
      </c>
    </row>
    <row r="4" spans="2:14" ht="15.75" thickBot="1" x14ac:dyDescent="0.3">
      <c r="B4" s="22" t="s">
        <v>731</v>
      </c>
      <c r="C4" s="24" t="s">
        <v>113</v>
      </c>
      <c r="D4" s="26">
        <f>All_Tanks_RH!J27</f>
        <v>18</v>
      </c>
      <c r="E4" s="360">
        <f>All_Tanks_RH!I27</f>
        <v>1315.6498768809849</v>
      </c>
      <c r="F4" s="26">
        <v>0.5</v>
      </c>
      <c r="G4" s="278">
        <f>(E4/D4)*F4</f>
        <v>36.545829913360691</v>
      </c>
      <c r="H4" s="366"/>
      <c r="I4" s="32">
        <v>1.09E-2</v>
      </c>
      <c r="J4" s="33">
        <v>3.6199999999999999E-5</v>
      </c>
      <c r="K4" s="33">
        <v>4.4999999999999997E-3</v>
      </c>
      <c r="L4" s="33">
        <v>3.8600000000000002E-2</v>
      </c>
      <c r="M4" s="86">
        <v>32.6</v>
      </c>
      <c r="N4" s="25" t="s">
        <v>524</v>
      </c>
    </row>
    <row r="5" spans="2:14" ht="15.75" thickBot="1" x14ac:dyDescent="0.3"/>
    <row r="6" spans="2:14" x14ac:dyDescent="0.25">
      <c r="B6" s="418" t="s">
        <v>646</v>
      </c>
      <c r="C6" s="419"/>
      <c r="D6" s="419"/>
      <c r="E6" s="419"/>
      <c r="F6" s="419"/>
      <c r="G6" s="419"/>
      <c r="H6" s="419"/>
      <c r="I6" s="419"/>
      <c r="J6" s="419"/>
      <c r="K6" s="419"/>
      <c r="L6" s="419"/>
      <c r="M6" s="419"/>
      <c r="N6" s="420"/>
    </row>
    <row r="7" spans="2:14" ht="16.5" customHeight="1" x14ac:dyDescent="0.25">
      <c r="B7" s="84" t="s">
        <v>118</v>
      </c>
      <c r="C7" s="87" t="s">
        <v>119</v>
      </c>
      <c r="D7" s="114" t="s">
        <v>522</v>
      </c>
      <c r="E7" s="267" t="s">
        <v>495</v>
      </c>
      <c r="F7" s="114" t="s">
        <v>117</v>
      </c>
      <c r="G7" s="114" t="s">
        <v>515</v>
      </c>
      <c r="H7" s="329"/>
      <c r="I7" s="114" t="s">
        <v>799</v>
      </c>
      <c r="J7" s="114" t="s">
        <v>114</v>
      </c>
      <c r="K7" s="114" t="s">
        <v>120</v>
      </c>
      <c r="L7" s="114" t="s">
        <v>115</v>
      </c>
      <c r="M7" s="114" t="s">
        <v>116</v>
      </c>
      <c r="N7" s="227" t="s">
        <v>523</v>
      </c>
    </row>
    <row r="8" spans="2:14" x14ac:dyDescent="0.25">
      <c r="B8" s="20" t="s">
        <v>820</v>
      </c>
      <c r="C8" s="19" t="s">
        <v>113</v>
      </c>
      <c r="D8" s="6">
        <v>0</v>
      </c>
      <c r="E8" s="363">
        <f>All_Tanks_RH!I27</f>
        <v>1315.6498768809849</v>
      </c>
      <c r="F8" s="6">
        <v>0.5</v>
      </c>
      <c r="G8" s="6">
        <v>1395.5</v>
      </c>
      <c r="H8" s="329"/>
      <c r="I8" s="29">
        <v>3.59E-4</v>
      </c>
      <c r="J8" s="29">
        <v>1.19E-6</v>
      </c>
      <c r="K8" s="29">
        <v>1.4799999999999999E-4</v>
      </c>
      <c r="L8" s="29">
        <v>1270</v>
      </c>
      <c r="M8" s="6">
        <v>32.6</v>
      </c>
      <c r="N8" s="21" t="s">
        <v>524</v>
      </c>
    </row>
    <row r="9" spans="2:14" x14ac:dyDescent="0.25">
      <c r="B9" s="20" t="s">
        <v>661</v>
      </c>
      <c r="C9" s="19" t="s">
        <v>113</v>
      </c>
      <c r="D9" s="6">
        <v>0</v>
      </c>
      <c r="E9" s="6">
        <f>NavyBulkTank_SpillReleaseData!H206</f>
        <v>7050</v>
      </c>
      <c r="F9" s="6">
        <v>0.5</v>
      </c>
      <c r="G9" s="6">
        <v>7050</v>
      </c>
      <c r="H9" s="329"/>
      <c r="I9" s="29">
        <v>7.1299999999999998E-5</v>
      </c>
      <c r="J9" s="29">
        <v>2.36E-7</v>
      </c>
      <c r="K9" s="29">
        <v>2.94E-5</v>
      </c>
      <c r="L9" s="29">
        <v>2.52E-4</v>
      </c>
      <c r="M9" s="6">
        <v>32.6</v>
      </c>
      <c r="N9" s="21" t="s">
        <v>520</v>
      </c>
    </row>
    <row r="10" spans="2:14" ht="15.75" thickBot="1" x14ac:dyDescent="0.3">
      <c r="B10" s="22" t="s">
        <v>821</v>
      </c>
      <c r="C10" s="9" t="s">
        <v>113</v>
      </c>
      <c r="D10" s="23"/>
      <c r="E10" s="23"/>
      <c r="F10" s="23">
        <v>0.5</v>
      </c>
      <c r="G10" s="23">
        <v>1788</v>
      </c>
      <c r="H10" s="365"/>
      <c r="I10" s="32">
        <v>2.81E-4</v>
      </c>
      <c r="J10" s="32">
        <v>9.2900000000000002E-7</v>
      </c>
      <c r="K10" s="32">
        <v>1.16E-4</v>
      </c>
      <c r="L10" s="32">
        <v>9.9099999999999991E-4</v>
      </c>
      <c r="M10" s="23">
        <v>32.6</v>
      </c>
      <c r="N10" s="25" t="s">
        <v>525</v>
      </c>
    </row>
    <row r="11" spans="2:14" ht="15.75" thickBot="1" x14ac:dyDescent="0.3"/>
    <row r="12" spans="2:14" x14ac:dyDescent="0.25">
      <c r="B12" s="418" t="s">
        <v>825</v>
      </c>
      <c r="C12" s="419"/>
      <c r="D12" s="419"/>
      <c r="E12" s="419"/>
      <c r="F12" s="419"/>
      <c r="G12" s="419"/>
      <c r="H12" s="419"/>
      <c r="I12" s="419"/>
      <c r="J12" s="419"/>
      <c r="K12" s="419"/>
      <c r="L12" s="419"/>
      <c r="M12" s="419"/>
      <c r="N12" s="420"/>
    </row>
    <row r="13" spans="2:14" ht="19.5" customHeight="1" x14ac:dyDescent="0.25">
      <c r="B13" s="84"/>
      <c r="C13" s="87" t="s">
        <v>830</v>
      </c>
      <c r="D13" s="87"/>
      <c r="E13" s="271"/>
      <c r="F13" s="87" t="s">
        <v>826</v>
      </c>
      <c r="G13" s="114">
        <v>0.5</v>
      </c>
      <c r="H13" s="329"/>
      <c r="I13" s="285" t="s">
        <v>829</v>
      </c>
      <c r="J13" s="286" t="s">
        <v>827</v>
      </c>
      <c r="K13" s="87" t="s">
        <v>515</v>
      </c>
      <c r="L13" s="87" t="s">
        <v>828</v>
      </c>
      <c r="M13" s="87"/>
      <c r="N13" s="227"/>
    </row>
    <row r="14" spans="2:14" ht="15.75" thickBot="1" x14ac:dyDescent="0.3">
      <c r="B14" s="287"/>
      <c r="C14" s="288"/>
      <c r="D14" s="288"/>
      <c r="E14" s="288"/>
      <c r="F14" s="288" t="s">
        <v>515</v>
      </c>
      <c r="G14" s="289">
        <v>352</v>
      </c>
      <c r="H14" s="334"/>
      <c r="I14" s="288"/>
      <c r="J14" s="288"/>
      <c r="K14" s="288"/>
      <c r="L14" s="288"/>
      <c r="M14" s="288"/>
      <c r="N14" s="290"/>
    </row>
    <row r="15" spans="2:14" ht="15.75" thickBot="1" x14ac:dyDescent="0.3">
      <c r="B15" s="421" t="s">
        <v>825</v>
      </c>
      <c r="C15" s="422"/>
      <c r="D15" s="422"/>
      <c r="E15" s="422"/>
      <c r="F15" s="422"/>
      <c r="G15" s="422"/>
      <c r="H15" s="422"/>
      <c r="I15" s="422"/>
      <c r="J15" s="422"/>
      <c r="K15" s="422"/>
      <c r="L15" s="422"/>
      <c r="M15" s="422"/>
      <c r="N15" s="423"/>
    </row>
    <row r="16" spans="2:14" ht="16.5" customHeight="1" x14ac:dyDescent="0.25">
      <c r="B16" s="291" t="s">
        <v>118</v>
      </c>
      <c r="C16" s="292" t="s">
        <v>119</v>
      </c>
      <c r="D16" s="272" t="s">
        <v>522</v>
      </c>
      <c r="E16" s="279" t="s">
        <v>495</v>
      </c>
      <c r="F16" s="272" t="s">
        <v>117</v>
      </c>
      <c r="G16" s="272" t="s">
        <v>515</v>
      </c>
      <c r="H16" s="316"/>
      <c r="I16" s="272" t="s">
        <v>799</v>
      </c>
      <c r="J16" s="272" t="s">
        <v>114</v>
      </c>
      <c r="K16" s="272" t="s">
        <v>120</v>
      </c>
      <c r="L16" s="272" t="s">
        <v>115</v>
      </c>
      <c r="M16" s="272" t="s">
        <v>116</v>
      </c>
      <c r="N16" s="293" t="s">
        <v>523</v>
      </c>
    </row>
    <row r="17" spans="2:15" ht="15.75" thickBot="1" x14ac:dyDescent="0.3">
      <c r="B17" s="22" t="s">
        <v>858</v>
      </c>
      <c r="C17" s="24" t="s">
        <v>113</v>
      </c>
      <c r="D17" s="23">
        <v>0</v>
      </c>
      <c r="E17" s="23"/>
      <c r="F17" s="23">
        <v>0.5</v>
      </c>
      <c r="G17" s="23">
        <v>352</v>
      </c>
      <c r="H17" s="365"/>
      <c r="I17" s="32">
        <v>1.4300000000000001E-3</v>
      </c>
      <c r="J17" s="32">
        <v>4.7299999999999996E-6</v>
      </c>
      <c r="K17" s="32">
        <v>5.8799999999999998E-4</v>
      </c>
      <c r="L17" s="32">
        <v>5.0400000000000002E-3</v>
      </c>
      <c r="M17" s="23">
        <v>32.6</v>
      </c>
      <c r="N17" s="25" t="s">
        <v>520</v>
      </c>
    </row>
    <row r="18" spans="2:15" ht="15.75" thickBot="1" x14ac:dyDescent="0.3"/>
    <row r="19" spans="2:15" s="327" customFormat="1" ht="15.75" thickBot="1" x14ac:dyDescent="0.3">
      <c r="B19" s="421" t="s">
        <v>966</v>
      </c>
      <c r="C19" s="422"/>
      <c r="D19" s="422"/>
      <c r="E19" s="422"/>
      <c r="F19" s="422"/>
      <c r="G19" s="422"/>
      <c r="H19" s="422"/>
      <c r="I19" s="422"/>
      <c r="J19" s="422"/>
      <c r="K19" s="423"/>
      <c r="L19" s="78"/>
      <c r="M19" s="78"/>
    </row>
    <row r="20" spans="2:15" s="327" customFormat="1" ht="26.25" customHeight="1" x14ac:dyDescent="0.25">
      <c r="B20" s="291" t="s">
        <v>118</v>
      </c>
      <c r="C20" s="292" t="s">
        <v>119</v>
      </c>
      <c r="D20" s="387" t="s">
        <v>522</v>
      </c>
      <c r="E20" s="385" t="s">
        <v>495</v>
      </c>
      <c r="F20" s="387" t="s">
        <v>799</v>
      </c>
      <c r="G20" s="387" t="s">
        <v>114</v>
      </c>
      <c r="H20" s="387" t="s">
        <v>120</v>
      </c>
      <c r="I20" s="387" t="s">
        <v>115</v>
      </c>
      <c r="J20" s="385" t="s">
        <v>889</v>
      </c>
      <c r="K20" s="386" t="s">
        <v>818</v>
      </c>
    </row>
    <row r="21" spans="2:15" s="327" customFormat="1" ht="30.75" thickBot="1" x14ac:dyDescent="0.3">
      <c r="B21" s="22" t="s">
        <v>964</v>
      </c>
      <c r="C21" s="24" t="s">
        <v>967</v>
      </c>
      <c r="D21" s="382">
        <v>18</v>
      </c>
      <c r="E21" s="364">
        <v>1316</v>
      </c>
      <c r="F21" s="367">
        <v>1.11E-2</v>
      </c>
      <c r="G21" s="32">
        <v>7.1399999999999996E-3</v>
      </c>
      <c r="H21" s="32">
        <v>1.0800000000000001E-2</v>
      </c>
      <c r="I21" s="32">
        <v>1.54E-2</v>
      </c>
      <c r="J21" s="23">
        <v>1.47</v>
      </c>
      <c r="K21" s="284">
        <f t="shared" ref="K21" si="0">1/F21</f>
        <v>90.090090090090087</v>
      </c>
    </row>
    <row r="22" spans="2:15" s="327" customFormat="1" ht="15.75" thickBot="1" x14ac:dyDescent="0.3">
      <c r="B22" s="22" t="s">
        <v>965</v>
      </c>
      <c r="C22" s="24" t="s">
        <v>122</v>
      </c>
      <c r="D22" s="382">
        <f>All_Tanks_RH!J26</f>
        <v>0</v>
      </c>
      <c r="E22" s="364">
        <v>1316</v>
      </c>
      <c r="F22" s="367">
        <v>6.0099999999999997E-5</v>
      </c>
      <c r="G22" s="32">
        <v>1.9999999999999999E-7</v>
      </c>
      <c r="H22" s="32">
        <v>2.48E-5</v>
      </c>
      <c r="I22" s="32">
        <v>2.12E-4</v>
      </c>
      <c r="J22" s="23">
        <v>32.6</v>
      </c>
      <c r="K22" s="284">
        <f t="shared" ref="K22" si="1">1/F22</f>
        <v>16638.93510815308</v>
      </c>
    </row>
    <row r="23" spans="2:15" ht="15.75" thickBot="1" x14ac:dyDescent="0.3"/>
    <row r="24" spans="2:15" x14ac:dyDescent="0.25">
      <c r="B24" s="418" t="s">
        <v>856</v>
      </c>
      <c r="C24" s="419"/>
      <c r="D24" s="419"/>
      <c r="E24" s="419"/>
      <c r="F24" s="419"/>
      <c r="G24" s="419"/>
      <c r="H24" s="419"/>
      <c r="I24" s="419"/>
      <c r="J24" s="419"/>
      <c r="K24" s="419"/>
      <c r="L24" s="419"/>
      <c r="M24" s="419"/>
      <c r="N24" s="420"/>
    </row>
    <row r="25" spans="2:15" x14ac:dyDescent="0.25">
      <c r="B25" s="14" t="s">
        <v>118</v>
      </c>
      <c r="C25" s="310" t="s">
        <v>119</v>
      </c>
      <c r="D25" s="311" t="s">
        <v>522</v>
      </c>
      <c r="E25" s="271" t="s">
        <v>495</v>
      </c>
      <c r="F25" s="311" t="s">
        <v>117</v>
      </c>
      <c r="G25" s="311" t="s">
        <v>515</v>
      </c>
      <c r="H25" s="311" t="s">
        <v>515</v>
      </c>
      <c r="I25" s="311" t="s">
        <v>799</v>
      </c>
      <c r="J25" s="311" t="s">
        <v>114</v>
      </c>
      <c r="K25" s="311" t="s">
        <v>120</v>
      </c>
      <c r="L25" s="311" t="s">
        <v>115</v>
      </c>
      <c r="M25" s="311" t="s">
        <v>116</v>
      </c>
      <c r="N25" s="313" t="s">
        <v>523</v>
      </c>
    </row>
    <row r="26" spans="2:15" ht="15.75" thickBot="1" x14ac:dyDescent="0.3">
      <c r="B26" s="22" t="s">
        <v>935</v>
      </c>
      <c r="C26" s="24" t="s">
        <v>113</v>
      </c>
      <c r="D26" s="23">
        <v>18</v>
      </c>
      <c r="E26" s="23"/>
      <c r="F26" s="384" t="s">
        <v>951</v>
      </c>
      <c r="G26" s="9" t="s">
        <v>954</v>
      </c>
      <c r="H26" s="364">
        <f>G17+All_Tanks_RH!I27</f>
        <v>1667.6498768809849</v>
      </c>
      <c r="I26" s="368">
        <v>1.11E-2</v>
      </c>
      <c r="J26" s="32">
        <v>7.1300000000000001E-3</v>
      </c>
      <c r="K26" s="32">
        <v>1.0800000000000001E-2</v>
      </c>
      <c r="L26" s="32">
        <v>1.5299999999999999E-2</v>
      </c>
      <c r="M26" s="23">
        <v>147</v>
      </c>
      <c r="N26" s="25" t="s">
        <v>936</v>
      </c>
    </row>
    <row r="28" spans="2:15" ht="15.75" thickBot="1" x14ac:dyDescent="0.3"/>
    <row r="29" spans="2:15" x14ac:dyDescent="0.25">
      <c r="B29" s="415" t="s">
        <v>857</v>
      </c>
      <c r="C29" s="416"/>
      <c r="D29" s="416"/>
      <c r="E29" s="416"/>
      <c r="F29" s="416"/>
      <c r="G29" s="416"/>
      <c r="H29" s="416"/>
      <c r="I29" s="416"/>
      <c r="J29" s="416"/>
      <c r="K29" s="416"/>
      <c r="L29" s="416"/>
      <c r="M29" s="416"/>
      <c r="N29" s="417"/>
      <c r="O29" s="78"/>
    </row>
    <row r="30" spans="2:15" x14ac:dyDescent="0.25">
      <c r="B30" s="14" t="s">
        <v>118</v>
      </c>
      <c r="C30" s="42" t="s">
        <v>121</v>
      </c>
      <c r="D30" s="114" t="s">
        <v>522</v>
      </c>
      <c r="E30" s="267" t="s">
        <v>495</v>
      </c>
      <c r="F30" s="114" t="s">
        <v>117</v>
      </c>
      <c r="G30" s="114" t="s">
        <v>515</v>
      </c>
      <c r="H30" s="311" t="s">
        <v>515</v>
      </c>
      <c r="I30" s="114" t="s">
        <v>799</v>
      </c>
      <c r="J30" s="267" t="s">
        <v>114</v>
      </c>
      <c r="K30" s="267" t="s">
        <v>120</v>
      </c>
      <c r="L30" s="267" t="s">
        <v>115</v>
      </c>
      <c r="M30" s="267" t="s">
        <v>116</v>
      </c>
      <c r="N30" s="268" t="s">
        <v>818</v>
      </c>
    </row>
    <row r="31" spans="2:15" x14ac:dyDescent="0.25">
      <c r="B31" s="20" t="s">
        <v>835</v>
      </c>
      <c r="C31" s="5" t="s">
        <v>125</v>
      </c>
      <c r="D31" s="27">
        <f>All_Tanks_RH!J7</f>
        <v>6</v>
      </c>
      <c r="E31" s="358">
        <f>All_Tanks_RH!I7</f>
        <v>45.374829001367985</v>
      </c>
      <c r="F31" s="27" t="s">
        <v>831</v>
      </c>
      <c r="G31" s="27" t="s">
        <v>918</v>
      </c>
      <c r="H31" s="358">
        <f>$G$17+E31</f>
        <v>397.37482900136797</v>
      </c>
      <c r="I31" s="29">
        <v>1.6400000000000001E-2</v>
      </c>
      <c r="J31" s="30">
        <v>7.2700000000000004E-3</v>
      </c>
      <c r="K31" s="30">
        <v>1.52E-2</v>
      </c>
      <c r="L31" s="30">
        <v>2.7400000000000001E-2</v>
      </c>
      <c r="M31" s="83">
        <v>1.94</v>
      </c>
      <c r="N31" s="280">
        <f t="shared" ref="N31:N50" si="2">1/I31</f>
        <v>60.975609756097555</v>
      </c>
    </row>
    <row r="32" spans="2:15" x14ac:dyDescent="0.25">
      <c r="B32" s="20" t="s">
        <v>836</v>
      </c>
      <c r="C32" s="5" t="s">
        <v>127</v>
      </c>
      <c r="D32" s="27">
        <f>All_Tanks_RH!J8</f>
        <v>2</v>
      </c>
      <c r="E32" s="358">
        <f>All_Tanks_RH!I8</f>
        <v>68.742818057455537</v>
      </c>
      <c r="F32" s="383" t="s">
        <v>952</v>
      </c>
      <c r="G32" s="27" t="s">
        <v>919</v>
      </c>
      <c r="H32" s="358">
        <f t="shared" ref="H32:H50" si="3">$G$17+E32</f>
        <v>420.74281805745557</v>
      </c>
      <c r="I32" s="29">
        <v>5.9500000000000004E-3</v>
      </c>
      <c r="J32" s="30">
        <v>1.31E-3</v>
      </c>
      <c r="K32" s="30">
        <v>5.0000000000000001E-3</v>
      </c>
      <c r="L32" s="30">
        <v>1.26E-2</v>
      </c>
      <c r="M32" s="83">
        <v>3.11</v>
      </c>
      <c r="N32" s="280">
        <f t="shared" si="2"/>
        <v>168.0672268907563</v>
      </c>
    </row>
    <row r="33" spans="2:14" x14ac:dyDescent="0.25">
      <c r="B33" s="20" t="s">
        <v>837</v>
      </c>
      <c r="C33" s="5" t="s">
        <v>129</v>
      </c>
      <c r="D33" s="27">
        <f>All_Tanks_RH!J9</f>
        <v>1</v>
      </c>
      <c r="E33" s="358">
        <f>All_Tanks_RH!I9</f>
        <v>71.718194254445962</v>
      </c>
      <c r="F33" s="27" t="s">
        <v>834</v>
      </c>
      <c r="G33" s="27" t="s">
        <v>920</v>
      </c>
      <c r="H33" s="358">
        <f t="shared" si="3"/>
        <v>423.71819425444596</v>
      </c>
      <c r="I33" s="29">
        <v>3.5400000000000002E-3</v>
      </c>
      <c r="J33" s="30">
        <v>3.9100000000000002E-4</v>
      </c>
      <c r="K33" s="30">
        <v>2.6700000000000001E-3</v>
      </c>
      <c r="L33" s="30">
        <v>8.7500000000000008E-3</v>
      </c>
      <c r="M33" s="83">
        <v>4.7300000000000004</v>
      </c>
      <c r="N33" s="280">
        <f t="shared" si="2"/>
        <v>282.4858757062147</v>
      </c>
    </row>
    <row r="34" spans="2:14" x14ac:dyDescent="0.25">
      <c r="B34" s="20" t="s">
        <v>838</v>
      </c>
      <c r="C34" s="5" t="s">
        <v>131</v>
      </c>
      <c r="D34" s="27">
        <f>All_Tanks_RH!J10</f>
        <v>0</v>
      </c>
      <c r="E34" s="358">
        <f>All_Tanks_RH!I10</f>
        <v>71.975376196990425</v>
      </c>
      <c r="F34" s="27">
        <v>0.5</v>
      </c>
      <c r="G34" s="27" t="s">
        <v>832</v>
      </c>
      <c r="H34" s="358">
        <f t="shared" si="3"/>
        <v>423.9753761969904</v>
      </c>
      <c r="I34" s="29">
        <v>1.1900000000000001E-3</v>
      </c>
      <c r="J34" s="30">
        <v>3.9199999999999997E-6</v>
      </c>
      <c r="K34" s="30">
        <v>4.8799999999999999E-4</v>
      </c>
      <c r="L34" s="30">
        <v>4.1799999999999997E-3</v>
      </c>
      <c r="M34" s="83">
        <v>32.6</v>
      </c>
      <c r="N34" s="280">
        <f t="shared" si="2"/>
        <v>840.33613445378148</v>
      </c>
    </row>
    <row r="35" spans="2:14" x14ac:dyDescent="0.25">
      <c r="B35" s="20" t="s">
        <v>839</v>
      </c>
      <c r="C35" s="5" t="s">
        <v>163</v>
      </c>
      <c r="D35" s="27">
        <f>All_Tanks_RH!J11</f>
        <v>1</v>
      </c>
      <c r="E35" s="358">
        <f>All_Tanks_RH!I11</f>
        <v>64.593707250341993</v>
      </c>
      <c r="F35" s="383" t="s">
        <v>834</v>
      </c>
      <c r="G35" s="27" t="s">
        <v>921</v>
      </c>
      <c r="H35" s="358">
        <f t="shared" si="3"/>
        <v>416.59370725034199</v>
      </c>
      <c r="I35" s="29">
        <v>3.5999999999999999E-3</v>
      </c>
      <c r="J35" s="30">
        <v>3.97E-4</v>
      </c>
      <c r="K35" s="30">
        <v>2.7100000000000002E-3</v>
      </c>
      <c r="L35" s="30">
        <v>8.8999999999999999E-3</v>
      </c>
      <c r="M35" s="83">
        <v>4.7300000000000004</v>
      </c>
      <c r="N35" s="280">
        <f t="shared" si="2"/>
        <v>277.77777777777777</v>
      </c>
    </row>
    <row r="36" spans="2:14" x14ac:dyDescent="0.25">
      <c r="B36" s="20" t="s">
        <v>840</v>
      </c>
      <c r="C36" s="5" t="s">
        <v>161</v>
      </c>
      <c r="D36" s="46">
        <f>All_Tanks_RH!J12</f>
        <v>1</v>
      </c>
      <c r="E36" s="359">
        <f>All_Tanks_RH!I12</f>
        <v>64.153214774281807</v>
      </c>
      <c r="F36" s="27" t="s">
        <v>834</v>
      </c>
      <c r="G36" s="27" t="s">
        <v>922</v>
      </c>
      <c r="H36" s="358">
        <f t="shared" si="3"/>
        <v>416.15321477428182</v>
      </c>
      <c r="I36" s="30">
        <v>3.6099999999999999E-3</v>
      </c>
      <c r="J36" s="30">
        <v>3.9800000000000002E-4</v>
      </c>
      <c r="K36" s="30">
        <v>2.7200000000000002E-3</v>
      </c>
      <c r="L36" s="30">
        <v>8.9200000000000008E-3</v>
      </c>
      <c r="M36" s="83">
        <v>4.7300000000000004</v>
      </c>
      <c r="N36" s="280">
        <f t="shared" si="2"/>
        <v>277.0083102493075</v>
      </c>
    </row>
    <row r="37" spans="2:14" x14ac:dyDescent="0.25">
      <c r="B37" s="20" t="s">
        <v>841</v>
      </c>
      <c r="C37" s="5" t="s">
        <v>164</v>
      </c>
      <c r="D37" s="27">
        <f>All_Tanks_RH!J13</f>
        <v>0</v>
      </c>
      <c r="E37" s="358">
        <f>All_Tanks_RH!I13</f>
        <v>69.42681258549932</v>
      </c>
      <c r="F37" s="27">
        <v>0.5</v>
      </c>
      <c r="G37" s="27" t="s">
        <v>923</v>
      </c>
      <c r="H37" s="358">
        <f t="shared" si="3"/>
        <v>421.42681258549931</v>
      </c>
      <c r="I37" s="30">
        <v>1.1900000000000001E-3</v>
      </c>
      <c r="J37" s="30">
        <v>3.9500000000000003E-6</v>
      </c>
      <c r="K37" s="30">
        <v>4.9200000000000003E-4</v>
      </c>
      <c r="L37" s="30">
        <v>4.2100000000000002E-3</v>
      </c>
      <c r="M37" s="83">
        <v>32.6</v>
      </c>
      <c r="N37" s="280">
        <f t="shared" si="2"/>
        <v>840.33613445378148</v>
      </c>
    </row>
    <row r="38" spans="2:14" x14ac:dyDescent="0.25">
      <c r="B38" s="20" t="s">
        <v>842</v>
      </c>
      <c r="C38" s="5" t="s">
        <v>158</v>
      </c>
      <c r="D38" s="27">
        <f>All_Tanks_RH!J14</f>
        <v>0</v>
      </c>
      <c r="E38" s="358">
        <f>All_Tanks_RH!I14</f>
        <v>70.625170998632015</v>
      </c>
      <c r="F38" s="27">
        <v>0.5</v>
      </c>
      <c r="G38" s="27" t="s">
        <v>924</v>
      </c>
      <c r="H38" s="358">
        <f t="shared" si="3"/>
        <v>422.62517099863203</v>
      </c>
      <c r="I38" s="30">
        <v>1.1900000000000001E-3</v>
      </c>
      <c r="J38" s="30">
        <v>3.9299999999999996E-6</v>
      </c>
      <c r="K38" s="30">
        <v>4.8899999999999996E-4</v>
      </c>
      <c r="L38" s="30">
        <v>4.1900000000000001E-3</v>
      </c>
      <c r="M38" s="83">
        <v>32.6</v>
      </c>
      <c r="N38" s="280">
        <f t="shared" si="2"/>
        <v>840.33613445378148</v>
      </c>
    </row>
    <row r="39" spans="2:14" x14ac:dyDescent="0.25">
      <c r="B39" s="20" t="s">
        <v>843</v>
      </c>
      <c r="C39" s="5" t="s">
        <v>156</v>
      </c>
      <c r="D39" s="27">
        <f>All_Tanks_RH!J15</f>
        <v>1</v>
      </c>
      <c r="E39" s="358">
        <f>All_Tanks_RH!I15</f>
        <v>70.945280437756495</v>
      </c>
      <c r="F39" s="27" t="s">
        <v>834</v>
      </c>
      <c r="G39" s="27" t="s">
        <v>925</v>
      </c>
      <c r="H39" s="358">
        <f t="shared" si="3"/>
        <v>422.94528043775648</v>
      </c>
      <c r="I39" s="29">
        <v>3.5500000000000002E-3</v>
      </c>
      <c r="J39" s="30">
        <v>3.9199999999999999E-4</v>
      </c>
      <c r="K39" s="30">
        <v>2.6700000000000001E-3</v>
      </c>
      <c r="L39" s="30">
        <v>8.77E-3</v>
      </c>
      <c r="M39" s="83">
        <v>4.7300000000000004</v>
      </c>
      <c r="N39" s="280">
        <f t="shared" si="2"/>
        <v>281.6901408450704</v>
      </c>
    </row>
    <row r="40" spans="2:14" x14ac:dyDescent="0.25">
      <c r="B40" s="20" t="s">
        <v>844</v>
      </c>
      <c r="C40" s="5" t="s">
        <v>154</v>
      </c>
      <c r="D40" s="46">
        <f>All_Tanks_RH!J16</f>
        <v>1</v>
      </c>
      <c r="E40" s="358">
        <f>All_Tanks_RH!I16</f>
        <v>64.797537619699042</v>
      </c>
      <c r="F40" s="27" t="s">
        <v>834</v>
      </c>
      <c r="G40" s="27" t="s">
        <v>926</v>
      </c>
      <c r="H40" s="358">
        <f t="shared" si="3"/>
        <v>416.79753761969903</v>
      </c>
      <c r="I40" s="29">
        <v>3.5999999999999999E-3</v>
      </c>
      <c r="J40" s="30">
        <v>3.97E-4</v>
      </c>
      <c r="K40" s="30">
        <v>2.7100000000000002E-3</v>
      </c>
      <c r="L40" s="30">
        <v>8.8999999999999999E-3</v>
      </c>
      <c r="M40" s="83">
        <v>4.7300000000000004</v>
      </c>
      <c r="N40" s="280">
        <f t="shared" si="2"/>
        <v>277.77777777777777</v>
      </c>
    </row>
    <row r="41" spans="2:14" x14ac:dyDescent="0.25">
      <c r="B41" s="20" t="s">
        <v>845</v>
      </c>
      <c r="C41" s="5" t="s">
        <v>152</v>
      </c>
      <c r="D41" s="27">
        <f>All_Tanks_RH!J17</f>
        <v>1</v>
      </c>
      <c r="E41" s="358">
        <f>All_Tanks_RH!I17</f>
        <v>71.099863201094394</v>
      </c>
      <c r="F41" s="27" t="s">
        <v>834</v>
      </c>
      <c r="G41" s="27" t="s">
        <v>927</v>
      </c>
      <c r="H41" s="358">
        <f t="shared" si="3"/>
        <v>423.09986320109442</v>
      </c>
      <c r="I41" s="29">
        <v>3.5500000000000002E-3</v>
      </c>
      <c r="J41" s="30">
        <v>3.9199999999999999E-4</v>
      </c>
      <c r="K41" s="30">
        <v>2.6700000000000001E-3</v>
      </c>
      <c r="L41" s="30">
        <v>8.77E-3</v>
      </c>
      <c r="M41" s="83">
        <v>4.7300000000000004</v>
      </c>
      <c r="N41" s="280">
        <f t="shared" si="2"/>
        <v>281.6901408450704</v>
      </c>
    </row>
    <row r="42" spans="2:14" s="136" customFormat="1" x14ac:dyDescent="0.25">
      <c r="B42" s="44" t="s">
        <v>846</v>
      </c>
      <c r="C42" s="45" t="s">
        <v>150</v>
      </c>
      <c r="D42" s="46">
        <f>All_Tanks_RH!J18</f>
        <v>0</v>
      </c>
      <c r="E42" s="359">
        <f>All_Tanks_RH!I18</f>
        <v>64.470588235294116</v>
      </c>
      <c r="F42" s="46">
        <v>0.5</v>
      </c>
      <c r="G42" s="46" t="s">
        <v>928</v>
      </c>
      <c r="H42" s="358">
        <f t="shared" si="3"/>
        <v>416.47058823529414</v>
      </c>
      <c r="I42" s="274">
        <v>1.2099999999999999E-3</v>
      </c>
      <c r="J42" s="275">
        <v>3.9999999999999998E-6</v>
      </c>
      <c r="K42" s="275">
        <v>4.9799999999999996E-4</v>
      </c>
      <c r="L42" s="275">
        <v>4.2599999999999999E-3</v>
      </c>
      <c r="M42" s="276">
        <v>32.6</v>
      </c>
      <c r="N42" s="281">
        <f t="shared" si="2"/>
        <v>826.44628099173553</v>
      </c>
    </row>
    <row r="43" spans="2:14" s="136" customFormat="1" x14ac:dyDescent="0.25">
      <c r="B43" s="44" t="s">
        <v>847</v>
      </c>
      <c r="C43" s="45" t="s">
        <v>148</v>
      </c>
      <c r="D43" s="46">
        <f>All_Tanks_RH!J19</f>
        <v>1</v>
      </c>
      <c r="E43" s="359">
        <f>All_Tanks_RH!I19</f>
        <v>65.010000000000005</v>
      </c>
      <c r="F43" s="46" t="s">
        <v>834</v>
      </c>
      <c r="G43" s="46" t="s">
        <v>929</v>
      </c>
      <c r="H43" s="358">
        <f t="shared" si="3"/>
        <v>417.01</v>
      </c>
      <c r="I43" s="275">
        <v>3.5999999999999999E-3</v>
      </c>
      <c r="J43" s="275">
        <v>3.9599999999999998E-4</v>
      </c>
      <c r="K43" s="275">
        <v>2.7000000000000001E-3</v>
      </c>
      <c r="L43" s="275">
        <v>8.8800000000000007E-3</v>
      </c>
      <c r="M43" s="276">
        <v>4.7300000000000004</v>
      </c>
      <c r="N43" s="281">
        <f t="shared" si="2"/>
        <v>277.77777777777777</v>
      </c>
    </row>
    <row r="44" spans="2:14" s="136" customFormat="1" x14ac:dyDescent="0.25">
      <c r="B44" s="44" t="s">
        <v>848</v>
      </c>
      <c r="C44" s="45" t="s">
        <v>146</v>
      </c>
      <c r="D44" s="46">
        <f>All_Tanks_RH!J20</f>
        <v>1</v>
      </c>
      <c r="E44" s="359">
        <f>All_Tanks_RH!I20</f>
        <v>70.92</v>
      </c>
      <c r="F44" s="46" t="s">
        <v>834</v>
      </c>
      <c r="G44" s="46" t="s">
        <v>930</v>
      </c>
      <c r="H44" s="358">
        <f t="shared" si="3"/>
        <v>422.92</v>
      </c>
      <c r="I44" s="274">
        <v>3.5400000000000002E-3</v>
      </c>
      <c r="J44" s="275">
        <v>3.9100000000000002E-4</v>
      </c>
      <c r="K44" s="275">
        <v>2.6700000000000001E-3</v>
      </c>
      <c r="L44" s="275">
        <v>8.7500000000000008E-3</v>
      </c>
      <c r="M44" s="276">
        <v>4.7300000000000004</v>
      </c>
      <c r="N44" s="281">
        <f t="shared" si="2"/>
        <v>282.4858757062147</v>
      </c>
    </row>
    <row r="45" spans="2:14" s="136" customFormat="1" x14ac:dyDescent="0.25">
      <c r="B45" s="44" t="s">
        <v>849</v>
      </c>
      <c r="C45" s="45" t="s">
        <v>144</v>
      </c>
      <c r="D45" s="46">
        <f>All_Tanks_RH!J21</f>
        <v>0</v>
      </c>
      <c r="E45" s="359">
        <f>All_Tanks_RH!I21</f>
        <v>67.79343365253078</v>
      </c>
      <c r="F45" s="46">
        <v>0.5</v>
      </c>
      <c r="G45" s="46" t="s">
        <v>931</v>
      </c>
      <c r="H45" s="358">
        <f t="shared" si="3"/>
        <v>419.79343365253078</v>
      </c>
      <c r="I45" s="274">
        <v>1.1999999999999999E-3</v>
      </c>
      <c r="J45" s="275">
        <v>3.9600000000000002E-6</v>
      </c>
      <c r="K45" s="275">
        <v>4.9299999999999995E-4</v>
      </c>
      <c r="L45" s="275">
        <v>4.2199999999999998E-3</v>
      </c>
      <c r="M45" s="276">
        <v>32.6</v>
      </c>
      <c r="N45" s="281">
        <f t="shared" si="2"/>
        <v>833.33333333333337</v>
      </c>
    </row>
    <row r="46" spans="2:14" s="136" customFormat="1" x14ac:dyDescent="0.25">
      <c r="B46" s="44" t="s">
        <v>850</v>
      </c>
      <c r="C46" s="45" t="s">
        <v>142</v>
      </c>
      <c r="D46" s="46">
        <f>All_Tanks_RH!J22</f>
        <v>1</v>
      </c>
      <c r="E46" s="359">
        <f>All_Tanks_RH!I22</f>
        <v>68.395348837209298</v>
      </c>
      <c r="F46" s="46" t="s">
        <v>834</v>
      </c>
      <c r="G46" s="46" t="s">
        <v>932</v>
      </c>
      <c r="H46" s="358">
        <f t="shared" si="3"/>
        <v>420.39534883720933</v>
      </c>
      <c r="I46" s="274">
        <v>3.5799999999999998E-3</v>
      </c>
      <c r="J46" s="275">
        <v>3.9399999999999998E-4</v>
      </c>
      <c r="K46" s="275">
        <v>2.6900000000000001E-3</v>
      </c>
      <c r="L46" s="275">
        <v>8.8299999999999993E-3</v>
      </c>
      <c r="M46" s="276">
        <v>4.7300000000000004</v>
      </c>
      <c r="N46" s="281">
        <f t="shared" si="2"/>
        <v>279.32960893854749</v>
      </c>
    </row>
    <row r="47" spans="2:14" s="136" customFormat="1" x14ac:dyDescent="0.25">
      <c r="B47" s="44" t="s">
        <v>851</v>
      </c>
      <c r="C47" s="45" t="s">
        <v>140</v>
      </c>
      <c r="D47" s="46">
        <f>All_Tanks_RH!J23</f>
        <v>1</v>
      </c>
      <c r="E47" s="359">
        <f>All_Tanks_RH!I23</f>
        <v>70.33</v>
      </c>
      <c r="F47" s="46" t="s">
        <v>834</v>
      </c>
      <c r="G47" s="46" t="s">
        <v>933</v>
      </c>
      <c r="H47" s="358">
        <f t="shared" si="3"/>
        <v>422.33</v>
      </c>
      <c r="I47" s="274">
        <v>3.5500000000000002E-3</v>
      </c>
      <c r="J47" s="275">
        <v>3.9199999999999999E-4</v>
      </c>
      <c r="K47" s="275">
        <v>2.6700000000000001E-3</v>
      </c>
      <c r="L47" s="275">
        <v>8.77E-3</v>
      </c>
      <c r="M47" s="276">
        <v>4.7300000000000004</v>
      </c>
      <c r="N47" s="281">
        <f t="shared" si="2"/>
        <v>281.6901408450704</v>
      </c>
    </row>
    <row r="48" spans="2:14" s="136" customFormat="1" x14ac:dyDescent="0.25">
      <c r="B48" s="44" t="s">
        <v>852</v>
      </c>
      <c r="C48" s="45" t="s">
        <v>138</v>
      </c>
      <c r="D48" s="46">
        <f>All_Tanks_RH!J24</f>
        <v>0</v>
      </c>
      <c r="E48" s="359">
        <f>All_Tanks_RH!I24</f>
        <v>71.015047879616958</v>
      </c>
      <c r="F48" s="46">
        <v>0.5</v>
      </c>
      <c r="G48" s="46" t="s">
        <v>833</v>
      </c>
      <c r="H48" s="358">
        <f t="shared" si="3"/>
        <v>423.01504787961699</v>
      </c>
      <c r="I48" s="274">
        <v>1.1900000000000001E-3</v>
      </c>
      <c r="J48" s="275">
        <v>3.9299999999999996E-6</v>
      </c>
      <c r="K48" s="275">
        <v>4.8899999999999996E-4</v>
      </c>
      <c r="L48" s="275">
        <v>4.1900000000000001E-3</v>
      </c>
      <c r="M48" s="276">
        <v>32.6</v>
      </c>
      <c r="N48" s="281">
        <f t="shared" si="2"/>
        <v>840.33613445378148</v>
      </c>
    </row>
    <row r="49" spans="2:14" s="136" customFormat="1" x14ac:dyDescent="0.25">
      <c r="B49" s="44" t="s">
        <v>853</v>
      </c>
      <c r="C49" s="45" t="s">
        <v>136</v>
      </c>
      <c r="D49" s="46">
        <f>All_Tanks_RH!J25</f>
        <v>0</v>
      </c>
      <c r="E49" s="359">
        <f>All_Tanks_RH!I25</f>
        <v>33.264021887824896</v>
      </c>
      <c r="F49" s="46">
        <v>0.5</v>
      </c>
      <c r="G49" s="46" t="s">
        <v>934</v>
      </c>
      <c r="H49" s="358">
        <f t="shared" si="3"/>
        <v>385.26402188782492</v>
      </c>
      <c r="I49" s="274">
        <v>1.31E-3</v>
      </c>
      <c r="J49" s="275">
        <v>4.2300000000000002E-6</v>
      </c>
      <c r="K49" s="275">
        <v>5.3799999999999996E-4</v>
      </c>
      <c r="L49" s="275">
        <v>4.6100000000000004E-3</v>
      </c>
      <c r="M49" s="276">
        <v>32.6</v>
      </c>
      <c r="N49" s="281">
        <f t="shared" si="2"/>
        <v>763.35877862595419</v>
      </c>
    </row>
    <row r="50" spans="2:14" ht="15.75" thickBot="1" x14ac:dyDescent="0.3">
      <c r="B50" s="22" t="s">
        <v>854</v>
      </c>
      <c r="C50" s="9" t="s">
        <v>134</v>
      </c>
      <c r="D50" s="26">
        <f>All_Tanks_RH!J26</f>
        <v>0</v>
      </c>
      <c r="E50" s="360">
        <f>All_Tanks_RH!I26</f>
        <v>70.998632010943908</v>
      </c>
      <c r="F50" s="26">
        <v>0.5</v>
      </c>
      <c r="G50" s="26" t="s">
        <v>833</v>
      </c>
      <c r="H50" s="358">
        <f t="shared" si="3"/>
        <v>422.99863201094388</v>
      </c>
      <c r="I50" s="32">
        <v>1.1900000000000001E-3</v>
      </c>
      <c r="J50" s="282">
        <v>3.9300000000000001E-4</v>
      </c>
      <c r="K50" s="282">
        <v>4.8899999999999996E-4</v>
      </c>
      <c r="L50" s="282">
        <v>4.1900000000000001E-3</v>
      </c>
      <c r="M50" s="283">
        <v>32.6</v>
      </c>
      <c r="N50" s="284">
        <f t="shared" si="2"/>
        <v>840.33613445378148</v>
      </c>
    </row>
    <row r="51" spans="2:14" x14ac:dyDescent="0.25">
      <c r="I51" s="122">
        <f>SUM(I32:I50)/19</f>
        <v>2.7021052631578946E-3</v>
      </c>
      <c r="J51" s="122"/>
    </row>
  </sheetData>
  <sheetProtection algorithmName="SHA-512" hashValue="p5hk+bYTNjWVB9hPtJMv1xzqivgyNApTM4M7qCVSKUpOC18LIN3RJiLnB8CyHZmRwIbnmZFQxjmPThq5P7KZAw==" saltValue="o6QAaET1tGvadEFdkD5F6Q==" spinCount="100000" sheet="1" objects="1" scenarios="1"/>
  <mergeCells count="7">
    <mergeCell ref="B29:N29"/>
    <mergeCell ref="B6:N6"/>
    <mergeCell ref="B2:N2"/>
    <mergeCell ref="B12:N12"/>
    <mergeCell ref="B15:N15"/>
    <mergeCell ref="B24:N24"/>
    <mergeCell ref="B19:K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M49"/>
  <sheetViews>
    <sheetView zoomScale="85" zoomScaleNormal="85" workbookViewId="0"/>
  </sheetViews>
  <sheetFormatPr defaultRowHeight="15" x14ac:dyDescent="0.25"/>
  <cols>
    <col min="2" max="2" width="15.85546875" customWidth="1"/>
    <col min="3" max="3" width="26.7109375" customWidth="1"/>
    <col min="4" max="4" width="10.140625" customWidth="1"/>
    <col min="5" max="5" width="10.5703125" customWidth="1"/>
    <col min="8" max="8" width="14.140625" customWidth="1"/>
    <col min="9" max="9" width="9.28515625" customWidth="1"/>
    <col min="11" max="11" width="16.85546875" customWidth="1"/>
    <col min="12" max="12" width="12.28515625" customWidth="1"/>
    <col min="13" max="13" width="32.7109375" customWidth="1"/>
  </cols>
  <sheetData>
    <row r="1" spans="2:4" ht="15.75" thickBot="1" x14ac:dyDescent="0.3"/>
    <row r="2" spans="2:4" x14ac:dyDescent="0.25">
      <c r="B2" s="301"/>
      <c r="C2" s="12" t="s">
        <v>861</v>
      </c>
      <c r="D2" s="331" t="s">
        <v>862</v>
      </c>
    </row>
    <row r="3" spans="2:4" x14ac:dyDescent="0.25">
      <c r="B3" s="20" t="s">
        <v>120</v>
      </c>
      <c r="C3" s="29">
        <v>1.9999999999999999E-6</v>
      </c>
      <c r="D3" s="124">
        <v>1.17E-3</v>
      </c>
    </row>
    <row r="4" spans="2:4" x14ac:dyDescent="0.25">
      <c r="B4" s="20" t="s">
        <v>863</v>
      </c>
      <c r="C4" s="6">
        <v>2</v>
      </c>
      <c r="D4" s="309">
        <v>10</v>
      </c>
    </row>
    <row r="5" spans="2:4" ht="15.75" thickBot="1" x14ac:dyDescent="0.3">
      <c r="B5" s="22" t="s">
        <v>864</v>
      </c>
      <c r="C5" s="32">
        <v>1.0000000000000001E-5</v>
      </c>
      <c r="D5" s="125">
        <v>0.1</v>
      </c>
    </row>
    <row r="6" spans="2:4" ht="15.75" thickBot="1" x14ac:dyDescent="0.3">
      <c r="B6" s="298"/>
      <c r="C6" s="299"/>
      <c r="D6" s="300"/>
    </row>
    <row r="7" spans="2:4" x14ac:dyDescent="0.25">
      <c r="B7" s="418" t="s">
        <v>865</v>
      </c>
      <c r="C7" s="419"/>
      <c r="D7" s="420"/>
    </row>
    <row r="8" spans="2:4" x14ac:dyDescent="0.25">
      <c r="B8" s="14" t="s">
        <v>866</v>
      </c>
      <c r="C8" s="310" t="s">
        <v>522</v>
      </c>
      <c r="D8" s="362" t="s">
        <v>82</v>
      </c>
    </row>
    <row r="9" spans="2:4" x14ac:dyDescent="0.25">
      <c r="B9" s="20" t="s">
        <v>181</v>
      </c>
      <c r="C9" s="6">
        <v>0</v>
      </c>
      <c r="D9" s="309">
        <v>100</v>
      </c>
    </row>
    <row r="10" spans="2:4" x14ac:dyDescent="0.25">
      <c r="B10" s="20" t="s">
        <v>219</v>
      </c>
      <c r="C10" s="6">
        <v>0</v>
      </c>
      <c r="D10" s="309">
        <v>128</v>
      </c>
    </row>
    <row r="11" spans="2:4" x14ac:dyDescent="0.25">
      <c r="B11" s="20" t="s">
        <v>235</v>
      </c>
      <c r="C11" s="6">
        <v>1</v>
      </c>
      <c r="D11" s="309">
        <v>229</v>
      </c>
    </row>
    <row r="12" spans="2:4" x14ac:dyDescent="0.25">
      <c r="B12" s="20" t="s">
        <v>256</v>
      </c>
      <c r="C12" s="6">
        <v>6</v>
      </c>
      <c r="D12" s="309">
        <v>998</v>
      </c>
    </row>
    <row r="13" spans="2:4" x14ac:dyDescent="0.25">
      <c r="B13" s="20" t="s">
        <v>337</v>
      </c>
      <c r="C13" s="6">
        <v>1</v>
      </c>
      <c r="D13" s="309">
        <v>1658</v>
      </c>
    </row>
    <row r="14" spans="2:4" x14ac:dyDescent="0.25">
      <c r="B14" s="20" t="s">
        <v>402</v>
      </c>
      <c r="C14" s="6">
        <v>0</v>
      </c>
      <c r="D14" s="309">
        <v>2530</v>
      </c>
    </row>
    <row r="15" spans="2:4" x14ac:dyDescent="0.25">
      <c r="B15" s="20" t="s">
        <v>418</v>
      </c>
      <c r="C15" s="6">
        <v>0</v>
      </c>
      <c r="D15" s="309">
        <v>748</v>
      </c>
    </row>
    <row r="16" spans="2:4" ht="15.75" thickBot="1" x14ac:dyDescent="0.3">
      <c r="B16" s="22" t="s">
        <v>447</v>
      </c>
      <c r="C16" s="23">
        <v>2</v>
      </c>
      <c r="D16" s="297">
        <v>659</v>
      </c>
    </row>
    <row r="17" spans="2:13" s="327" customFormat="1" x14ac:dyDescent="0.25">
      <c r="B17" s="55"/>
      <c r="C17" s="47">
        <f>SUM(C9:C16)</f>
        <v>10</v>
      </c>
      <c r="D17" s="47">
        <f>SUM(D9:D16)</f>
        <v>7050</v>
      </c>
    </row>
    <row r="18" spans="2:13" ht="15.75" thickBot="1" x14ac:dyDescent="0.3"/>
    <row r="19" spans="2:13" ht="16.5" customHeight="1" x14ac:dyDescent="0.25">
      <c r="B19" s="296" t="s">
        <v>118</v>
      </c>
      <c r="C19" s="12" t="s">
        <v>119</v>
      </c>
      <c r="D19" s="269" t="s">
        <v>799</v>
      </c>
      <c r="E19" s="269" t="s">
        <v>114</v>
      </c>
      <c r="F19" s="269" t="s">
        <v>120</v>
      </c>
      <c r="G19" s="269" t="s">
        <v>115</v>
      </c>
      <c r="H19" s="270" t="s">
        <v>116</v>
      </c>
      <c r="I19" s="79"/>
    </row>
    <row r="20" spans="2:13" ht="15.75" thickBot="1" x14ac:dyDescent="0.3">
      <c r="B20" s="22" t="s">
        <v>867</v>
      </c>
      <c r="C20" s="24" t="s">
        <v>868</v>
      </c>
      <c r="D20" s="32">
        <v>1.4300000000000001E-3</v>
      </c>
      <c r="E20" s="32">
        <v>3.8099999999999999E-6</v>
      </c>
      <c r="F20" s="32">
        <v>2.26E-5</v>
      </c>
      <c r="G20" s="32">
        <v>4.5799999999999999E-3</v>
      </c>
      <c r="H20" s="297">
        <v>34.6</v>
      </c>
      <c r="I20" s="80"/>
    </row>
    <row r="21" spans="2:13" ht="15.75" thickBot="1" x14ac:dyDescent="0.3"/>
    <row r="22" spans="2:13" ht="15.75" thickBot="1" x14ac:dyDescent="0.3">
      <c r="B22" s="421" t="s">
        <v>969</v>
      </c>
      <c r="C22" s="422"/>
      <c r="D22" s="422"/>
      <c r="E22" s="422"/>
      <c r="F22" s="422"/>
      <c r="G22" s="422"/>
      <c r="H22" s="422"/>
      <c r="I22" s="422"/>
      <c r="J22" s="422"/>
      <c r="K22" s="423"/>
      <c r="L22" s="78"/>
      <c r="M22" s="78"/>
    </row>
    <row r="23" spans="2:13" ht="26.25" customHeight="1" x14ac:dyDescent="0.25">
      <c r="B23" s="291" t="s">
        <v>118</v>
      </c>
      <c r="C23" s="292" t="s">
        <v>119</v>
      </c>
      <c r="D23" s="272" t="s">
        <v>522</v>
      </c>
      <c r="E23" s="279" t="s">
        <v>495</v>
      </c>
      <c r="F23" s="272" t="s">
        <v>799</v>
      </c>
      <c r="G23" s="272" t="s">
        <v>114</v>
      </c>
      <c r="H23" s="272" t="s">
        <v>120</v>
      </c>
      <c r="I23" s="272" t="s">
        <v>115</v>
      </c>
      <c r="J23" s="279" t="s">
        <v>889</v>
      </c>
      <c r="K23" s="312" t="s">
        <v>818</v>
      </c>
    </row>
    <row r="24" spans="2:13" ht="15.75" thickBot="1" x14ac:dyDescent="0.3">
      <c r="B24" s="22" t="s">
        <v>953</v>
      </c>
      <c r="C24" s="24" t="s">
        <v>955</v>
      </c>
      <c r="D24" s="382">
        <f>All_Tanks_RH!J27</f>
        <v>18</v>
      </c>
      <c r="E24" s="364">
        <f>All_Tanks_RH!I27</f>
        <v>1315.6498768809849</v>
      </c>
      <c r="F24" s="367">
        <v>1.24E-2</v>
      </c>
      <c r="G24" s="32">
        <v>6.7799999999999996E-3</v>
      </c>
      <c r="H24" s="32">
        <v>1.11E-2</v>
      </c>
      <c r="I24" s="32">
        <v>1.67E-2</v>
      </c>
      <c r="J24" s="23">
        <v>1.57</v>
      </c>
      <c r="K24" s="284">
        <f t="shared" ref="K24" si="0">1/F24</f>
        <v>80.645161290322577</v>
      </c>
    </row>
    <row r="25" spans="2:13" x14ac:dyDescent="0.25">
      <c r="F25" s="122">
        <f>F24/20</f>
        <v>6.2E-4</v>
      </c>
    </row>
    <row r="26" spans="2:13" ht="15.75" thickBot="1" x14ac:dyDescent="0.3"/>
    <row r="27" spans="2:13" ht="15.75" thickBot="1" x14ac:dyDescent="0.3">
      <c r="B27" s="424" t="s">
        <v>937</v>
      </c>
      <c r="C27" s="425"/>
      <c r="D27" s="425"/>
      <c r="E27" s="425"/>
      <c r="F27" s="425"/>
      <c r="G27" s="425"/>
      <c r="H27" s="425"/>
      <c r="I27" s="425"/>
      <c r="J27" s="425"/>
      <c r="K27" s="426"/>
      <c r="L27" s="78"/>
      <c r="M27" s="78"/>
    </row>
    <row r="28" spans="2:13" ht="33" customHeight="1" thickBot="1" x14ac:dyDescent="0.3">
      <c r="B28" s="304" t="s">
        <v>118</v>
      </c>
      <c r="C28" s="305" t="s">
        <v>121</v>
      </c>
      <c r="D28" s="306" t="s">
        <v>522</v>
      </c>
      <c r="E28" s="307" t="s">
        <v>495</v>
      </c>
      <c r="F28" s="306" t="s">
        <v>799</v>
      </c>
      <c r="G28" s="307" t="s">
        <v>114</v>
      </c>
      <c r="H28" s="307" t="s">
        <v>120</v>
      </c>
      <c r="I28" s="307" t="s">
        <v>115</v>
      </c>
      <c r="J28" s="307" t="s">
        <v>116</v>
      </c>
      <c r="K28" s="308" t="s">
        <v>818</v>
      </c>
    </row>
    <row r="29" spans="2:13" x14ac:dyDescent="0.25">
      <c r="B29" s="7" t="s">
        <v>869</v>
      </c>
      <c r="C29" s="238" t="s">
        <v>125</v>
      </c>
      <c r="D29" s="249">
        <f>All_Tanks_RH!J7</f>
        <v>6</v>
      </c>
      <c r="E29" s="361">
        <f>All_Tanks_RH!I7</f>
        <v>45.374829001367985</v>
      </c>
      <c r="F29" s="241">
        <v>7.6100000000000001E-2</v>
      </c>
      <c r="G29" s="242">
        <v>2.5999999999999999E-2</v>
      </c>
      <c r="H29" s="242">
        <v>7.1300000000000002E-2</v>
      </c>
      <c r="I29" s="242">
        <v>0.107</v>
      </c>
      <c r="J29" s="302">
        <v>2.0099999999999998</v>
      </c>
      <c r="K29" s="303">
        <f t="shared" ref="K29:K48" si="1">1/F29</f>
        <v>13.140604467805518</v>
      </c>
    </row>
    <row r="30" spans="2:13" x14ac:dyDescent="0.25">
      <c r="B30" s="20" t="s">
        <v>870</v>
      </c>
      <c r="C30" s="5" t="s">
        <v>127</v>
      </c>
      <c r="D30" s="383">
        <f>All_Tanks_RH!J8</f>
        <v>2</v>
      </c>
      <c r="E30" s="358">
        <f>All_Tanks_RH!I8</f>
        <v>68.742818057455537</v>
      </c>
      <c r="F30" s="29">
        <v>9.5999999999999992E-3</v>
      </c>
      <c r="G30" s="30">
        <v>1.2E-4</v>
      </c>
      <c r="H30" s="30">
        <v>5.7400000000000003E-3</v>
      </c>
      <c r="I30" s="30">
        <v>2.63E-2</v>
      </c>
      <c r="J30" s="83">
        <v>14.8</v>
      </c>
      <c r="K30" s="280">
        <f t="shared" si="1"/>
        <v>104.16666666666667</v>
      </c>
    </row>
    <row r="31" spans="2:13" x14ac:dyDescent="0.25">
      <c r="B31" s="20" t="s">
        <v>871</v>
      </c>
      <c r="C31" s="5" t="s">
        <v>129</v>
      </c>
      <c r="D31" s="27">
        <f>All_Tanks_RH!J9</f>
        <v>1</v>
      </c>
      <c r="E31" s="358">
        <f>All_Tanks_RH!I9</f>
        <v>71.718194254445962</v>
      </c>
      <c r="F31" s="29">
        <v>4.3400000000000001E-3</v>
      </c>
      <c r="G31" s="30">
        <v>2.02E-5</v>
      </c>
      <c r="H31" s="30">
        <v>1.49E-3</v>
      </c>
      <c r="I31" s="30">
        <v>1.21E-2</v>
      </c>
      <c r="J31" s="83">
        <v>24.5</v>
      </c>
      <c r="K31" s="280">
        <f t="shared" si="1"/>
        <v>230.41474654377879</v>
      </c>
    </row>
    <row r="32" spans="2:13" ht="13.5" customHeight="1" x14ac:dyDescent="0.25">
      <c r="B32" s="20" t="s">
        <v>872</v>
      </c>
      <c r="C32" s="5" t="s">
        <v>131</v>
      </c>
      <c r="D32" s="27">
        <f>All_Tanks_RH!J10</f>
        <v>0</v>
      </c>
      <c r="E32" s="358">
        <f>All_Tanks_RH!I10</f>
        <v>71.975376196990425</v>
      </c>
      <c r="F32" s="29">
        <v>1.0300000000000001E-3</v>
      </c>
      <c r="G32" s="30">
        <v>3.76E-6</v>
      </c>
      <c r="H32" s="30">
        <v>1.9400000000000001E-5</v>
      </c>
      <c r="I32" s="30">
        <v>3.0799999999999998E-3</v>
      </c>
      <c r="J32" s="83">
        <v>28.6</v>
      </c>
      <c r="K32" s="280">
        <f t="shared" si="1"/>
        <v>970.87378640776694</v>
      </c>
    </row>
    <row r="33" spans="2:11" x14ac:dyDescent="0.25">
      <c r="B33" s="20" t="s">
        <v>873</v>
      </c>
      <c r="C33" s="5" t="s">
        <v>163</v>
      </c>
      <c r="D33" s="383">
        <f>All_Tanks_RH!J11</f>
        <v>1</v>
      </c>
      <c r="E33" s="358">
        <f>All_Tanks_RH!I11</f>
        <v>64.593707250341993</v>
      </c>
      <c r="F33" s="29">
        <v>4.5100000000000001E-3</v>
      </c>
      <c r="G33" s="30">
        <v>2.1399999999999998E-5</v>
      </c>
      <c r="H33" s="30">
        <v>1.6299999999999999E-3</v>
      </c>
      <c r="I33" s="30">
        <v>1.2699999999999999E-2</v>
      </c>
      <c r="J33" s="83">
        <v>24.2</v>
      </c>
      <c r="K33" s="280">
        <f t="shared" si="1"/>
        <v>221.72949002217294</v>
      </c>
    </row>
    <row r="34" spans="2:11" x14ac:dyDescent="0.25">
      <c r="B34" s="20" t="s">
        <v>874</v>
      </c>
      <c r="C34" s="5" t="s">
        <v>161</v>
      </c>
      <c r="D34" s="46">
        <f>All_Tanks_RH!J12</f>
        <v>1</v>
      </c>
      <c r="E34" s="359">
        <f>All_Tanks_RH!I12</f>
        <v>64.153214774281807</v>
      </c>
      <c r="F34" s="273">
        <v>4.5199999999999997E-3</v>
      </c>
      <c r="G34" s="30">
        <v>2.1500000000000001E-5</v>
      </c>
      <c r="H34" s="30">
        <v>1.64E-3</v>
      </c>
      <c r="I34" s="30">
        <v>1.2800000000000001E-2</v>
      </c>
      <c r="J34" s="83">
        <v>24.4</v>
      </c>
      <c r="K34" s="280">
        <f t="shared" si="1"/>
        <v>221.23893805309737</v>
      </c>
    </row>
    <row r="35" spans="2:11" x14ac:dyDescent="0.25">
      <c r="B35" s="20" t="s">
        <v>875</v>
      </c>
      <c r="C35" s="5" t="s">
        <v>164</v>
      </c>
      <c r="D35" s="27">
        <f>All_Tanks_RH!J13</f>
        <v>0</v>
      </c>
      <c r="E35" s="358">
        <f>All_Tanks_RH!I13</f>
        <v>69.42681258549932</v>
      </c>
      <c r="F35" s="273">
        <v>1.0399999999999999E-3</v>
      </c>
      <c r="G35" s="30">
        <v>3.76E-6</v>
      </c>
      <c r="H35" s="30">
        <v>1.95E-5</v>
      </c>
      <c r="I35" s="30">
        <v>3.1199999999999999E-3</v>
      </c>
      <c r="J35" s="83">
        <v>28.8</v>
      </c>
      <c r="K35" s="280">
        <f t="shared" si="1"/>
        <v>961.53846153846166</v>
      </c>
    </row>
    <row r="36" spans="2:11" x14ac:dyDescent="0.25">
      <c r="B36" s="20" t="s">
        <v>876</v>
      </c>
      <c r="C36" s="5" t="s">
        <v>158</v>
      </c>
      <c r="D36" s="27">
        <f>All_Tanks_RH!J14</f>
        <v>0</v>
      </c>
      <c r="E36" s="358">
        <f>All_Tanks_RH!I14</f>
        <v>70.625170998632015</v>
      </c>
      <c r="F36" s="273">
        <v>1.0300000000000001E-3</v>
      </c>
      <c r="G36" s="30">
        <v>3.76E-6</v>
      </c>
      <c r="H36" s="30">
        <v>1.95E-5</v>
      </c>
      <c r="I36" s="30">
        <v>3.0999999999999999E-3</v>
      </c>
      <c r="J36" s="83">
        <v>28.7</v>
      </c>
      <c r="K36" s="280">
        <f t="shared" si="1"/>
        <v>970.87378640776694</v>
      </c>
    </row>
    <row r="37" spans="2:11" x14ac:dyDescent="0.25">
      <c r="B37" s="20" t="s">
        <v>877</v>
      </c>
      <c r="C37" s="5" t="s">
        <v>156</v>
      </c>
      <c r="D37" s="27">
        <f>All_Tanks_RH!J15</f>
        <v>1</v>
      </c>
      <c r="E37" s="358">
        <f>All_Tanks_RH!I15</f>
        <v>70.945280437756495</v>
      </c>
      <c r="F37" s="29">
        <v>4.3600000000000002E-3</v>
      </c>
      <c r="G37" s="30">
        <v>2.0299999999999999E-5</v>
      </c>
      <c r="H37" s="30">
        <v>1.5E-3</v>
      </c>
      <c r="I37" s="30">
        <v>1.21E-2</v>
      </c>
      <c r="J37" s="83">
        <v>24.5</v>
      </c>
      <c r="K37" s="280">
        <f t="shared" si="1"/>
        <v>229.35779816513761</v>
      </c>
    </row>
    <row r="38" spans="2:11" x14ac:dyDescent="0.25">
      <c r="B38" s="20" t="s">
        <v>878</v>
      </c>
      <c r="C38" s="5" t="s">
        <v>154</v>
      </c>
      <c r="D38" s="46">
        <f>All_Tanks_RH!J16</f>
        <v>1</v>
      </c>
      <c r="E38" s="358">
        <f>All_Tanks_RH!I16</f>
        <v>64.797537619699042</v>
      </c>
      <c r="F38" s="29">
        <v>4.4999999999999997E-3</v>
      </c>
      <c r="G38" s="30">
        <v>2.1299999999999999E-5</v>
      </c>
      <c r="H38" s="30">
        <v>1.6199999999999999E-3</v>
      </c>
      <c r="I38" s="30">
        <v>1.2699999999999999E-2</v>
      </c>
      <c r="J38" s="83">
        <v>24.4</v>
      </c>
      <c r="K38" s="280">
        <f t="shared" si="1"/>
        <v>222.22222222222223</v>
      </c>
    </row>
    <row r="39" spans="2:11" x14ac:dyDescent="0.25">
      <c r="B39" s="20" t="s">
        <v>879</v>
      </c>
      <c r="C39" s="5" t="s">
        <v>152</v>
      </c>
      <c r="D39" s="27">
        <f>All_Tanks_RH!J17</f>
        <v>1</v>
      </c>
      <c r="E39" s="358">
        <f>All_Tanks_RH!I17</f>
        <v>71.099863201094394</v>
      </c>
      <c r="F39" s="29">
        <v>4.3600000000000002E-3</v>
      </c>
      <c r="G39" s="30">
        <v>2.0299999999999999E-5</v>
      </c>
      <c r="H39" s="30">
        <v>1.5E-3</v>
      </c>
      <c r="I39" s="30">
        <v>1.21E-2</v>
      </c>
      <c r="J39" s="83">
        <v>24.5</v>
      </c>
      <c r="K39" s="280">
        <f t="shared" si="1"/>
        <v>229.35779816513761</v>
      </c>
    </row>
    <row r="40" spans="2:11" x14ac:dyDescent="0.25">
      <c r="B40" s="44" t="s">
        <v>880</v>
      </c>
      <c r="C40" s="45" t="s">
        <v>150</v>
      </c>
      <c r="D40" s="46">
        <f>All_Tanks_RH!J18</f>
        <v>0</v>
      </c>
      <c r="E40" s="359">
        <f>All_Tanks_RH!I18</f>
        <v>64.470588235294116</v>
      </c>
      <c r="F40" s="274">
        <v>1.0499999999999999E-3</v>
      </c>
      <c r="G40" s="275">
        <v>3.76E-6</v>
      </c>
      <c r="H40" s="275">
        <v>1.9700000000000001E-5</v>
      </c>
      <c r="I40" s="275">
        <v>3.1900000000000001E-3</v>
      </c>
      <c r="J40" s="276">
        <v>29.1</v>
      </c>
      <c r="K40" s="281">
        <f t="shared" si="1"/>
        <v>952.38095238095241</v>
      </c>
    </row>
    <row r="41" spans="2:11" x14ac:dyDescent="0.25">
      <c r="B41" s="44" t="s">
        <v>881</v>
      </c>
      <c r="C41" s="45" t="s">
        <v>148</v>
      </c>
      <c r="D41" s="46">
        <f>All_Tanks_RH!J19</f>
        <v>1</v>
      </c>
      <c r="E41" s="358">
        <f>All_Tanks_RH!I19</f>
        <v>65.010000000000005</v>
      </c>
      <c r="F41" s="277">
        <v>4.47E-3</v>
      </c>
      <c r="G41" s="275">
        <v>2.1100000000000001E-5</v>
      </c>
      <c r="H41" s="275">
        <v>1.6000000000000001E-3</v>
      </c>
      <c r="I41" s="275">
        <v>1.26E-2</v>
      </c>
      <c r="J41" s="276">
        <v>24.4</v>
      </c>
      <c r="K41" s="281">
        <f t="shared" si="1"/>
        <v>223.71364653243847</v>
      </c>
    </row>
    <row r="42" spans="2:11" x14ac:dyDescent="0.25">
      <c r="B42" s="44" t="s">
        <v>882</v>
      </c>
      <c r="C42" s="45" t="s">
        <v>146</v>
      </c>
      <c r="D42" s="46">
        <f>All_Tanks_RH!J20</f>
        <v>1</v>
      </c>
      <c r="E42" s="358">
        <f>All_Tanks_RH!I20</f>
        <v>70.92</v>
      </c>
      <c r="F42" s="29">
        <v>4.3400000000000001E-3</v>
      </c>
      <c r="G42" s="30">
        <v>2.0100000000000001E-5</v>
      </c>
      <c r="H42" s="30">
        <v>1.49E-3</v>
      </c>
      <c r="I42" s="30">
        <v>1.21E-2</v>
      </c>
      <c r="J42" s="83">
        <v>24.5</v>
      </c>
      <c r="K42" s="281">
        <f t="shared" si="1"/>
        <v>230.41474654377879</v>
      </c>
    </row>
    <row r="43" spans="2:11" x14ac:dyDescent="0.25">
      <c r="B43" s="44" t="s">
        <v>883</v>
      </c>
      <c r="C43" s="45" t="s">
        <v>144</v>
      </c>
      <c r="D43" s="46">
        <f>All_Tanks_RH!J21</f>
        <v>0</v>
      </c>
      <c r="E43" s="359">
        <f>All_Tanks_RH!I21</f>
        <v>67.79343365253078</v>
      </c>
      <c r="F43" s="274">
        <v>1.0399999999999999E-3</v>
      </c>
      <c r="G43" s="275">
        <v>3.76E-6</v>
      </c>
      <c r="H43" s="275">
        <v>1.9599999999999999E-5</v>
      </c>
      <c r="I43" s="275">
        <v>3.14E-3</v>
      </c>
      <c r="J43" s="276">
        <v>28.9</v>
      </c>
      <c r="K43" s="281">
        <f t="shared" si="1"/>
        <v>961.53846153846166</v>
      </c>
    </row>
    <row r="44" spans="2:11" x14ac:dyDescent="0.25">
      <c r="B44" s="44" t="s">
        <v>884</v>
      </c>
      <c r="C44" s="45" t="s">
        <v>142</v>
      </c>
      <c r="D44" s="46">
        <f>All_Tanks_RH!J22</f>
        <v>1</v>
      </c>
      <c r="E44" s="358">
        <f>All_Tanks_RH!I22</f>
        <v>68.395348837209298</v>
      </c>
      <c r="F44" s="274">
        <v>4.4200000000000003E-3</v>
      </c>
      <c r="G44" s="275">
        <v>2.0699999999999998E-5</v>
      </c>
      <c r="H44" s="275">
        <v>1.5499999999999999E-3</v>
      </c>
      <c r="I44" s="275">
        <v>1.24E-2</v>
      </c>
      <c r="J44" s="276">
        <v>24.4</v>
      </c>
      <c r="K44" s="281">
        <f t="shared" si="1"/>
        <v>226.24434389140271</v>
      </c>
    </row>
    <row r="45" spans="2:11" x14ac:dyDescent="0.25">
      <c r="B45" s="44" t="s">
        <v>885</v>
      </c>
      <c r="C45" s="45" t="s">
        <v>140</v>
      </c>
      <c r="D45" s="46">
        <f>All_Tanks_RH!J23</f>
        <v>1</v>
      </c>
      <c r="E45" s="358">
        <f>All_Tanks_RH!I23</f>
        <v>70.33</v>
      </c>
      <c r="F45" s="274">
        <v>4.3499999999999997E-3</v>
      </c>
      <c r="G45" s="275">
        <v>2.02E-5</v>
      </c>
      <c r="H45" s="275">
        <v>1.5E-3</v>
      </c>
      <c r="I45" s="275">
        <v>1.21E-2</v>
      </c>
      <c r="J45" s="276">
        <v>24.5</v>
      </c>
      <c r="K45" s="281">
        <f t="shared" si="1"/>
        <v>229.88505747126439</v>
      </c>
    </row>
    <row r="46" spans="2:11" x14ac:dyDescent="0.25">
      <c r="B46" s="44" t="s">
        <v>886</v>
      </c>
      <c r="C46" s="45" t="s">
        <v>138</v>
      </c>
      <c r="D46" s="46">
        <f>All_Tanks_RH!J24</f>
        <v>0</v>
      </c>
      <c r="E46" s="358">
        <f>All_Tanks_RH!I24</f>
        <v>71.015047879616958</v>
      </c>
      <c r="F46" s="274">
        <v>1.0300000000000001E-3</v>
      </c>
      <c r="G46" s="275">
        <v>3.76E-6</v>
      </c>
      <c r="H46" s="275">
        <v>1.95E-5</v>
      </c>
      <c r="I46" s="275">
        <v>3.0899999999999999E-3</v>
      </c>
      <c r="J46" s="276">
        <v>28.7</v>
      </c>
      <c r="K46" s="281">
        <f t="shared" si="1"/>
        <v>970.87378640776694</v>
      </c>
    </row>
    <row r="47" spans="2:11" x14ac:dyDescent="0.25">
      <c r="B47" s="44" t="s">
        <v>887</v>
      </c>
      <c r="C47" s="45" t="s">
        <v>136</v>
      </c>
      <c r="D47" s="46">
        <f>All_Tanks_RH!J25</f>
        <v>0</v>
      </c>
      <c r="E47" s="358">
        <f>All_Tanks_RH!I25</f>
        <v>33.264021887824896</v>
      </c>
      <c r="F47" s="274">
        <v>1.1900000000000001E-3</v>
      </c>
      <c r="G47" s="275">
        <v>3.7799999999999998E-6</v>
      </c>
      <c r="H47" s="275">
        <v>2.09E-5</v>
      </c>
      <c r="I47" s="275">
        <v>3.7100000000000002E-3</v>
      </c>
      <c r="J47" s="276">
        <v>31.3</v>
      </c>
      <c r="K47" s="281">
        <f t="shared" si="1"/>
        <v>840.33613445378148</v>
      </c>
    </row>
    <row r="48" spans="2:11" ht="15.75" thickBot="1" x14ac:dyDescent="0.3">
      <c r="B48" s="22" t="s">
        <v>888</v>
      </c>
      <c r="C48" s="9" t="s">
        <v>134</v>
      </c>
      <c r="D48" s="26">
        <f>All_Tanks_RH!J26</f>
        <v>0</v>
      </c>
      <c r="E48" s="360">
        <f>All_Tanks_RH!I26</f>
        <v>70.998632010943908</v>
      </c>
      <c r="F48" s="32">
        <v>1.0300000000000001E-3</v>
      </c>
      <c r="G48" s="282">
        <v>3.76E-6</v>
      </c>
      <c r="H48" s="282">
        <v>1.95E-5</v>
      </c>
      <c r="I48" s="282">
        <v>3.0899999999999999E-3</v>
      </c>
      <c r="J48" s="283">
        <v>28.7</v>
      </c>
      <c r="K48" s="284">
        <f t="shared" si="1"/>
        <v>970.87378640776694</v>
      </c>
    </row>
    <row r="49" spans="6:6" x14ac:dyDescent="0.25">
      <c r="F49" s="122">
        <f>SUM(F29:F48)/20</f>
        <v>6.9155000000000006E-3</v>
      </c>
    </row>
  </sheetData>
  <sheetProtection algorithmName="SHA-512" hashValue="Zms0PU8FHC6rFmabYf/sRTzPri1WzybIVSQc0UdlNIMMgbHE7KWz16SLxexWvREKkDmiFTZtn+PALjcteAjoHA==" saltValue="lbiUPazHOWFGR8VhGj1JwA==" spinCount="100000" sheet="1" objects="1" scenarios="1"/>
  <mergeCells count="3">
    <mergeCell ref="B7:D7"/>
    <mergeCell ref="B27:K27"/>
    <mergeCell ref="B22:K2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49"/>
  <sheetViews>
    <sheetView zoomScale="85" zoomScaleNormal="85" workbookViewId="0"/>
  </sheetViews>
  <sheetFormatPr defaultRowHeight="15" x14ac:dyDescent="0.25"/>
  <cols>
    <col min="1" max="1" width="9.140625" style="327"/>
    <col min="2" max="2" width="15.85546875" style="327" customWidth="1"/>
    <col min="3" max="3" width="26.7109375" style="327" customWidth="1"/>
    <col min="4" max="4" width="10.140625" style="327" customWidth="1"/>
    <col min="5" max="5" width="10.5703125" style="327" customWidth="1"/>
    <col min="6" max="7" width="9.140625" style="327"/>
    <col min="8" max="8" width="14.140625" style="327" customWidth="1"/>
    <col min="9" max="9" width="9.28515625" style="327" customWidth="1"/>
    <col min="10" max="10" width="9.140625" style="327"/>
    <col min="11" max="11" width="16.85546875" style="327" customWidth="1"/>
    <col min="12" max="12" width="12.28515625" style="327" customWidth="1"/>
    <col min="13" max="13" width="32.7109375" style="327" customWidth="1"/>
    <col min="14" max="16384" width="9.140625" style="327"/>
  </cols>
  <sheetData>
    <row r="1" spans="2:4" ht="15.75" thickBot="1" x14ac:dyDescent="0.3"/>
    <row r="2" spans="2:4" x14ac:dyDescent="0.25">
      <c r="B2" s="301"/>
      <c r="C2" s="12" t="s">
        <v>861</v>
      </c>
      <c r="D2" s="331" t="s">
        <v>862</v>
      </c>
    </row>
    <row r="3" spans="2:4" x14ac:dyDescent="0.25">
      <c r="B3" s="20" t="s">
        <v>120</v>
      </c>
      <c r="C3" s="29">
        <v>2.0000000000000002E-5</v>
      </c>
      <c r="D3" s="124">
        <v>4.0000000000000003E-5</v>
      </c>
    </row>
    <row r="4" spans="2:4" x14ac:dyDescent="0.25">
      <c r="B4" s="20" t="s">
        <v>863</v>
      </c>
      <c r="C4" s="6">
        <v>15</v>
      </c>
      <c r="D4" s="330">
        <v>40</v>
      </c>
    </row>
    <row r="5" spans="2:4" ht="15.75" thickBot="1" x14ac:dyDescent="0.3">
      <c r="B5" s="22" t="s">
        <v>864</v>
      </c>
      <c r="C5" s="32">
        <v>1.9999999999999999E-6</v>
      </c>
      <c r="D5" s="125">
        <v>1E-4</v>
      </c>
    </row>
    <row r="6" spans="2:4" ht="15.75" thickBot="1" x14ac:dyDescent="0.3">
      <c r="B6" s="298"/>
      <c r="C6" s="299"/>
      <c r="D6" s="300"/>
    </row>
    <row r="7" spans="2:4" x14ac:dyDescent="0.25">
      <c r="B7" s="418" t="s">
        <v>865</v>
      </c>
      <c r="C7" s="419"/>
      <c r="D7" s="420"/>
    </row>
    <row r="8" spans="2:4" x14ac:dyDescent="0.25">
      <c r="B8" s="14" t="s">
        <v>866</v>
      </c>
      <c r="C8" s="310" t="s">
        <v>522</v>
      </c>
      <c r="D8" s="362" t="s">
        <v>82</v>
      </c>
    </row>
    <row r="9" spans="2:4" x14ac:dyDescent="0.25">
      <c r="B9" s="20" t="s">
        <v>181</v>
      </c>
      <c r="C9" s="6">
        <v>0</v>
      </c>
      <c r="D9" s="330">
        <v>100</v>
      </c>
    </row>
    <row r="10" spans="2:4" x14ac:dyDescent="0.25">
      <c r="B10" s="20" t="s">
        <v>219</v>
      </c>
      <c r="C10" s="6">
        <v>0</v>
      </c>
      <c r="D10" s="330">
        <v>128</v>
      </c>
    </row>
    <row r="11" spans="2:4" x14ac:dyDescent="0.25">
      <c r="B11" s="20" t="s">
        <v>235</v>
      </c>
      <c r="C11" s="6">
        <v>0</v>
      </c>
      <c r="D11" s="330">
        <v>229</v>
      </c>
    </row>
    <row r="12" spans="2:4" x14ac:dyDescent="0.25">
      <c r="B12" s="20" t="s">
        <v>256</v>
      </c>
      <c r="C12" s="6">
        <v>0</v>
      </c>
      <c r="D12" s="330">
        <v>998</v>
      </c>
    </row>
    <row r="13" spans="2:4" x14ac:dyDescent="0.25">
      <c r="B13" s="20" t="s">
        <v>337</v>
      </c>
      <c r="C13" s="6">
        <v>0</v>
      </c>
      <c r="D13" s="330">
        <v>1658</v>
      </c>
    </row>
    <row r="14" spans="2:4" x14ac:dyDescent="0.25">
      <c r="B14" s="20" t="s">
        <v>402</v>
      </c>
      <c r="C14" s="6">
        <v>0</v>
      </c>
      <c r="D14" s="330">
        <v>2530</v>
      </c>
    </row>
    <row r="15" spans="2:4" x14ac:dyDescent="0.25">
      <c r="B15" s="20" t="s">
        <v>418</v>
      </c>
      <c r="C15" s="6">
        <v>0</v>
      </c>
      <c r="D15" s="330">
        <v>748</v>
      </c>
    </row>
    <row r="16" spans="2:4" ht="15.75" thickBot="1" x14ac:dyDescent="0.3">
      <c r="B16" s="22" t="s">
        <v>447</v>
      </c>
      <c r="C16" s="23">
        <v>0</v>
      </c>
      <c r="D16" s="297">
        <v>659</v>
      </c>
    </row>
    <row r="17" spans="2:13" x14ac:dyDescent="0.25">
      <c r="B17" s="55"/>
      <c r="C17" s="47"/>
      <c r="D17" s="47">
        <f>SUM(D9:D16)</f>
        <v>7050</v>
      </c>
    </row>
    <row r="18" spans="2:13" ht="15.75" thickBot="1" x14ac:dyDescent="0.3"/>
    <row r="19" spans="2:13" ht="16.5" customHeight="1" x14ac:dyDescent="0.25">
      <c r="B19" s="296" t="s">
        <v>118</v>
      </c>
      <c r="C19" s="12" t="s">
        <v>119</v>
      </c>
      <c r="D19" s="317" t="s">
        <v>799</v>
      </c>
      <c r="E19" s="317" t="s">
        <v>114</v>
      </c>
      <c r="F19" s="317" t="s">
        <v>120</v>
      </c>
      <c r="G19" s="317" t="s">
        <v>115</v>
      </c>
      <c r="H19" s="331" t="s">
        <v>116</v>
      </c>
      <c r="I19" s="79"/>
    </row>
    <row r="20" spans="2:13" ht="15.75" thickBot="1" x14ac:dyDescent="0.3">
      <c r="B20" s="22" t="s">
        <v>938</v>
      </c>
      <c r="C20" s="24" t="s">
        <v>868</v>
      </c>
      <c r="D20" s="32">
        <v>7.63</v>
      </c>
      <c r="E20" s="32" t="s">
        <v>939</v>
      </c>
      <c r="F20" s="32">
        <v>2.7699999999999999E-5</v>
      </c>
      <c r="G20" s="32">
        <v>1.36E-4</v>
      </c>
      <c r="H20" s="297">
        <v>12.5</v>
      </c>
      <c r="I20" s="80"/>
    </row>
    <row r="21" spans="2:13" ht="15.75" thickBot="1" x14ac:dyDescent="0.3"/>
    <row r="22" spans="2:13" ht="15.75" thickBot="1" x14ac:dyDescent="0.3">
      <c r="B22" s="421" t="s">
        <v>968</v>
      </c>
      <c r="C22" s="422"/>
      <c r="D22" s="422"/>
      <c r="E22" s="422"/>
      <c r="F22" s="422"/>
      <c r="G22" s="422"/>
      <c r="H22" s="422"/>
      <c r="I22" s="422"/>
      <c r="J22" s="422"/>
      <c r="K22" s="423"/>
      <c r="L22" s="78"/>
      <c r="M22" s="78"/>
    </row>
    <row r="23" spans="2:13" ht="26.25" customHeight="1" x14ac:dyDescent="0.25">
      <c r="B23" s="291" t="s">
        <v>118</v>
      </c>
      <c r="C23" s="292" t="s">
        <v>119</v>
      </c>
      <c r="D23" s="318" t="s">
        <v>522</v>
      </c>
      <c r="E23" s="351" t="s">
        <v>495</v>
      </c>
      <c r="F23" s="318" t="s">
        <v>799</v>
      </c>
      <c r="G23" s="318" t="s">
        <v>114</v>
      </c>
      <c r="H23" s="318" t="s">
        <v>120</v>
      </c>
      <c r="I23" s="318" t="s">
        <v>115</v>
      </c>
      <c r="J23" s="351" t="s">
        <v>889</v>
      </c>
      <c r="K23" s="352" t="s">
        <v>818</v>
      </c>
    </row>
    <row r="24" spans="2:13" ht="15.75" thickBot="1" x14ac:dyDescent="0.3">
      <c r="B24" s="22" t="s">
        <v>940</v>
      </c>
      <c r="C24" s="24" t="s">
        <v>941</v>
      </c>
      <c r="D24" s="23">
        <v>0</v>
      </c>
      <c r="E24" s="364">
        <f>All_Tanks_RH!I27</f>
        <v>1315.6498768809849</v>
      </c>
      <c r="F24" s="32">
        <v>6.6500000000000004E-5</v>
      </c>
      <c r="G24" s="32">
        <v>8.7000000000000003E-7</v>
      </c>
      <c r="H24" s="32">
        <v>2.26E-5</v>
      </c>
      <c r="I24" s="32">
        <v>1.34E-4</v>
      </c>
      <c r="J24" s="23">
        <v>12.4</v>
      </c>
      <c r="K24" s="284">
        <f>1/F24</f>
        <v>15037.593984962405</v>
      </c>
    </row>
    <row r="27" spans="2:13" x14ac:dyDescent="0.25">
      <c r="B27" s="78"/>
      <c r="C27" s="78"/>
    </row>
    <row r="28" spans="2:13" ht="33" customHeight="1" x14ac:dyDescent="0.25"/>
    <row r="32" spans="2:13" ht="13.5" customHeight="1" x14ac:dyDescent="0.25"/>
    <row r="49" spans="6:6" x14ac:dyDescent="0.25">
      <c r="F49" s="122"/>
    </row>
  </sheetData>
  <sheetProtection algorithmName="SHA-512" hashValue="Gw3b3wABKv9arSX/iXmY0b4vovEJsUsMlo1KiwlPeekXX5ps8SLl6ktJPWur+nTiVNPVQCty/0D3QxQuJ7xqkA==" saltValue="FFXJuCNfM6hWTiCJyJUgbA==" spinCount="100000" sheet="1" objects="1" scenarios="1"/>
  <mergeCells count="2">
    <mergeCell ref="B7:D7"/>
    <mergeCell ref="B22:K2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06"/>
  <sheetViews>
    <sheetView zoomScale="70" zoomScaleNormal="70" workbookViewId="0">
      <pane ySplit="1" topLeftCell="A2" activePane="bottomLeft" state="frozen"/>
      <selection pane="bottomLeft"/>
    </sheetView>
  </sheetViews>
  <sheetFormatPr defaultRowHeight="15" x14ac:dyDescent="0.25"/>
  <cols>
    <col min="1" max="1" width="13.5703125" customWidth="1"/>
    <col min="2" max="2" width="12.7109375" customWidth="1"/>
    <col min="3" max="3" width="26.85546875" style="2" customWidth="1"/>
    <col min="4" max="4" width="13.140625" style="2" customWidth="1"/>
    <col min="5" max="5" width="19.42578125" style="2" customWidth="1"/>
    <col min="6" max="6" width="20.7109375" style="2" customWidth="1"/>
    <col min="7" max="7" width="22.140625" style="2" customWidth="1"/>
    <col min="8" max="8" width="16.5703125" style="2" customWidth="1"/>
    <col min="9" max="9" width="18.7109375" style="2" customWidth="1"/>
    <col min="10" max="10" width="16.5703125" style="2" customWidth="1"/>
    <col min="11" max="11" width="19.140625" style="2" customWidth="1"/>
    <col min="12" max="12" width="3" style="2" customWidth="1"/>
    <col min="13" max="13" width="33.140625" style="320" customWidth="1"/>
    <col min="14" max="14" width="28.85546875" style="320" customWidth="1"/>
    <col min="15" max="15" width="9.7109375" customWidth="1"/>
    <col min="16" max="16" width="12.42578125" customWidth="1"/>
    <col min="17" max="17" width="11.28515625" style="4" customWidth="1"/>
    <col min="18" max="18" width="14.28515625" style="135" customWidth="1"/>
    <col min="19" max="19" width="21.42578125" style="4" customWidth="1"/>
    <col min="20" max="20" width="2.7109375" style="4" customWidth="1"/>
    <col min="21" max="21" width="16.28515625" customWidth="1"/>
    <col min="22" max="22" width="31.140625" style="4" customWidth="1"/>
    <col min="23" max="23" width="22.28515625" style="4" customWidth="1"/>
    <col min="24" max="24" width="9.7109375" customWidth="1"/>
    <col min="25" max="25" width="26.85546875" style="4" customWidth="1"/>
    <col min="26" max="26" width="26.5703125" style="4" customWidth="1"/>
    <col min="27" max="27" width="35.5703125" style="4" customWidth="1"/>
    <col min="28" max="28" width="58.5703125" customWidth="1"/>
    <col min="29" max="29" width="75.85546875" customWidth="1"/>
  </cols>
  <sheetData>
    <row r="1" spans="1:29" s="3" customFormat="1" ht="45" x14ac:dyDescent="0.25">
      <c r="A1" s="61"/>
      <c r="B1" s="12" t="s">
        <v>0</v>
      </c>
      <c r="C1" s="100" t="s">
        <v>1</v>
      </c>
      <c r="D1" s="99" t="s">
        <v>541</v>
      </c>
      <c r="E1" s="99" t="s">
        <v>530</v>
      </c>
      <c r="F1" s="99" t="s">
        <v>531</v>
      </c>
      <c r="G1" s="99" t="s">
        <v>567</v>
      </c>
      <c r="H1" s="99" t="s">
        <v>532</v>
      </c>
      <c r="I1" s="99" t="s">
        <v>568</v>
      </c>
      <c r="J1" s="99" t="s">
        <v>533</v>
      </c>
      <c r="K1" s="99" t="s">
        <v>536</v>
      </c>
      <c r="L1" s="147"/>
      <c r="M1" s="319" t="s">
        <v>890</v>
      </c>
      <c r="N1" s="319" t="s">
        <v>891</v>
      </c>
      <c r="O1" s="12" t="s">
        <v>501</v>
      </c>
      <c r="P1" s="12" t="s">
        <v>555</v>
      </c>
      <c r="Q1" s="148" t="s">
        <v>505</v>
      </c>
      <c r="R1" s="148" t="s">
        <v>617</v>
      </c>
      <c r="S1" s="148" t="s">
        <v>547</v>
      </c>
      <c r="T1" s="149"/>
      <c r="U1" s="148" t="s">
        <v>528</v>
      </c>
      <c r="V1" s="148" t="s">
        <v>529</v>
      </c>
      <c r="W1" s="148" t="s">
        <v>547</v>
      </c>
      <c r="X1" s="12" t="s">
        <v>2</v>
      </c>
      <c r="Y1" s="148" t="s">
        <v>4</v>
      </c>
      <c r="Z1" s="148" t="s">
        <v>9</v>
      </c>
      <c r="AA1" s="148" t="s">
        <v>14</v>
      </c>
      <c r="AB1" s="12" t="s">
        <v>3</v>
      </c>
      <c r="AC1" s="222" t="s">
        <v>761</v>
      </c>
    </row>
    <row r="2" spans="1:29" ht="90" x14ac:dyDescent="0.25">
      <c r="A2" s="20">
        <v>1947</v>
      </c>
      <c r="B2" s="5">
        <v>1947</v>
      </c>
      <c r="C2" s="6">
        <v>1</v>
      </c>
      <c r="D2" s="6" t="s">
        <v>542</v>
      </c>
      <c r="E2" s="6">
        <v>6.0000000000000001E-3</v>
      </c>
      <c r="F2" s="6"/>
      <c r="G2" s="101"/>
      <c r="H2" s="102">
        <v>5</v>
      </c>
      <c r="I2" s="103">
        <f>H2/(E2*(24*60))</f>
        <v>0.57870370370370372</v>
      </c>
      <c r="J2" s="6" t="s">
        <v>534</v>
      </c>
      <c r="K2" s="6" t="s">
        <v>342</v>
      </c>
      <c r="L2" s="104"/>
      <c r="M2" s="114"/>
      <c r="N2" s="114"/>
      <c r="O2" s="5" t="s">
        <v>500</v>
      </c>
      <c r="P2" s="5">
        <f>IF(O2="!TT",IF(K2="No",1,0),0)</f>
        <v>0</v>
      </c>
      <c r="Q2" s="134" t="s">
        <v>626</v>
      </c>
      <c r="R2" s="134" t="s">
        <v>626</v>
      </c>
      <c r="S2" s="105" t="str">
        <f t="shared" ref="S2:S12" si="0">IF(G2&lt;2,"Small","Large")</f>
        <v>Small</v>
      </c>
      <c r="T2" s="106"/>
      <c r="U2" s="5"/>
      <c r="V2" s="19" t="s">
        <v>7</v>
      </c>
      <c r="W2" s="105" t="s">
        <v>111</v>
      </c>
      <c r="X2" s="5" t="s">
        <v>89</v>
      </c>
      <c r="Y2" s="19" t="s">
        <v>8</v>
      </c>
      <c r="Z2" s="19"/>
      <c r="AA2" s="19"/>
      <c r="AB2" s="19" t="s">
        <v>734</v>
      </c>
      <c r="AC2" s="134" t="s">
        <v>758</v>
      </c>
    </row>
    <row r="3" spans="1:29" ht="60" x14ac:dyDescent="0.25">
      <c r="A3" s="20">
        <v>1947</v>
      </c>
      <c r="B3" s="5" t="s">
        <v>10</v>
      </c>
      <c r="C3" s="6">
        <v>2</v>
      </c>
      <c r="D3" s="6" t="s">
        <v>542</v>
      </c>
      <c r="E3" s="6"/>
      <c r="F3" s="6"/>
      <c r="G3" s="107"/>
      <c r="H3" s="102" t="s">
        <v>546</v>
      </c>
      <c r="I3" s="103"/>
      <c r="J3" s="6" t="s">
        <v>534</v>
      </c>
      <c r="K3" s="6" t="s">
        <v>342</v>
      </c>
      <c r="L3" s="104"/>
      <c r="M3" s="114"/>
      <c r="N3" s="114"/>
      <c r="O3" s="5" t="s">
        <v>500</v>
      </c>
      <c r="P3" s="5">
        <f t="shared" ref="P3:P66" si="1">IF(O3="!TT",IF(K3="No",1,0),0)</f>
        <v>0</v>
      </c>
      <c r="Q3" s="134" t="s">
        <v>626</v>
      </c>
      <c r="R3" s="134" t="s">
        <v>626</v>
      </c>
      <c r="S3" s="105" t="str">
        <f t="shared" si="0"/>
        <v>Small</v>
      </c>
      <c r="T3" s="106"/>
      <c r="U3" s="5"/>
      <c r="V3" s="19"/>
      <c r="W3" s="105" t="s">
        <v>111</v>
      </c>
      <c r="X3" s="5" t="s">
        <v>89</v>
      </c>
      <c r="Y3" s="19" t="s">
        <v>6</v>
      </c>
      <c r="Z3" s="19" t="s">
        <v>11</v>
      </c>
      <c r="AA3" s="19"/>
      <c r="AB3" s="19" t="s">
        <v>751</v>
      </c>
      <c r="AC3" s="19" t="s">
        <v>759</v>
      </c>
    </row>
    <row r="4" spans="1:29" ht="60" x14ac:dyDescent="0.25">
      <c r="A4" s="20">
        <v>1948</v>
      </c>
      <c r="B4" s="19" t="s">
        <v>544</v>
      </c>
      <c r="C4" s="6">
        <v>16</v>
      </c>
      <c r="D4" s="6" t="s">
        <v>542</v>
      </c>
      <c r="E4" s="6">
        <v>11</v>
      </c>
      <c r="F4" s="6"/>
      <c r="G4" s="107"/>
      <c r="H4" s="88">
        <v>11009</v>
      </c>
      <c r="I4" s="103">
        <f>H4/(E4*(24*60))</f>
        <v>0.69501262626262628</v>
      </c>
      <c r="J4" s="6" t="s">
        <v>534</v>
      </c>
      <c r="K4" s="141" t="s">
        <v>469</v>
      </c>
      <c r="L4" s="104"/>
      <c r="M4" s="114"/>
      <c r="N4" s="114"/>
      <c r="O4" s="5" t="s">
        <v>500</v>
      </c>
      <c r="P4" s="5">
        <f t="shared" si="1"/>
        <v>0</v>
      </c>
      <c r="Q4" s="134" t="s">
        <v>626</v>
      </c>
      <c r="R4" s="134" t="s">
        <v>626</v>
      </c>
      <c r="S4" s="105" t="str">
        <f t="shared" si="0"/>
        <v>Small</v>
      </c>
      <c r="T4" s="106"/>
      <c r="U4" s="108">
        <v>11000</v>
      </c>
      <c r="V4" s="19"/>
      <c r="W4" s="105" t="s">
        <v>111</v>
      </c>
      <c r="X4" s="5"/>
      <c r="Y4" s="19" t="s">
        <v>6</v>
      </c>
      <c r="Z4" s="19" t="s">
        <v>11</v>
      </c>
      <c r="AA4" s="19"/>
      <c r="AB4" s="19" t="s">
        <v>627</v>
      </c>
      <c r="AC4" s="134" t="s">
        <v>760</v>
      </c>
    </row>
    <row r="5" spans="1:29" ht="30" x14ac:dyDescent="0.25">
      <c r="A5" s="150">
        <v>1949</v>
      </c>
      <c r="B5" s="19">
        <v>1949</v>
      </c>
      <c r="C5" s="6">
        <v>17</v>
      </c>
      <c r="D5" s="6" t="s">
        <v>542</v>
      </c>
      <c r="E5" s="6">
        <v>71</v>
      </c>
      <c r="F5" s="88">
        <v>1420</v>
      </c>
      <c r="G5" s="109">
        <f>F5/(E5*(24*60))</f>
        <v>1.3888888888888888E-2</v>
      </c>
      <c r="H5" s="88"/>
      <c r="I5" s="110"/>
      <c r="J5" s="6"/>
      <c r="K5" s="141" t="s">
        <v>469</v>
      </c>
      <c r="L5" s="104"/>
      <c r="M5" s="113" t="s">
        <v>892</v>
      </c>
      <c r="N5" s="114" t="s">
        <v>892</v>
      </c>
      <c r="O5" s="5" t="s">
        <v>504</v>
      </c>
      <c r="P5" s="5">
        <f t="shared" si="1"/>
        <v>0</v>
      </c>
      <c r="Q5" s="134" t="s">
        <v>626</v>
      </c>
      <c r="R5" s="134" t="s">
        <v>626</v>
      </c>
      <c r="S5" s="105" t="str">
        <f t="shared" si="0"/>
        <v>Small</v>
      </c>
      <c r="T5" s="106"/>
      <c r="U5" s="108"/>
      <c r="V5" s="19"/>
      <c r="W5" s="105"/>
      <c r="X5" s="5"/>
      <c r="Y5" s="19"/>
      <c r="Z5" s="19"/>
      <c r="AA5" s="19"/>
      <c r="AB5" s="19" t="s">
        <v>749</v>
      </c>
      <c r="AC5" s="5"/>
    </row>
    <row r="6" spans="1:29" ht="30" x14ac:dyDescent="0.25">
      <c r="A6" s="150">
        <v>1949</v>
      </c>
      <c r="B6" s="5">
        <v>1949</v>
      </c>
      <c r="C6" s="6">
        <v>3</v>
      </c>
      <c r="D6" s="6" t="s">
        <v>542</v>
      </c>
      <c r="E6" s="6">
        <v>71</v>
      </c>
      <c r="F6" s="89">
        <v>4260</v>
      </c>
      <c r="G6" s="109">
        <f>F6/(E6*(24*60))</f>
        <v>4.1666666666666664E-2</v>
      </c>
      <c r="H6" s="6"/>
      <c r="I6" s="111"/>
      <c r="J6" s="6" t="s">
        <v>534</v>
      </c>
      <c r="K6" s="6" t="s">
        <v>342</v>
      </c>
      <c r="L6" s="104"/>
      <c r="M6" s="113" t="s">
        <v>892</v>
      </c>
      <c r="N6" s="114" t="s">
        <v>892</v>
      </c>
      <c r="O6" s="5" t="s">
        <v>504</v>
      </c>
      <c r="P6" s="5">
        <f t="shared" si="1"/>
        <v>1</v>
      </c>
      <c r="Q6" s="134" t="s">
        <v>626</v>
      </c>
      <c r="R6" s="134" t="s">
        <v>626</v>
      </c>
      <c r="S6" s="105" t="str">
        <f t="shared" si="0"/>
        <v>Small</v>
      </c>
      <c r="T6" s="106"/>
      <c r="U6" s="108"/>
      <c r="V6" s="19"/>
      <c r="W6" s="105"/>
      <c r="X6" s="5"/>
      <c r="Y6" s="19"/>
      <c r="Z6" s="19"/>
      <c r="AA6" s="19"/>
      <c r="AB6" s="19" t="s">
        <v>752</v>
      </c>
      <c r="AC6" s="5"/>
    </row>
    <row r="7" spans="1:29" ht="45" x14ac:dyDescent="0.25">
      <c r="A7" s="150">
        <v>1949</v>
      </c>
      <c r="B7" s="5" t="s">
        <v>12</v>
      </c>
      <c r="C7" s="6">
        <v>16</v>
      </c>
      <c r="D7" s="6" t="s">
        <v>542</v>
      </c>
      <c r="E7" s="6">
        <v>4</v>
      </c>
      <c r="F7" s="6"/>
      <c r="G7" s="107"/>
      <c r="H7" s="88">
        <v>17737</v>
      </c>
      <c r="I7" s="103">
        <f>H7/(E7*(24*60))</f>
        <v>3.0793402777777779</v>
      </c>
      <c r="J7" s="6" t="s">
        <v>534</v>
      </c>
      <c r="K7" s="141" t="s">
        <v>469</v>
      </c>
      <c r="L7" s="104"/>
      <c r="M7" s="114"/>
      <c r="N7" s="114"/>
      <c r="O7" s="5" t="s">
        <v>500</v>
      </c>
      <c r="P7" s="5">
        <f t="shared" si="1"/>
        <v>0</v>
      </c>
      <c r="Q7" s="134" t="s">
        <v>626</v>
      </c>
      <c r="R7" s="134" t="s">
        <v>626</v>
      </c>
      <c r="S7" s="105" t="str">
        <f t="shared" si="0"/>
        <v>Small</v>
      </c>
      <c r="T7" s="106"/>
      <c r="U7" s="108">
        <v>18000</v>
      </c>
      <c r="V7" s="19"/>
      <c r="W7" s="105" t="s">
        <v>111</v>
      </c>
      <c r="X7" s="5"/>
      <c r="Y7" s="19" t="s">
        <v>6</v>
      </c>
      <c r="Z7" s="19"/>
      <c r="AA7" s="19"/>
      <c r="AB7" s="19" t="s">
        <v>629</v>
      </c>
      <c r="AC7" s="19" t="s">
        <v>762</v>
      </c>
    </row>
    <row r="8" spans="1:29" s="136" customFormat="1" ht="45" x14ac:dyDescent="0.25">
      <c r="A8" s="60">
        <v>1952</v>
      </c>
      <c r="B8" s="142">
        <v>19198</v>
      </c>
      <c r="C8" s="140">
        <v>6</v>
      </c>
      <c r="D8" s="140" t="s">
        <v>543</v>
      </c>
      <c r="E8" s="140"/>
      <c r="F8" s="140"/>
      <c r="G8" s="140"/>
      <c r="H8" s="89"/>
      <c r="I8" s="143"/>
      <c r="J8" s="140"/>
      <c r="K8" s="140"/>
      <c r="L8" s="104"/>
      <c r="M8" s="114"/>
      <c r="N8" s="114"/>
      <c r="O8" s="45" t="s">
        <v>500</v>
      </c>
      <c r="P8" s="5">
        <f t="shared" si="1"/>
        <v>0</v>
      </c>
      <c r="Q8" s="134" t="s">
        <v>626</v>
      </c>
      <c r="R8" s="134" t="s">
        <v>626</v>
      </c>
      <c r="S8" s="105" t="s">
        <v>111</v>
      </c>
      <c r="T8" s="144"/>
      <c r="U8" s="134"/>
      <c r="V8" s="134"/>
      <c r="W8" s="134" t="s">
        <v>618</v>
      </c>
      <c r="X8" s="45"/>
      <c r="Y8" s="134" t="s">
        <v>625</v>
      </c>
      <c r="Z8" s="134"/>
      <c r="AA8" s="134"/>
      <c r="AB8" s="145" t="s">
        <v>764</v>
      </c>
      <c r="AC8" s="145"/>
    </row>
    <row r="9" spans="1:29" ht="60" x14ac:dyDescent="0.25">
      <c r="A9" s="150">
        <v>1953</v>
      </c>
      <c r="B9" s="5" t="s">
        <v>13</v>
      </c>
      <c r="C9" s="6">
        <v>1</v>
      </c>
      <c r="D9" s="6" t="s">
        <v>542</v>
      </c>
      <c r="E9" s="6"/>
      <c r="F9" s="6"/>
      <c r="G9" s="107"/>
      <c r="H9" s="102" t="s">
        <v>535</v>
      </c>
      <c r="I9" s="103"/>
      <c r="J9" s="112" t="s">
        <v>323</v>
      </c>
      <c r="K9" s="141" t="s">
        <v>469</v>
      </c>
      <c r="L9" s="104"/>
      <c r="M9" s="114"/>
      <c r="N9" s="114"/>
      <c r="O9" s="5" t="s">
        <v>500</v>
      </c>
      <c r="P9" s="5">
        <f t="shared" si="1"/>
        <v>0</v>
      </c>
      <c r="Q9" s="116"/>
      <c r="R9" s="134" t="s">
        <v>626</v>
      </c>
      <c r="S9" s="105" t="str">
        <f t="shared" si="0"/>
        <v>Small</v>
      </c>
      <c r="T9" s="106"/>
      <c r="U9" s="5"/>
      <c r="V9" s="19"/>
      <c r="W9" s="105" t="s">
        <v>111</v>
      </c>
      <c r="X9" s="5" t="s">
        <v>89</v>
      </c>
      <c r="Y9" s="19" t="s">
        <v>15</v>
      </c>
      <c r="Z9" s="19"/>
      <c r="AA9" s="19" t="s">
        <v>15</v>
      </c>
      <c r="AB9" s="19" t="s">
        <v>735</v>
      </c>
      <c r="AC9" s="19" t="s">
        <v>763</v>
      </c>
    </row>
    <row r="10" spans="1:29" ht="60" x14ac:dyDescent="0.25">
      <c r="A10" s="150">
        <v>1954</v>
      </c>
      <c r="B10" s="5" t="s">
        <v>16</v>
      </c>
      <c r="C10" s="6">
        <v>2</v>
      </c>
      <c r="D10" s="6" t="s">
        <v>542</v>
      </c>
      <c r="E10" s="6">
        <v>8.3000000000000004E-2</v>
      </c>
      <c r="F10" s="6"/>
      <c r="G10" s="107"/>
      <c r="H10" s="102">
        <v>0.375</v>
      </c>
      <c r="I10" s="103">
        <f>H10/(E10*(24*60))</f>
        <v>3.1375502008032124E-3</v>
      </c>
      <c r="J10" s="6" t="s">
        <v>534</v>
      </c>
      <c r="K10" s="6" t="s">
        <v>342</v>
      </c>
      <c r="L10" s="104"/>
      <c r="M10" s="114"/>
      <c r="N10" s="114"/>
      <c r="O10" s="5" t="s">
        <v>500</v>
      </c>
      <c r="P10" s="5">
        <f t="shared" si="1"/>
        <v>0</v>
      </c>
      <c r="Q10" s="134" t="s">
        <v>626</v>
      </c>
      <c r="R10" s="134" t="s">
        <v>465</v>
      </c>
      <c r="S10" s="105" t="str">
        <f t="shared" si="0"/>
        <v>Small</v>
      </c>
      <c r="T10" s="106"/>
      <c r="U10" s="5"/>
      <c r="V10" s="19" t="s">
        <v>17</v>
      </c>
      <c r="W10" s="105" t="s">
        <v>111</v>
      </c>
      <c r="X10" s="5" t="s">
        <v>89</v>
      </c>
      <c r="Y10" s="19"/>
      <c r="Z10" s="19"/>
      <c r="AA10" s="19"/>
      <c r="AB10" s="19" t="s">
        <v>753</v>
      </c>
      <c r="AC10" s="19" t="s">
        <v>765</v>
      </c>
    </row>
    <row r="11" spans="1:29" ht="30" x14ac:dyDescent="0.25">
      <c r="A11" s="20">
        <v>1954</v>
      </c>
      <c r="B11" s="5">
        <v>1954</v>
      </c>
      <c r="C11" s="6">
        <v>2</v>
      </c>
      <c r="D11" s="6" t="s">
        <v>542</v>
      </c>
      <c r="E11" s="6">
        <v>0.29199999999999998</v>
      </c>
      <c r="F11" s="6"/>
      <c r="G11" s="107"/>
      <c r="H11" s="102">
        <v>10</v>
      </c>
      <c r="I11" s="103">
        <f>H11/(E11*(24*60))</f>
        <v>2.3782343987823442E-2</v>
      </c>
      <c r="J11" s="112" t="s">
        <v>323</v>
      </c>
      <c r="K11" s="6" t="s">
        <v>342</v>
      </c>
      <c r="L11" s="104"/>
      <c r="M11" s="114"/>
      <c r="N11" s="114"/>
      <c r="O11" s="5" t="s">
        <v>500</v>
      </c>
      <c r="P11" s="5">
        <f t="shared" si="1"/>
        <v>0</v>
      </c>
      <c r="Q11" s="116"/>
      <c r="R11" s="134" t="s">
        <v>626</v>
      </c>
      <c r="S11" s="105" t="str">
        <f t="shared" si="0"/>
        <v>Small</v>
      </c>
      <c r="T11" s="106"/>
      <c r="U11" s="5"/>
      <c r="V11" s="19"/>
      <c r="W11" s="105"/>
      <c r="X11" s="5"/>
      <c r="Y11" s="19"/>
      <c r="Z11" s="19"/>
      <c r="AA11" s="19"/>
      <c r="AB11" s="19" t="s">
        <v>752</v>
      </c>
      <c r="AC11" s="19"/>
    </row>
    <row r="12" spans="1:29" ht="45" x14ac:dyDescent="0.25">
      <c r="A12" s="150">
        <v>1958</v>
      </c>
      <c r="B12" s="5" t="s">
        <v>18</v>
      </c>
      <c r="C12" s="6">
        <v>9</v>
      </c>
      <c r="D12" s="6" t="s">
        <v>542</v>
      </c>
      <c r="E12" s="6"/>
      <c r="F12" s="6"/>
      <c r="G12" s="107"/>
      <c r="H12" s="88">
        <v>1500</v>
      </c>
      <c r="I12" s="111"/>
      <c r="J12" s="6"/>
      <c r="K12" s="6" t="s">
        <v>342</v>
      </c>
      <c r="L12" s="104"/>
      <c r="M12" s="114"/>
      <c r="N12" s="114"/>
      <c r="O12" s="5" t="s">
        <v>500</v>
      </c>
      <c r="P12" s="5">
        <f t="shared" si="1"/>
        <v>0</v>
      </c>
      <c r="Q12" s="134" t="s">
        <v>626</v>
      </c>
      <c r="R12" s="134" t="s">
        <v>626</v>
      </c>
      <c r="S12" s="105" t="str">
        <f t="shared" si="0"/>
        <v>Small</v>
      </c>
      <c r="T12" s="106"/>
      <c r="U12" s="108">
        <v>1500</v>
      </c>
      <c r="V12" s="19"/>
      <c r="W12" s="105" t="s">
        <v>111</v>
      </c>
      <c r="X12" s="5" t="s">
        <v>88</v>
      </c>
      <c r="Y12" s="19" t="s">
        <v>6</v>
      </c>
      <c r="Z12" s="19"/>
      <c r="AA12" s="19"/>
      <c r="AB12" s="19" t="s">
        <v>630</v>
      </c>
      <c r="AC12" s="19" t="s">
        <v>766</v>
      </c>
    </row>
    <row r="13" spans="1:29" ht="60" x14ac:dyDescent="0.25">
      <c r="A13" s="150"/>
      <c r="B13" s="87" t="s">
        <v>19</v>
      </c>
      <c r="C13" s="113" t="s">
        <v>549</v>
      </c>
      <c r="D13" s="113" t="s">
        <v>552</v>
      </c>
      <c r="E13" s="114"/>
      <c r="F13" s="114"/>
      <c r="G13" s="114"/>
      <c r="H13" s="114"/>
      <c r="I13" s="115"/>
      <c r="J13" s="114"/>
      <c r="K13" s="114" t="s">
        <v>560</v>
      </c>
      <c r="L13" s="104"/>
      <c r="M13" s="114"/>
      <c r="N13" s="114"/>
      <c r="O13" s="5" t="s">
        <v>638</v>
      </c>
      <c r="P13" s="87"/>
      <c r="Q13" s="116"/>
      <c r="R13" s="134"/>
      <c r="S13" s="116"/>
      <c r="T13" s="106"/>
      <c r="U13" s="87"/>
      <c r="V13" s="116"/>
      <c r="W13" s="116"/>
      <c r="X13" s="87" t="s">
        <v>88</v>
      </c>
      <c r="Y13" s="116"/>
      <c r="Z13" s="116"/>
      <c r="AA13" s="116" t="s">
        <v>20</v>
      </c>
      <c r="AB13" s="116" t="s">
        <v>768</v>
      </c>
      <c r="AC13" s="116" t="s">
        <v>767</v>
      </c>
    </row>
    <row r="14" spans="1:29" ht="60" x14ac:dyDescent="0.25">
      <c r="A14" s="150">
        <v>1964</v>
      </c>
      <c r="B14" s="5" t="s">
        <v>21</v>
      </c>
      <c r="C14" s="6">
        <v>19</v>
      </c>
      <c r="D14" s="6" t="s">
        <v>542</v>
      </c>
      <c r="E14" s="6">
        <v>40</v>
      </c>
      <c r="F14" s="6"/>
      <c r="G14" s="107"/>
      <c r="H14" s="102">
        <v>0.66</v>
      </c>
      <c r="I14" s="103">
        <f>H14/(E14*(24*60))</f>
        <v>1.1458333333333333E-5</v>
      </c>
      <c r="J14" s="6" t="s">
        <v>538</v>
      </c>
      <c r="K14" s="6" t="s">
        <v>342</v>
      </c>
      <c r="L14" s="104"/>
      <c r="M14" s="114"/>
      <c r="N14" s="114"/>
      <c r="O14" s="5" t="s">
        <v>500</v>
      </c>
      <c r="P14" s="5">
        <f t="shared" si="1"/>
        <v>0</v>
      </c>
      <c r="Q14" s="134" t="s">
        <v>626</v>
      </c>
      <c r="R14" s="134" t="s">
        <v>626</v>
      </c>
      <c r="S14" s="105" t="str">
        <f t="shared" ref="S14:S56" si="2">IF(G14&lt;2,"Small","Large")</f>
        <v>Small</v>
      </c>
      <c r="T14" s="106"/>
      <c r="U14" s="5"/>
      <c r="V14" s="19" t="s">
        <v>23</v>
      </c>
      <c r="W14" s="105" t="s">
        <v>111</v>
      </c>
      <c r="X14" s="5" t="s">
        <v>89</v>
      </c>
      <c r="Y14" s="19" t="s">
        <v>6</v>
      </c>
      <c r="Z14" s="19"/>
      <c r="AA14" s="19" t="s">
        <v>22</v>
      </c>
      <c r="AB14" s="19" t="s">
        <v>733</v>
      </c>
      <c r="AC14" s="19" t="s">
        <v>769</v>
      </c>
    </row>
    <row r="15" spans="1:29" ht="60" x14ac:dyDescent="0.25">
      <c r="A15" s="150">
        <v>1964</v>
      </c>
      <c r="B15" s="5" t="s">
        <v>24</v>
      </c>
      <c r="C15" s="6">
        <v>1</v>
      </c>
      <c r="D15" s="6" t="s">
        <v>542</v>
      </c>
      <c r="E15" s="6">
        <v>3.0000000000000001E-3</v>
      </c>
      <c r="F15" s="6"/>
      <c r="G15" s="101"/>
      <c r="H15" s="102">
        <v>0.25</v>
      </c>
      <c r="I15" s="103">
        <f>H15/(E15*(24*60))</f>
        <v>5.7870370370370364E-2</v>
      </c>
      <c r="J15" s="6" t="s">
        <v>537</v>
      </c>
      <c r="K15" s="6" t="s">
        <v>342</v>
      </c>
      <c r="L15" s="104"/>
      <c r="M15" s="114"/>
      <c r="N15" s="114"/>
      <c r="O15" s="5" t="s">
        <v>500</v>
      </c>
      <c r="P15" s="5">
        <f t="shared" si="1"/>
        <v>0</v>
      </c>
      <c r="Q15" s="134" t="s">
        <v>626</v>
      </c>
      <c r="R15" s="134" t="s">
        <v>626</v>
      </c>
      <c r="S15" s="105" t="str">
        <f t="shared" si="2"/>
        <v>Small</v>
      </c>
      <c r="T15" s="106"/>
      <c r="U15" s="5"/>
      <c r="V15" s="19" t="s">
        <v>25</v>
      </c>
      <c r="W15" s="105" t="s">
        <v>111</v>
      </c>
      <c r="X15" s="5" t="s">
        <v>89</v>
      </c>
      <c r="Y15" s="19"/>
      <c r="Z15" s="19"/>
      <c r="AA15" s="19"/>
      <c r="AB15" s="19" t="s">
        <v>735</v>
      </c>
      <c r="AC15" s="19" t="s">
        <v>770</v>
      </c>
    </row>
    <row r="16" spans="1:29" x14ac:dyDescent="0.25">
      <c r="A16" s="150">
        <v>1964</v>
      </c>
      <c r="B16" s="5">
        <v>1964</v>
      </c>
      <c r="C16" s="6">
        <v>1</v>
      </c>
      <c r="D16" s="6" t="s">
        <v>542</v>
      </c>
      <c r="E16" s="6">
        <v>4.2000000000000003E-2</v>
      </c>
      <c r="F16" s="6"/>
      <c r="G16" s="101"/>
      <c r="H16" s="102">
        <v>0.25</v>
      </c>
      <c r="I16" s="103">
        <f>H16/(E16*(24*60))</f>
        <v>4.1335978835978834E-3</v>
      </c>
      <c r="J16" s="6" t="s">
        <v>537</v>
      </c>
      <c r="K16" s="6" t="s">
        <v>342</v>
      </c>
      <c r="L16" s="104"/>
      <c r="M16" s="114"/>
      <c r="N16" s="114"/>
      <c r="O16" s="5" t="s">
        <v>500</v>
      </c>
      <c r="P16" s="5">
        <f t="shared" si="1"/>
        <v>0</v>
      </c>
      <c r="Q16" s="134" t="s">
        <v>626</v>
      </c>
      <c r="R16" s="134" t="s">
        <v>626</v>
      </c>
      <c r="S16" s="105" t="str">
        <f t="shared" si="2"/>
        <v>Small</v>
      </c>
      <c r="T16" s="106"/>
      <c r="U16" s="5"/>
      <c r="V16" s="19"/>
      <c r="W16" s="105"/>
      <c r="X16" s="5"/>
      <c r="Y16" s="19"/>
      <c r="Z16" s="19"/>
      <c r="AA16" s="19"/>
      <c r="AB16" s="19" t="s">
        <v>628</v>
      </c>
      <c r="AC16" s="19"/>
    </row>
    <row r="17" spans="1:29" x14ac:dyDescent="0.25">
      <c r="A17" s="150">
        <v>1964</v>
      </c>
      <c r="B17" s="5">
        <v>1964</v>
      </c>
      <c r="C17" s="6">
        <v>1</v>
      </c>
      <c r="D17" s="6" t="s">
        <v>542</v>
      </c>
      <c r="E17" s="6"/>
      <c r="F17" s="6"/>
      <c r="G17" s="107"/>
      <c r="H17" s="102">
        <v>0.01</v>
      </c>
      <c r="I17" s="103"/>
      <c r="J17" s="6" t="s">
        <v>537</v>
      </c>
      <c r="K17" s="6" t="s">
        <v>342</v>
      </c>
      <c r="L17" s="104"/>
      <c r="M17" s="114"/>
      <c r="N17" s="114"/>
      <c r="O17" s="5" t="s">
        <v>500</v>
      </c>
      <c r="P17" s="5">
        <f t="shared" si="1"/>
        <v>0</v>
      </c>
      <c r="Q17" s="134" t="s">
        <v>626</v>
      </c>
      <c r="R17" s="134" t="s">
        <v>626</v>
      </c>
      <c r="S17" s="105" t="str">
        <f t="shared" si="2"/>
        <v>Small</v>
      </c>
      <c r="T17" s="106"/>
      <c r="U17" s="5"/>
      <c r="V17" s="19"/>
      <c r="W17" s="105"/>
      <c r="X17" s="5"/>
      <c r="Y17" s="19"/>
      <c r="Z17" s="19"/>
      <c r="AA17" s="19"/>
      <c r="AB17" s="19" t="s">
        <v>628</v>
      </c>
      <c r="AC17" s="19"/>
    </row>
    <row r="18" spans="1:29" ht="30" x14ac:dyDescent="0.25">
      <c r="A18" s="150">
        <v>1964</v>
      </c>
      <c r="B18" s="5">
        <v>1964</v>
      </c>
      <c r="C18" s="6">
        <v>5</v>
      </c>
      <c r="D18" s="6" t="s">
        <v>542</v>
      </c>
      <c r="E18" s="6">
        <v>4.2000000000000003E-2</v>
      </c>
      <c r="F18" s="6"/>
      <c r="G18" s="107"/>
      <c r="H18" s="102">
        <v>1</v>
      </c>
      <c r="I18" s="103">
        <f>H18/(E18*(24*60))</f>
        <v>1.6534391534391533E-2</v>
      </c>
      <c r="J18" s="6" t="s">
        <v>538</v>
      </c>
      <c r="K18" s="6" t="s">
        <v>342</v>
      </c>
      <c r="L18" s="104"/>
      <c r="M18" s="114"/>
      <c r="N18" s="114"/>
      <c r="O18" s="5" t="s">
        <v>500</v>
      </c>
      <c r="P18" s="5">
        <f t="shared" si="1"/>
        <v>0</v>
      </c>
      <c r="Q18" s="134" t="s">
        <v>626</v>
      </c>
      <c r="R18" s="134" t="s">
        <v>626</v>
      </c>
      <c r="S18" s="105" t="str">
        <f t="shared" si="2"/>
        <v>Small</v>
      </c>
      <c r="T18" s="106"/>
      <c r="U18" s="5"/>
      <c r="V18" s="19"/>
      <c r="W18" s="105"/>
      <c r="X18" s="5"/>
      <c r="Y18" s="19"/>
      <c r="Z18" s="19"/>
      <c r="AA18" s="19"/>
      <c r="AB18" s="19" t="s">
        <v>752</v>
      </c>
      <c r="AC18" s="19"/>
    </row>
    <row r="19" spans="1:29" x14ac:dyDescent="0.25">
      <c r="A19" s="150">
        <v>1965</v>
      </c>
      <c r="B19" s="5">
        <v>1965</v>
      </c>
      <c r="C19" s="6">
        <v>1</v>
      </c>
      <c r="D19" s="6" t="s">
        <v>542</v>
      </c>
      <c r="E19" s="6"/>
      <c r="F19" s="6"/>
      <c r="G19" s="107"/>
      <c r="H19" s="102">
        <v>0.01</v>
      </c>
      <c r="I19" s="103"/>
      <c r="J19" s="6" t="s">
        <v>538</v>
      </c>
      <c r="K19" s="141" t="s">
        <v>469</v>
      </c>
      <c r="L19" s="104"/>
      <c r="M19" s="114"/>
      <c r="N19" s="114"/>
      <c r="O19" s="5" t="s">
        <v>500</v>
      </c>
      <c r="P19" s="5">
        <f t="shared" si="1"/>
        <v>0</v>
      </c>
      <c r="Q19" s="134" t="s">
        <v>626</v>
      </c>
      <c r="R19" s="134" t="s">
        <v>626</v>
      </c>
      <c r="S19" s="105" t="str">
        <f t="shared" si="2"/>
        <v>Small</v>
      </c>
      <c r="T19" s="106"/>
      <c r="U19" s="5"/>
      <c r="V19" s="19"/>
      <c r="W19" s="105"/>
      <c r="X19" s="5"/>
      <c r="Y19" s="19"/>
      <c r="Z19" s="19"/>
      <c r="AA19" s="19"/>
      <c r="AB19" s="19" t="s">
        <v>628</v>
      </c>
      <c r="AC19" s="19"/>
    </row>
    <row r="20" spans="1:29" x14ac:dyDescent="0.25">
      <c r="A20" s="20">
        <v>1965</v>
      </c>
      <c r="B20" s="5">
        <v>1965</v>
      </c>
      <c r="C20" s="6">
        <v>1</v>
      </c>
      <c r="D20" s="6" t="s">
        <v>542</v>
      </c>
      <c r="E20" s="6"/>
      <c r="F20" s="6"/>
      <c r="G20" s="107"/>
      <c r="H20" s="102">
        <v>0.01</v>
      </c>
      <c r="I20" s="103"/>
      <c r="J20" s="112" t="s">
        <v>323</v>
      </c>
      <c r="K20" s="6" t="s">
        <v>342</v>
      </c>
      <c r="L20" s="104"/>
      <c r="M20" s="114"/>
      <c r="N20" s="114"/>
      <c r="O20" s="5" t="s">
        <v>500</v>
      </c>
      <c r="P20" s="5">
        <f t="shared" si="1"/>
        <v>0</v>
      </c>
      <c r="Q20" s="116"/>
      <c r="R20" s="134" t="s">
        <v>626</v>
      </c>
      <c r="S20" s="105" t="str">
        <f t="shared" si="2"/>
        <v>Small</v>
      </c>
      <c r="T20" s="106"/>
      <c r="U20" s="5"/>
      <c r="V20" s="19"/>
      <c r="W20" s="105"/>
      <c r="X20" s="5"/>
      <c r="Y20" s="19"/>
      <c r="Z20" s="19"/>
      <c r="AA20" s="19"/>
      <c r="AB20" s="19" t="s">
        <v>628</v>
      </c>
      <c r="AC20" s="19"/>
    </row>
    <row r="21" spans="1:29" ht="60" x14ac:dyDescent="0.25">
      <c r="A21" s="20">
        <v>1966</v>
      </c>
      <c r="B21" s="5">
        <v>1966</v>
      </c>
      <c r="C21" s="6">
        <v>1</v>
      </c>
      <c r="D21" s="6" t="s">
        <v>542</v>
      </c>
      <c r="E21" s="6"/>
      <c r="F21" s="6"/>
      <c r="G21" s="107"/>
      <c r="H21" s="102">
        <v>0.01</v>
      </c>
      <c r="I21" s="103"/>
      <c r="J21" s="117" t="s">
        <v>539</v>
      </c>
      <c r="K21" s="6" t="s">
        <v>342</v>
      </c>
      <c r="L21" s="104"/>
      <c r="M21" s="114"/>
      <c r="N21" s="114"/>
      <c r="O21" s="5" t="s">
        <v>500</v>
      </c>
      <c r="P21" s="5">
        <f t="shared" si="1"/>
        <v>0</v>
      </c>
      <c r="Q21" s="116"/>
      <c r="R21" s="134" t="s">
        <v>626</v>
      </c>
      <c r="S21" s="105" t="str">
        <f t="shared" si="2"/>
        <v>Small</v>
      </c>
      <c r="T21" s="106"/>
      <c r="U21" s="5"/>
      <c r="V21" s="19"/>
      <c r="W21" s="105"/>
      <c r="X21" s="5"/>
      <c r="Y21" s="19"/>
      <c r="Z21" s="19"/>
      <c r="AA21" s="19"/>
      <c r="AB21" s="19" t="s">
        <v>736</v>
      </c>
      <c r="AC21" s="19"/>
    </row>
    <row r="22" spans="1:29" x14ac:dyDescent="0.25">
      <c r="A22" s="20">
        <v>1967</v>
      </c>
      <c r="B22" s="5">
        <v>1967</v>
      </c>
      <c r="C22" s="6">
        <v>1</v>
      </c>
      <c r="D22" s="6" t="s">
        <v>542</v>
      </c>
      <c r="E22" s="6"/>
      <c r="F22" s="6"/>
      <c r="G22" s="107"/>
      <c r="H22" s="102">
        <v>0.01</v>
      </c>
      <c r="I22" s="103"/>
      <c r="J22" s="112" t="s">
        <v>323</v>
      </c>
      <c r="K22" s="6" t="s">
        <v>342</v>
      </c>
      <c r="L22" s="104"/>
      <c r="M22" s="114"/>
      <c r="N22" s="114"/>
      <c r="O22" s="5" t="s">
        <v>500</v>
      </c>
      <c r="P22" s="5">
        <f t="shared" si="1"/>
        <v>0</v>
      </c>
      <c r="Q22" s="116"/>
      <c r="R22" s="134" t="s">
        <v>626</v>
      </c>
      <c r="S22" s="105" t="str">
        <f t="shared" si="2"/>
        <v>Small</v>
      </c>
      <c r="T22" s="106"/>
      <c r="U22" s="5"/>
      <c r="V22" s="19"/>
      <c r="W22" s="105"/>
      <c r="X22" s="5"/>
      <c r="Y22" s="19"/>
      <c r="Z22" s="19"/>
      <c r="AA22" s="19"/>
      <c r="AB22" s="19" t="s">
        <v>628</v>
      </c>
      <c r="AC22" s="19"/>
    </row>
    <row r="23" spans="1:29" ht="45" x14ac:dyDescent="0.25">
      <c r="A23" s="150">
        <v>1965</v>
      </c>
      <c r="B23" s="45" t="s">
        <v>26</v>
      </c>
      <c r="C23" s="140">
        <v>5</v>
      </c>
      <c r="D23" s="46" t="s">
        <v>542</v>
      </c>
      <c r="E23" s="140"/>
      <c r="F23" s="140"/>
      <c r="G23" s="140"/>
      <c r="H23" s="140">
        <v>1</v>
      </c>
      <c r="I23" s="110">
        <f>H23/(1.25*60)</f>
        <v>1.3333333333333334E-2</v>
      </c>
      <c r="J23" s="140"/>
      <c r="K23" s="140" t="s">
        <v>342</v>
      </c>
      <c r="L23" s="104"/>
      <c r="M23" s="114"/>
      <c r="N23" s="114"/>
      <c r="O23" s="45" t="s">
        <v>500</v>
      </c>
      <c r="P23" s="45">
        <f t="shared" si="1"/>
        <v>0</v>
      </c>
      <c r="Q23" s="134" t="s">
        <v>626</v>
      </c>
      <c r="R23" s="134" t="s">
        <v>626</v>
      </c>
      <c r="S23" s="105" t="str">
        <f t="shared" si="2"/>
        <v>Small</v>
      </c>
      <c r="T23" s="106"/>
      <c r="U23" s="45"/>
      <c r="V23" s="134" t="s">
        <v>27</v>
      </c>
      <c r="W23" s="105" t="s">
        <v>111</v>
      </c>
      <c r="X23" s="45" t="s">
        <v>89</v>
      </c>
      <c r="Y23" s="134"/>
      <c r="Z23" s="134"/>
      <c r="AA23" s="134"/>
      <c r="AB23" s="134" t="s">
        <v>754</v>
      </c>
      <c r="AC23" s="134" t="s">
        <v>771</v>
      </c>
    </row>
    <row r="24" spans="1:29" ht="60" x14ac:dyDescent="0.25">
      <c r="A24" s="20">
        <v>1969</v>
      </c>
      <c r="B24" s="5" t="s">
        <v>28</v>
      </c>
      <c r="C24" s="6">
        <v>17</v>
      </c>
      <c r="D24" s="6" t="s">
        <v>542</v>
      </c>
      <c r="E24" s="6">
        <v>1E-3</v>
      </c>
      <c r="F24" s="6"/>
      <c r="G24" s="107"/>
      <c r="H24" s="102">
        <v>1</v>
      </c>
      <c r="I24" s="103">
        <f>H24/(E24*(24*60))</f>
        <v>0.69444444444444442</v>
      </c>
      <c r="J24" s="6" t="s">
        <v>538</v>
      </c>
      <c r="K24" s="6" t="s">
        <v>342</v>
      </c>
      <c r="L24" s="104"/>
      <c r="M24" s="114"/>
      <c r="N24" s="114"/>
      <c r="O24" s="5" t="s">
        <v>500</v>
      </c>
      <c r="P24" s="5">
        <f t="shared" si="1"/>
        <v>0</v>
      </c>
      <c r="Q24" s="134" t="s">
        <v>626</v>
      </c>
      <c r="R24" s="134" t="s">
        <v>626</v>
      </c>
      <c r="S24" s="105" t="str">
        <f t="shared" si="2"/>
        <v>Small</v>
      </c>
      <c r="T24" s="106"/>
      <c r="U24" s="5"/>
      <c r="V24" s="19" t="s">
        <v>29</v>
      </c>
      <c r="W24" s="105" t="s">
        <v>111</v>
      </c>
      <c r="X24" s="5" t="s">
        <v>89</v>
      </c>
      <c r="Y24" s="19" t="s">
        <v>6</v>
      </c>
      <c r="Z24" s="19"/>
      <c r="AA24" s="19"/>
      <c r="AB24" s="19" t="s">
        <v>750</v>
      </c>
      <c r="AC24" s="19" t="s">
        <v>772</v>
      </c>
    </row>
    <row r="25" spans="1:29" ht="60" x14ac:dyDescent="0.25">
      <c r="A25" s="20">
        <v>1970</v>
      </c>
      <c r="B25" s="5" t="s">
        <v>30</v>
      </c>
      <c r="C25" s="6">
        <v>1</v>
      </c>
      <c r="D25" s="6" t="s">
        <v>542</v>
      </c>
      <c r="E25" s="6">
        <v>63</v>
      </c>
      <c r="F25" s="88">
        <v>4623</v>
      </c>
      <c r="G25" s="109">
        <f>F25/(E25*(24*60))</f>
        <v>5.0958994708994711E-2</v>
      </c>
      <c r="H25" s="6"/>
      <c r="I25" s="111"/>
      <c r="J25" s="6" t="s">
        <v>538</v>
      </c>
      <c r="K25" s="6" t="s">
        <v>342</v>
      </c>
      <c r="L25" s="104"/>
      <c r="M25" s="113" t="s">
        <v>892</v>
      </c>
      <c r="N25" s="140" t="s">
        <v>893</v>
      </c>
      <c r="O25" s="5" t="s">
        <v>504</v>
      </c>
      <c r="P25" s="5">
        <f t="shared" si="1"/>
        <v>1</v>
      </c>
      <c r="Q25" s="134" t="s">
        <v>626</v>
      </c>
      <c r="R25" s="134" t="s">
        <v>626</v>
      </c>
      <c r="S25" s="105" t="str">
        <f t="shared" si="2"/>
        <v>Small</v>
      </c>
      <c r="T25" s="106"/>
      <c r="U25" s="108">
        <v>31294</v>
      </c>
      <c r="V25" s="19" t="s">
        <v>31</v>
      </c>
      <c r="W25" s="105" t="s">
        <v>111</v>
      </c>
      <c r="X25" s="5" t="s">
        <v>89</v>
      </c>
      <c r="Y25" s="19" t="s">
        <v>32</v>
      </c>
      <c r="Z25" s="19"/>
      <c r="AA25" s="19"/>
      <c r="AB25" s="19" t="s">
        <v>735</v>
      </c>
      <c r="AC25" s="19" t="s">
        <v>773</v>
      </c>
    </row>
    <row r="26" spans="1:29" x14ac:dyDescent="0.25">
      <c r="A26" s="20">
        <v>1971</v>
      </c>
      <c r="B26" s="5">
        <v>1971</v>
      </c>
      <c r="C26" s="6">
        <v>1</v>
      </c>
      <c r="D26" s="6" t="s">
        <v>542</v>
      </c>
      <c r="E26" s="6">
        <v>191</v>
      </c>
      <c r="F26" s="88">
        <v>16830</v>
      </c>
      <c r="G26" s="109">
        <f>F26/(E26*(24*60))</f>
        <v>6.1191099476439789E-2</v>
      </c>
      <c r="H26" s="6"/>
      <c r="I26" s="111"/>
      <c r="J26" s="6" t="s">
        <v>538</v>
      </c>
      <c r="K26" s="6" t="s">
        <v>342</v>
      </c>
      <c r="L26" s="104"/>
      <c r="M26" s="113" t="s">
        <v>892</v>
      </c>
      <c r="N26" s="140" t="s">
        <v>894</v>
      </c>
      <c r="O26" s="5" t="s">
        <v>504</v>
      </c>
      <c r="P26" s="5">
        <f t="shared" si="1"/>
        <v>1</v>
      </c>
      <c r="Q26" s="134" t="s">
        <v>626</v>
      </c>
      <c r="R26" s="134" t="s">
        <v>626</v>
      </c>
      <c r="S26" s="105" t="str">
        <f t="shared" si="2"/>
        <v>Small</v>
      </c>
      <c r="T26" s="106"/>
      <c r="U26" s="108"/>
      <c r="V26" s="19"/>
      <c r="W26" s="105"/>
      <c r="X26" s="5"/>
      <c r="Y26" s="19"/>
      <c r="Z26" s="19"/>
      <c r="AA26" s="19"/>
      <c r="AB26" s="19" t="s">
        <v>628</v>
      </c>
      <c r="AC26" s="19"/>
    </row>
    <row r="27" spans="1:29" x14ac:dyDescent="0.25">
      <c r="A27" s="20">
        <v>1971</v>
      </c>
      <c r="B27" s="5">
        <v>1971</v>
      </c>
      <c r="C27" s="6">
        <v>1</v>
      </c>
      <c r="D27" s="6" t="s">
        <v>542</v>
      </c>
      <c r="E27" s="6">
        <v>37</v>
      </c>
      <c r="F27" s="88">
        <v>5031</v>
      </c>
      <c r="G27" s="109">
        <f>F27/(E27*(24*60))</f>
        <v>9.4425675675675669E-2</v>
      </c>
      <c r="H27" s="6"/>
      <c r="I27" s="111"/>
      <c r="J27" s="6" t="s">
        <v>538</v>
      </c>
      <c r="K27" s="6" t="s">
        <v>342</v>
      </c>
      <c r="L27" s="104"/>
      <c r="M27" s="113" t="s">
        <v>892</v>
      </c>
      <c r="N27" s="140" t="s">
        <v>895</v>
      </c>
      <c r="O27" s="5" t="s">
        <v>504</v>
      </c>
      <c r="P27" s="5">
        <f t="shared" si="1"/>
        <v>1</v>
      </c>
      <c r="Q27" s="134" t="s">
        <v>626</v>
      </c>
      <c r="R27" s="134" t="s">
        <v>626</v>
      </c>
      <c r="S27" s="105" t="str">
        <f t="shared" si="2"/>
        <v>Small</v>
      </c>
      <c r="T27" s="106"/>
      <c r="U27" s="108"/>
      <c r="V27" s="19"/>
      <c r="W27" s="105"/>
      <c r="X27" s="5"/>
      <c r="Y27" s="19"/>
      <c r="Z27" s="19"/>
      <c r="AA27" s="19"/>
      <c r="AB27" s="19" t="s">
        <v>628</v>
      </c>
      <c r="AC27" s="19"/>
    </row>
    <row r="28" spans="1:29" x14ac:dyDescent="0.25">
      <c r="A28" s="20">
        <v>1972</v>
      </c>
      <c r="B28" s="5">
        <v>1972</v>
      </c>
      <c r="C28" s="6">
        <v>1</v>
      </c>
      <c r="D28" s="6" t="s">
        <v>542</v>
      </c>
      <c r="E28" s="6">
        <v>56</v>
      </c>
      <c r="F28" s="88">
        <v>4810</v>
      </c>
      <c r="G28" s="109">
        <f>F28/(E28*(24*60))</f>
        <v>5.9647817460317464E-2</v>
      </c>
      <c r="H28" s="6"/>
      <c r="I28" s="111"/>
      <c r="J28" s="6" t="s">
        <v>538</v>
      </c>
      <c r="K28" s="6" t="s">
        <v>342</v>
      </c>
      <c r="L28" s="104"/>
      <c r="M28" s="113" t="s">
        <v>892</v>
      </c>
      <c r="N28" s="140" t="s">
        <v>896</v>
      </c>
      <c r="O28" s="5" t="s">
        <v>504</v>
      </c>
      <c r="P28" s="5">
        <f t="shared" si="1"/>
        <v>1</v>
      </c>
      <c r="Q28" s="134" t="s">
        <v>626</v>
      </c>
      <c r="R28" s="134" t="s">
        <v>626</v>
      </c>
      <c r="S28" s="105" t="str">
        <f t="shared" si="2"/>
        <v>Small</v>
      </c>
      <c r="T28" s="106"/>
      <c r="U28" s="108"/>
      <c r="V28" s="19"/>
      <c r="W28" s="105"/>
      <c r="X28" s="5"/>
      <c r="Y28" s="19"/>
      <c r="Z28" s="19"/>
      <c r="AA28" s="19"/>
      <c r="AB28" s="19" t="s">
        <v>628</v>
      </c>
      <c r="AC28" s="19"/>
    </row>
    <row r="29" spans="1:29" ht="60" x14ac:dyDescent="0.25">
      <c r="A29" s="20">
        <v>1972</v>
      </c>
      <c r="B29" s="5" t="s">
        <v>33</v>
      </c>
      <c r="C29" s="6">
        <v>5</v>
      </c>
      <c r="D29" s="6" t="s">
        <v>542</v>
      </c>
      <c r="E29" s="6">
        <v>1</v>
      </c>
      <c r="F29" s="6"/>
      <c r="G29" s="107"/>
      <c r="H29" s="102">
        <v>0.5</v>
      </c>
      <c r="I29" s="103">
        <f>H29/(E29*(24*60))</f>
        <v>3.4722222222222224E-4</v>
      </c>
      <c r="J29" s="6" t="s">
        <v>538</v>
      </c>
      <c r="K29" s="6" t="s">
        <v>342</v>
      </c>
      <c r="L29" s="104"/>
      <c r="M29" s="114"/>
      <c r="N29" s="114"/>
      <c r="O29" s="5" t="s">
        <v>500</v>
      </c>
      <c r="P29" s="5">
        <f t="shared" si="1"/>
        <v>0</v>
      </c>
      <c r="Q29" s="134" t="s">
        <v>626</v>
      </c>
      <c r="R29" s="134" t="s">
        <v>626</v>
      </c>
      <c r="S29" s="105" t="str">
        <f t="shared" si="2"/>
        <v>Small</v>
      </c>
      <c r="T29" s="106"/>
      <c r="U29" s="5"/>
      <c r="V29" s="19" t="s">
        <v>34</v>
      </c>
      <c r="W29" s="105" t="s">
        <v>111</v>
      </c>
      <c r="X29" s="5" t="s">
        <v>89</v>
      </c>
      <c r="Y29" s="19" t="s">
        <v>6</v>
      </c>
      <c r="Z29" s="19"/>
      <c r="AA29" s="19"/>
      <c r="AB29" s="19" t="s">
        <v>755</v>
      </c>
      <c r="AC29" s="19" t="s">
        <v>774</v>
      </c>
    </row>
    <row r="30" spans="1:29" ht="75" x14ac:dyDescent="0.25">
      <c r="A30" s="20">
        <v>1973</v>
      </c>
      <c r="B30" s="5" t="s">
        <v>35</v>
      </c>
      <c r="C30" s="6">
        <v>10</v>
      </c>
      <c r="D30" s="6" t="s">
        <v>542</v>
      </c>
      <c r="E30" s="6">
        <v>3</v>
      </c>
      <c r="F30" s="6"/>
      <c r="G30" s="107"/>
      <c r="H30" s="6">
        <v>0.01</v>
      </c>
      <c r="I30" s="111"/>
      <c r="J30" s="6"/>
      <c r="K30" s="6" t="s">
        <v>342</v>
      </c>
      <c r="L30" s="104"/>
      <c r="M30" s="113" t="s">
        <v>892</v>
      </c>
      <c r="N30" s="114" t="s">
        <v>892</v>
      </c>
      <c r="O30" s="5" t="s">
        <v>504</v>
      </c>
      <c r="P30" s="5">
        <f t="shared" si="1"/>
        <v>1</v>
      </c>
      <c r="Q30" s="134" t="s">
        <v>626</v>
      </c>
      <c r="R30" s="134" t="s">
        <v>626</v>
      </c>
      <c r="S30" s="105" t="str">
        <f t="shared" si="2"/>
        <v>Small</v>
      </c>
      <c r="T30" s="106"/>
      <c r="U30" s="5"/>
      <c r="V30" s="19"/>
      <c r="W30" s="105" t="s">
        <v>111</v>
      </c>
      <c r="X30" s="5" t="s">
        <v>88</v>
      </c>
      <c r="Y30" s="19" t="s">
        <v>36</v>
      </c>
      <c r="Z30" s="19" t="s">
        <v>11</v>
      </c>
      <c r="AA30" s="19"/>
      <c r="AB30" s="134" t="s">
        <v>738</v>
      </c>
      <c r="AC30" s="134" t="s">
        <v>775</v>
      </c>
    </row>
    <row r="31" spans="1:29" ht="60" x14ac:dyDescent="0.25">
      <c r="A31" s="20">
        <v>1973</v>
      </c>
      <c r="B31" s="5" t="s">
        <v>37</v>
      </c>
      <c r="C31" s="6">
        <v>16</v>
      </c>
      <c r="D31" s="6" t="s">
        <v>542</v>
      </c>
      <c r="E31" s="6">
        <v>0.01</v>
      </c>
      <c r="F31" s="6"/>
      <c r="G31" s="107"/>
      <c r="H31" s="6"/>
      <c r="I31" s="111"/>
      <c r="J31" s="6" t="s">
        <v>538</v>
      </c>
      <c r="K31" s="6" t="s">
        <v>342</v>
      </c>
      <c r="L31" s="104"/>
      <c r="M31" s="114"/>
      <c r="N31" s="114"/>
      <c r="O31" s="5" t="s">
        <v>500</v>
      </c>
      <c r="P31" s="5">
        <f t="shared" si="1"/>
        <v>0</v>
      </c>
      <c r="Q31" s="134" t="s">
        <v>626</v>
      </c>
      <c r="R31" s="134" t="s">
        <v>626</v>
      </c>
      <c r="S31" s="105" t="str">
        <f t="shared" si="2"/>
        <v>Small</v>
      </c>
      <c r="T31" s="106"/>
      <c r="U31" s="5"/>
      <c r="V31" s="19" t="s">
        <v>38</v>
      </c>
      <c r="W31" s="105" t="s">
        <v>111</v>
      </c>
      <c r="X31" s="5"/>
      <c r="Y31" s="19" t="s">
        <v>6</v>
      </c>
      <c r="Z31" s="19"/>
      <c r="AA31" s="19"/>
      <c r="AB31" s="134" t="s">
        <v>631</v>
      </c>
      <c r="AC31" s="134" t="s">
        <v>776</v>
      </c>
    </row>
    <row r="32" spans="1:29" ht="60" x14ac:dyDescent="0.25">
      <c r="A32" s="84">
        <v>1973</v>
      </c>
      <c r="B32" s="87" t="s">
        <v>39</v>
      </c>
      <c r="C32" s="114">
        <v>12</v>
      </c>
      <c r="D32" s="113" t="s">
        <v>816</v>
      </c>
      <c r="E32" s="114"/>
      <c r="F32" s="114"/>
      <c r="G32" s="114"/>
      <c r="H32" s="114"/>
      <c r="I32" s="115"/>
      <c r="J32" s="114"/>
      <c r="K32" s="114" t="s">
        <v>342</v>
      </c>
      <c r="L32" s="104"/>
      <c r="M32" s="114"/>
      <c r="N32" s="114"/>
      <c r="O32" s="87" t="s">
        <v>504</v>
      </c>
      <c r="P32" s="87">
        <f t="shared" si="1"/>
        <v>1</v>
      </c>
      <c r="Q32" s="116"/>
      <c r="R32" s="116"/>
      <c r="S32" s="116" t="str">
        <f t="shared" si="2"/>
        <v>Small</v>
      </c>
      <c r="T32" s="106"/>
      <c r="U32" s="87"/>
      <c r="V32" s="116"/>
      <c r="W32" s="116" t="s">
        <v>111</v>
      </c>
      <c r="X32" s="87" t="s">
        <v>88</v>
      </c>
      <c r="Y32" s="116" t="s">
        <v>40</v>
      </c>
      <c r="Z32" s="116" t="s">
        <v>11</v>
      </c>
      <c r="AA32" s="116"/>
      <c r="AB32" s="116" t="s">
        <v>742</v>
      </c>
      <c r="AC32" s="116" t="s">
        <v>777</v>
      </c>
    </row>
    <row r="33" spans="1:29" ht="45" x14ac:dyDescent="0.25">
      <c r="A33" s="20">
        <v>1973</v>
      </c>
      <c r="B33" s="5" t="s">
        <v>41</v>
      </c>
      <c r="C33" s="6">
        <v>7</v>
      </c>
      <c r="D33" s="6" t="s">
        <v>543</v>
      </c>
      <c r="E33" s="6"/>
      <c r="F33" s="6"/>
      <c r="G33" s="107"/>
      <c r="H33" s="6"/>
      <c r="I33" s="111"/>
      <c r="J33" s="6"/>
      <c r="K33" s="6" t="s">
        <v>342</v>
      </c>
      <c r="L33" s="104"/>
      <c r="M33" s="114"/>
      <c r="N33" s="114"/>
      <c r="O33" s="5" t="s">
        <v>500</v>
      </c>
      <c r="P33" s="5">
        <f t="shared" si="1"/>
        <v>0</v>
      </c>
      <c r="Q33" s="134" t="s">
        <v>626</v>
      </c>
      <c r="R33" s="134" t="s">
        <v>626</v>
      </c>
      <c r="S33" s="105" t="str">
        <f t="shared" si="2"/>
        <v>Small</v>
      </c>
      <c r="T33" s="106"/>
      <c r="U33" s="5"/>
      <c r="V33" s="19"/>
      <c r="W33" s="105" t="s">
        <v>111</v>
      </c>
      <c r="X33" s="5" t="s">
        <v>88</v>
      </c>
      <c r="Y33" s="19" t="s">
        <v>6</v>
      </c>
      <c r="Z33" s="19" t="s">
        <v>11</v>
      </c>
      <c r="AA33" s="19"/>
      <c r="AB33" s="131" t="s">
        <v>614</v>
      </c>
      <c r="AC33" s="131" t="s">
        <v>778</v>
      </c>
    </row>
    <row r="34" spans="1:29" ht="60" x14ac:dyDescent="0.25">
      <c r="A34" s="20">
        <v>1975</v>
      </c>
      <c r="B34" s="5" t="s">
        <v>42</v>
      </c>
      <c r="C34" s="6">
        <v>17</v>
      </c>
      <c r="D34" s="6" t="s">
        <v>542</v>
      </c>
      <c r="E34" s="6"/>
      <c r="F34" s="6"/>
      <c r="G34" s="107"/>
      <c r="H34" s="102" t="s">
        <v>535</v>
      </c>
      <c r="I34" s="111"/>
      <c r="J34" s="6"/>
      <c r="K34" s="6" t="s">
        <v>342</v>
      </c>
      <c r="L34" s="104"/>
      <c r="M34" s="114"/>
      <c r="N34" s="114"/>
      <c r="O34" s="5" t="s">
        <v>500</v>
      </c>
      <c r="P34" s="5">
        <f t="shared" si="1"/>
        <v>0</v>
      </c>
      <c r="Q34" s="134" t="s">
        <v>626</v>
      </c>
      <c r="R34" s="134" t="s">
        <v>626</v>
      </c>
      <c r="S34" s="105" t="str">
        <f t="shared" si="2"/>
        <v>Small</v>
      </c>
      <c r="T34" s="106"/>
      <c r="U34" s="5"/>
      <c r="V34" s="19"/>
      <c r="W34" s="105" t="s">
        <v>111</v>
      </c>
      <c r="X34" s="5" t="s">
        <v>89</v>
      </c>
      <c r="Y34" s="19" t="s">
        <v>6</v>
      </c>
      <c r="Z34" s="19"/>
      <c r="AA34" s="19"/>
      <c r="AB34" s="19" t="s">
        <v>750</v>
      </c>
      <c r="AC34" s="19" t="s">
        <v>779</v>
      </c>
    </row>
    <row r="35" spans="1:29" ht="60" x14ac:dyDescent="0.25">
      <c r="A35" s="20">
        <v>1975</v>
      </c>
      <c r="B35" s="5" t="s">
        <v>43</v>
      </c>
      <c r="C35" s="6">
        <v>1</v>
      </c>
      <c r="D35" s="6" t="s">
        <v>542</v>
      </c>
      <c r="E35" s="6">
        <v>6</v>
      </c>
      <c r="F35" s="88">
        <v>10671</v>
      </c>
      <c r="G35" s="109">
        <f>F35/(E35*(24*60))</f>
        <v>1.2350694444444446</v>
      </c>
      <c r="H35" s="6"/>
      <c r="I35" s="111"/>
      <c r="J35" s="6" t="s">
        <v>538</v>
      </c>
      <c r="K35" s="6" t="s">
        <v>342</v>
      </c>
      <c r="L35" s="104"/>
      <c r="M35" s="46" t="s">
        <v>898</v>
      </c>
      <c r="N35" s="140" t="s">
        <v>897</v>
      </c>
      <c r="O35" s="5" t="s">
        <v>504</v>
      </c>
      <c r="P35" s="5">
        <f t="shared" si="1"/>
        <v>1</v>
      </c>
      <c r="Q35" s="134" t="s">
        <v>626</v>
      </c>
      <c r="R35" s="134" t="s">
        <v>626</v>
      </c>
      <c r="S35" s="105" t="str">
        <f t="shared" si="2"/>
        <v>Small</v>
      </c>
      <c r="T35" s="106"/>
      <c r="U35" s="108">
        <v>32765</v>
      </c>
      <c r="V35" s="19" t="s">
        <v>44</v>
      </c>
      <c r="W35" s="105" t="s">
        <v>111</v>
      </c>
      <c r="X35" s="5" t="s">
        <v>89</v>
      </c>
      <c r="Y35" s="19" t="s">
        <v>32</v>
      </c>
      <c r="Z35" s="19"/>
      <c r="AA35" s="19"/>
      <c r="AB35" s="145" t="s">
        <v>735</v>
      </c>
      <c r="AC35" s="145" t="s">
        <v>780</v>
      </c>
    </row>
    <row r="36" spans="1:29" ht="60" x14ac:dyDescent="0.25">
      <c r="A36" s="20">
        <v>1976</v>
      </c>
      <c r="B36" s="5" t="s">
        <v>45</v>
      </c>
      <c r="C36" s="6">
        <v>10</v>
      </c>
      <c r="D36" s="6" t="s">
        <v>543</v>
      </c>
      <c r="E36" s="6"/>
      <c r="F36" s="6"/>
      <c r="G36" s="107"/>
      <c r="H36" s="6"/>
      <c r="I36" s="111"/>
      <c r="J36" s="6"/>
      <c r="K36" s="6" t="s">
        <v>342</v>
      </c>
      <c r="L36" s="104"/>
      <c r="M36" s="114"/>
      <c r="N36" s="114"/>
      <c r="O36" s="5" t="s">
        <v>500</v>
      </c>
      <c r="P36" s="5">
        <f t="shared" si="1"/>
        <v>0</v>
      </c>
      <c r="Q36" s="134" t="s">
        <v>626</v>
      </c>
      <c r="R36" s="134" t="s">
        <v>626</v>
      </c>
      <c r="S36" s="105" t="str">
        <f t="shared" si="2"/>
        <v>Small</v>
      </c>
      <c r="T36" s="106"/>
      <c r="U36" s="5"/>
      <c r="V36" s="19"/>
      <c r="W36" s="105" t="s">
        <v>111</v>
      </c>
      <c r="X36" s="5" t="s">
        <v>88</v>
      </c>
      <c r="Y36" s="19" t="s">
        <v>6</v>
      </c>
      <c r="Z36" s="19" t="s">
        <v>11</v>
      </c>
      <c r="AA36" s="19"/>
      <c r="AB36" s="19" t="s">
        <v>739</v>
      </c>
      <c r="AC36" s="19" t="s">
        <v>781</v>
      </c>
    </row>
    <row r="37" spans="1:29" ht="45" x14ac:dyDescent="0.25">
      <c r="A37" s="20">
        <v>1976</v>
      </c>
      <c r="B37" s="5" t="s">
        <v>46</v>
      </c>
      <c r="C37" s="6">
        <v>13</v>
      </c>
      <c r="D37" s="6" t="s">
        <v>543</v>
      </c>
      <c r="E37" s="6"/>
      <c r="F37" s="6"/>
      <c r="G37" s="107"/>
      <c r="H37" s="6"/>
      <c r="I37" s="111"/>
      <c r="J37" s="6"/>
      <c r="K37" s="6" t="s">
        <v>342</v>
      </c>
      <c r="L37" s="104"/>
      <c r="M37" s="113" t="s">
        <v>892</v>
      </c>
      <c r="N37" s="114" t="s">
        <v>892</v>
      </c>
      <c r="O37" s="5" t="s">
        <v>504</v>
      </c>
      <c r="P37" s="5">
        <f t="shared" si="1"/>
        <v>1</v>
      </c>
      <c r="Q37" s="134" t="s">
        <v>626</v>
      </c>
      <c r="R37" s="134" t="s">
        <v>626</v>
      </c>
      <c r="S37" s="105" t="str">
        <f t="shared" si="2"/>
        <v>Small</v>
      </c>
      <c r="T37" s="106"/>
      <c r="U37" s="5"/>
      <c r="V37" s="19"/>
      <c r="W37" s="105" t="s">
        <v>111</v>
      </c>
      <c r="X37" s="5" t="s">
        <v>88</v>
      </c>
      <c r="Y37" s="19" t="s">
        <v>47</v>
      </c>
      <c r="Z37" s="19"/>
      <c r="AA37" s="19"/>
      <c r="AB37" s="19" t="s">
        <v>743</v>
      </c>
      <c r="AC37" s="19" t="s">
        <v>782</v>
      </c>
    </row>
    <row r="38" spans="1:29" ht="21.75" customHeight="1" x14ac:dyDescent="0.25">
      <c r="A38" s="20">
        <v>1977</v>
      </c>
      <c r="B38" s="5">
        <v>1977</v>
      </c>
      <c r="C38" s="6">
        <v>1</v>
      </c>
      <c r="D38" s="6" t="s">
        <v>542</v>
      </c>
      <c r="E38" s="6">
        <v>75</v>
      </c>
      <c r="F38" s="88"/>
      <c r="G38" s="101"/>
      <c r="H38" s="102">
        <v>999</v>
      </c>
      <c r="I38" s="103">
        <f>H38/(E38*(24*60))</f>
        <v>9.2499999999999995E-3</v>
      </c>
      <c r="J38" s="6" t="s">
        <v>538</v>
      </c>
      <c r="K38" s="6" t="s">
        <v>342</v>
      </c>
      <c r="L38" s="104"/>
      <c r="M38" s="114"/>
      <c r="N38" s="114"/>
      <c r="O38" s="5" t="s">
        <v>500</v>
      </c>
      <c r="P38" s="5">
        <f>IF(O38="!TT",IF(K38="No",1,0),0)</f>
        <v>0</v>
      </c>
      <c r="Q38" s="134" t="s">
        <v>626</v>
      </c>
      <c r="R38" s="134" t="s">
        <v>626</v>
      </c>
      <c r="S38" s="105" t="str">
        <f>IF(G38&lt;2,"Small","Large")</f>
        <v>Small</v>
      </c>
      <c r="T38" s="106"/>
      <c r="U38" s="108"/>
      <c r="V38" s="19"/>
      <c r="W38" s="105"/>
      <c r="X38" s="5"/>
      <c r="Y38" s="19"/>
      <c r="Z38" s="19"/>
      <c r="AA38" s="19"/>
      <c r="AB38" s="134" t="s">
        <v>628</v>
      </c>
      <c r="AC38" s="134"/>
    </row>
    <row r="39" spans="1:29" ht="21.75" customHeight="1" x14ac:dyDescent="0.25">
      <c r="A39" s="20">
        <v>1978</v>
      </c>
      <c r="B39" s="5">
        <v>1978</v>
      </c>
      <c r="C39" s="6">
        <v>1</v>
      </c>
      <c r="D39" s="6" t="s">
        <v>542</v>
      </c>
      <c r="E39" s="6">
        <v>114</v>
      </c>
      <c r="F39" s="88"/>
      <c r="G39" s="101"/>
      <c r="H39" s="118">
        <v>7874</v>
      </c>
      <c r="I39" s="103">
        <f>H39/(E39*(24*60))</f>
        <v>4.7965399610136454E-2</v>
      </c>
      <c r="J39" s="6" t="s">
        <v>538</v>
      </c>
      <c r="K39" s="6" t="s">
        <v>342</v>
      </c>
      <c r="L39" s="104"/>
      <c r="M39" s="114"/>
      <c r="N39" s="114"/>
      <c r="O39" s="5" t="s">
        <v>500</v>
      </c>
      <c r="P39" s="5">
        <f>IF(O39="!TT",IF(K39="No",1,0),0)</f>
        <v>0</v>
      </c>
      <c r="Q39" s="134" t="s">
        <v>626</v>
      </c>
      <c r="R39" s="134" t="s">
        <v>626</v>
      </c>
      <c r="S39" s="105" t="str">
        <f>IF(G39&lt;2,"Small","Large")</f>
        <v>Small</v>
      </c>
      <c r="T39" s="106"/>
      <c r="U39" s="108"/>
      <c r="V39" s="19"/>
      <c r="W39" s="105"/>
      <c r="X39" s="5"/>
      <c r="Y39" s="19"/>
      <c r="Z39" s="19"/>
      <c r="AA39" s="19"/>
      <c r="AB39" s="134" t="s">
        <v>628</v>
      </c>
      <c r="AC39" s="134"/>
    </row>
    <row r="40" spans="1:29" ht="21.75" customHeight="1" x14ac:dyDescent="0.25">
      <c r="A40" s="20">
        <v>1978</v>
      </c>
      <c r="B40" s="5">
        <v>1978</v>
      </c>
      <c r="C40" s="6">
        <v>1</v>
      </c>
      <c r="D40" s="6" t="s">
        <v>542</v>
      </c>
      <c r="E40" s="6">
        <v>127</v>
      </c>
      <c r="F40" s="88"/>
      <c r="G40" s="101"/>
      <c r="H40" s="118">
        <v>13221</v>
      </c>
      <c r="I40" s="103">
        <f>H40/(E40*(24*60))</f>
        <v>7.2293307086614175E-2</v>
      </c>
      <c r="J40" s="6" t="s">
        <v>538</v>
      </c>
      <c r="K40" s="6" t="s">
        <v>342</v>
      </c>
      <c r="L40" s="104"/>
      <c r="M40" s="114"/>
      <c r="N40" s="114"/>
      <c r="O40" s="5" t="s">
        <v>500</v>
      </c>
      <c r="P40" s="5">
        <f>IF(O40="!TT",IF(K40="No",1,0),0)</f>
        <v>0</v>
      </c>
      <c r="Q40" s="134" t="s">
        <v>626</v>
      </c>
      <c r="R40" s="134" t="s">
        <v>626</v>
      </c>
      <c r="S40" s="105" t="str">
        <f>IF(G40&lt;2,"Small","Large")</f>
        <v>Small</v>
      </c>
      <c r="T40" s="106"/>
      <c r="U40" s="108"/>
      <c r="V40" s="19"/>
      <c r="W40" s="105"/>
      <c r="X40" s="5"/>
      <c r="Y40" s="19"/>
      <c r="Z40" s="19"/>
      <c r="AA40" s="19"/>
      <c r="AB40" s="134" t="s">
        <v>628</v>
      </c>
      <c r="AC40" s="134"/>
    </row>
    <row r="41" spans="1:29" ht="60" x14ac:dyDescent="0.25">
      <c r="A41" s="20">
        <v>1978</v>
      </c>
      <c r="B41" s="5" t="s">
        <v>48</v>
      </c>
      <c r="C41" s="6">
        <v>7</v>
      </c>
      <c r="D41" s="6" t="s">
        <v>542</v>
      </c>
      <c r="E41" s="6"/>
      <c r="F41" s="6"/>
      <c r="G41" s="107"/>
      <c r="H41" s="102" t="s">
        <v>540</v>
      </c>
      <c r="I41" s="111"/>
      <c r="J41" s="6" t="s">
        <v>538</v>
      </c>
      <c r="K41" s="6" t="s">
        <v>342</v>
      </c>
      <c r="L41" s="104"/>
      <c r="M41" s="114"/>
      <c r="N41" s="114"/>
      <c r="O41" s="5" t="s">
        <v>500</v>
      </c>
      <c r="P41" s="5">
        <f t="shared" si="1"/>
        <v>0</v>
      </c>
      <c r="Q41" s="134" t="s">
        <v>626</v>
      </c>
      <c r="R41" s="134" t="s">
        <v>626</v>
      </c>
      <c r="S41" s="105" t="str">
        <f t="shared" si="2"/>
        <v>Small</v>
      </c>
      <c r="T41" s="106"/>
      <c r="U41" s="5"/>
      <c r="V41" s="19" t="s">
        <v>49</v>
      </c>
      <c r="W41" s="105" t="s">
        <v>111</v>
      </c>
      <c r="X41" s="5" t="s">
        <v>88</v>
      </c>
      <c r="Y41" s="19" t="s">
        <v>6</v>
      </c>
      <c r="Z41" s="19" t="s">
        <v>11</v>
      </c>
      <c r="AA41" s="19"/>
      <c r="AB41" s="134" t="s">
        <v>632</v>
      </c>
      <c r="AC41" s="134" t="s">
        <v>783</v>
      </c>
    </row>
    <row r="42" spans="1:29" ht="60" x14ac:dyDescent="0.25">
      <c r="A42" s="20">
        <v>1978</v>
      </c>
      <c r="B42" s="5" t="s">
        <v>50</v>
      </c>
      <c r="C42" s="6">
        <v>9</v>
      </c>
      <c r="D42" s="6" t="s">
        <v>543</v>
      </c>
      <c r="E42" s="6"/>
      <c r="F42" s="6"/>
      <c r="G42" s="107"/>
      <c r="H42" s="6"/>
      <c r="I42" s="111"/>
      <c r="J42" s="6"/>
      <c r="K42" s="6" t="s">
        <v>342</v>
      </c>
      <c r="L42" s="104"/>
      <c r="M42" s="113" t="s">
        <v>892</v>
      </c>
      <c r="N42" s="113" t="s">
        <v>892</v>
      </c>
      <c r="O42" s="5" t="s">
        <v>504</v>
      </c>
      <c r="P42" s="5">
        <f t="shared" si="1"/>
        <v>1</v>
      </c>
      <c r="Q42" s="159" t="s">
        <v>505</v>
      </c>
      <c r="R42" s="134" t="s">
        <v>619</v>
      </c>
      <c r="S42" s="105" t="str">
        <f t="shared" si="2"/>
        <v>Small</v>
      </c>
      <c r="T42" s="106"/>
      <c r="U42" s="5"/>
      <c r="V42" s="19" t="s">
        <v>51</v>
      </c>
      <c r="W42" s="105" t="s">
        <v>111</v>
      </c>
      <c r="X42" s="5" t="s">
        <v>88</v>
      </c>
      <c r="Y42" s="19" t="s">
        <v>52</v>
      </c>
      <c r="Z42" s="19" t="s">
        <v>54</v>
      </c>
      <c r="AA42" s="19" t="s">
        <v>53</v>
      </c>
      <c r="AB42" s="19" t="s">
        <v>166</v>
      </c>
      <c r="AC42" s="19" t="s">
        <v>784</v>
      </c>
    </row>
    <row r="43" spans="1:29" x14ac:dyDescent="0.25">
      <c r="A43" s="20">
        <v>1980</v>
      </c>
      <c r="B43" s="5">
        <v>1980</v>
      </c>
      <c r="C43" s="6">
        <v>9</v>
      </c>
      <c r="D43" s="6" t="s">
        <v>542</v>
      </c>
      <c r="E43" s="6">
        <v>258</v>
      </c>
      <c r="F43" s="88">
        <v>1900</v>
      </c>
      <c r="G43" s="109">
        <f>F43/(E43*(24*60))</f>
        <v>5.1141257536606371E-3</v>
      </c>
      <c r="H43" s="6"/>
      <c r="I43" s="111"/>
      <c r="J43" s="6"/>
      <c r="K43" s="141" t="s">
        <v>469</v>
      </c>
      <c r="L43" s="104"/>
      <c r="M43" s="113" t="s">
        <v>892</v>
      </c>
      <c r="N43" s="114" t="s">
        <v>892</v>
      </c>
      <c r="O43" s="5" t="s">
        <v>504</v>
      </c>
      <c r="P43" s="5">
        <f t="shared" si="1"/>
        <v>0</v>
      </c>
      <c r="Q43" s="134" t="s">
        <v>626</v>
      </c>
      <c r="R43" s="134" t="s">
        <v>626</v>
      </c>
      <c r="S43" s="105" t="str">
        <f t="shared" si="2"/>
        <v>Small</v>
      </c>
      <c r="T43" s="106"/>
      <c r="U43" s="108"/>
      <c r="V43" s="19"/>
      <c r="W43" s="105"/>
      <c r="X43" s="5"/>
      <c r="Y43" s="19"/>
      <c r="Z43" s="19"/>
      <c r="AA43" s="19"/>
      <c r="AB43" s="134" t="s">
        <v>628</v>
      </c>
      <c r="AC43" s="134"/>
    </row>
    <row r="44" spans="1:29" ht="170.25" customHeight="1" x14ac:dyDescent="0.25">
      <c r="A44" s="20">
        <v>1980</v>
      </c>
      <c r="B44" s="5">
        <v>1980</v>
      </c>
      <c r="C44" s="6">
        <v>10</v>
      </c>
      <c r="D44" s="6" t="s">
        <v>542</v>
      </c>
      <c r="E44" s="6">
        <v>307</v>
      </c>
      <c r="F44" s="88">
        <v>3123</v>
      </c>
      <c r="G44" s="109">
        <f>F44/(E44*(24*60))</f>
        <v>7.0643322475570031E-3</v>
      </c>
      <c r="H44" s="6"/>
      <c r="I44" s="111"/>
      <c r="J44" s="6"/>
      <c r="K44" s="141" t="s">
        <v>469</v>
      </c>
      <c r="L44" s="104"/>
      <c r="M44" s="113" t="s">
        <v>892</v>
      </c>
      <c r="N44" s="113" t="s">
        <v>892</v>
      </c>
      <c r="O44" s="5" t="s">
        <v>504</v>
      </c>
      <c r="P44" s="5">
        <f>IF(O44="!TT",IF(K44="No",1,0),0)</f>
        <v>0</v>
      </c>
      <c r="Q44" s="159" t="s">
        <v>505</v>
      </c>
      <c r="R44" s="134" t="s">
        <v>626</v>
      </c>
      <c r="S44" s="105" t="str">
        <f>IF(G44&lt;2,"Small","Large")</f>
        <v>Small</v>
      </c>
      <c r="T44" s="106"/>
      <c r="U44" s="5"/>
      <c r="V44" s="19"/>
      <c r="W44" s="105"/>
      <c r="X44" s="5"/>
      <c r="Y44" s="19"/>
      <c r="Z44" s="19"/>
      <c r="AA44" s="19"/>
      <c r="AB44" s="134" t="s">
        <v>740</v>
      </c>
      <c r="AC44" s="134"/>
    </row>
    <row r="45" spans="1:29" ht="93" customHeight="1" x14ac:dyDescent="0.25">
      <c r="A45" s="20">
        <v>1980</v>
      </c>
      <c r="B45" s="5" t="s">
        <v>55</v>
      </c>
      <c r="C45" s="6">
        <v>11</v>
      </c>
      <c r="D45" s="6" t="s">
        <v>542</v>
      </c>
      <c r="E45" s="6">
        <v>34</v>
      </c>
      <c r="F45" s="88">
        <v>25628</v>
      </c>
      <c r="G45" s="109">
        <f>F45/(E45*(24*60))</f>
        <v>0.52344771241830068</v>
      </c>
      <c r="H45" s="6"/>
      <c r="I45" s="111"/>
      <c r="J45" s="6" t="s">
        <v>538</v>
      </c>
      <c r="K45" s="141" t="s">
        <v>469</v>
      </c>
      <c r="L45" s="104"/>
      <c r="M45" s="46" t="s">
        <v>900</v>
      </c>
      <c r="N45" s="140" t="s">
        <v>899</v>
      </c>
      <c r="O45" s="5" t="s">
        <v>504</v>
      </c>
      <c r="P45" s="5">
        <f t="shared" si="1"/>
        <v>0</v>
      </c>
      <c r="Q45" s="134" t="s">
        <v>626</v>
      </c>
      <c r="R45" s="134" t="s">
        <v>626</v>
      </c>
      <c r="S45" s="105" t="str">
        <f t="shared" si="2"/>
        <v>Small</v>
      </c>
      <c r="T45" s="106"/>
      <c r="U45" s="108">
        <v>15000</v>
      </c>
      <c r="V45" s="131" t="s">
        <v>620</v>
      </c>
      <c r="W45" s="105" t="s">
        <v>111</v>
      </c>
      <c r="X45" s="5" t="s">
        <v>88</v>
      </c>
      <c r="Y45" s="19"/>
      <c r="Z45" s="19" t="s">
        <v>56</v>
      </c>
      <c r="AA45" s="19"/>
      <c r="AB45" s="19" t="s">
        <v>744</v>
      </c>
      <c r="AC45" s="19" t="s">
        <v>786</v>
      </c>
    </row>
    <row r="46" spans="1:29" ht="241.5" customHeight="1" x14ac:dyDescent="0.25">
      <c r="A46" s="20">
        <v>1981</v>
      </c>
      <c r="B46" s="5">
        <v>1981</v>
      </c>
      <c r="C46" s="6">
        <v>7</v>
      </c>
      <c r="D46" s="6" t="s">
        <v>542</v>
      </c>
      <c r="E46" s="6"/>
      <c r="F46" s="88">
        <v>6505</v>
      </c>
      <c r="G46" s="107"/>
      <c r="H46" s="6"/>
      <c r="I46" s="111"/>
      <c r="J46" s="6"/>
      <c r="K46" s="141" t="s">
        <v>469</v>
      </c>
      <c r="L46" s="104"/>
      <c r="M46" s="113" t="s">
        <v>892</v>
      </c>
      <c r="N46" s="46" t="s">
        <v>903</v>
      </c>
      <c r="O46" s="5" t="s">
        <v>504</v>
      </c>
      <c r="P46" s="5">
        <f>IF(O46="!TT",IF(K46="No",1,0),0)</f>
        <v>0</v>
      </c>
      <c r="Q46" s="159" t="s">
        <v>505</v>
      </c>
      <c r="R46" s="134" t="s">
        <v>619</v>
      </c>
      <c r="S46" s="105" t="str">
        <f>IF(G46&lt;2,"Small","Large")</f>
        <v>Small</v>
      </c>
      <c r="T46" s="106"/>
      <c r="U46" s="108">
        <v>6505</v>
      </c>
      <c r="V46" s="132" t="s">
        <v>621</v>
      </c>
      <c r="W46" s="105" t="s">
        <v>111</v>
      </c>
      <c r="X46" s="5" t="s">
        <v>88</v>
      </c>
      <c r="Y46" s="19"/>
      <c r="Z46" s="19"/>
      <c r="AA46" s="19" t="s">
        <v>510</v>
      </c>
      <c r="AB46" s="134" t="s">
        <v>632</v>
      </c>
      <c r="AC46" s="134" t="s">
        <v>785</v>
      </c>
    </row>
    <row r="47" spans="1:29" ht="45" x14ac:dyDescent="0.25">
      <c r="A47" s="20">
        <v>1981</v>
      </c>
      <c r="B47" s="5">
        <v>1981</v>
      </c>
      <c r="C47" s="6">
        <v>16</v>
      </c>
      <c r="D47" s="6" t="s">
        <v>542</v>
      </c>
      <c r="E47" s="6"/>
      <c r="F47" s="6"/>
      <c r="G47" s="107"/>
      <c r="H47" s="6" t="s">
        <v>540</v>
      </c>
      <c r="I47" s="111"/>
      <c r="J47" s="6" t="s">
        <v>538</v>
      </c>
      <c r="K47" s="141" t="s">
        <v>469</v>
      </c>
      <c r="L47" s="104"/>
      <c r="M47" s="114"/>
      <c r="N47" s="114"/>
      <c r="O47" s="5" t="s">
        <v>500</v>
      </c>
      <c r="P47" s="5">
        <f t="shared" si="1"/>
        <v>0</v>
      </c>
      <c r="Q47" s="159" t="s">
        <v>505</v>
      </c>
      <c r="R47" s="134" t="s">
        <v>619</v>
      </c>
      <c r="S47" s="105" t="str">
        <f t="shared" si="2"/>
        <v>Small</v>
      </c>
      <c r="T47" s="106"/>
      <c r="U47" s="5"/>
      <c r="V47" s="19" t="s">
        <v>90</v>
      </c>
      <c r="W47" s="105" t="s">
        <v>111</v>
      </c>
      <c r="X47" s="5"/>
      <c r="Y47" s="19"/>
      <c r="Z47" s="19"/>
      <c r="AA47" s="19" t="s">
        <v>545</v>
      </c>
      <c r="AB47" s="19" t="s">
        <v>629</v>
      </c>
      <c r="AC47" s="19" t="s">
        <v>787</v>
      </c>
    </row>
    <row r="48" spans="1:29" ht="60" x14ac:dyDescent="0.25">
      <c r="A48" s="44">
        <v>1981</v>
      </c>
      <c r="B48" s="45" t="s">
        <v>57</v>
      </c>
      <c r="C48" s="140">
        <v>10</v>
      </c>
      <c r="D48" s="6" t="s">
        <v>543</v>
      </c>
      <c r="E48" s="6"/>
      <c r="F48" s="6"/>
      <c r="G48" s="107"/>
      <c r="H48" s="6"/>
      <c r="I48" s="111"/>
      <c r="J48" s="6"/>
      <c r="K48" s="6" t="s">
        <v>342</v>
      </c>
      <c r="L48" s="104"/>
      <c r="M48" s="46" t="s">
        <v>904</v>
      </c>
      <c r="N48" s="324" t="s">
        <v>905</v>
      </c>
      <c r="O48" s="5" t="s">
        <v>504</v>
      </c>
      <c r="P48" s="5">
        <f t="shared" si="1"/>
        <v>1</v>
      </c>
      <c r="Q48" s="159" t="s">
        <v>505</v>
      </c>
      <c r="R48" s="134" t="s">
        <v>619</v>
      </c>
      <c r="S48" s="105" t="str">
        <f t="shared" si="2"/>
        <v>Small</v>
      </c>
      <c r="T48" s="106"/>
      <c r="U48" s="5"/>
      <c r="V48" s="19" t="s">
        <v>58</v>
      </c>
      <c r="W48" s="105" t="s">
        <v>111</v>
      </c>
      <c r="X48" s="5" t="s">
        <v>88</v>
      </c>
      <c r="Y48" s="19"/>
      <c r="Z48" s="19" t="s">
        <v>11</v>
      </c>
      <c r="AA48" s="19" t="s">
        <v>527</v>
      </c>
      <c r="AB48" s="19" t="s">
        <v>741</v>
      </c>
      <c r="AC48" s="19" t="s">
        <v>788</v>
      </c>
    </row>
    <row r="49" spans="1:29" ht="60" x14ac:dyDescent="0.25">
      <c r="A49" s="20">
        <v>1981</v>
      </c>
      <c r="B49" s="5" t="s">
        <v>59</v>
      </c>
      <c r="C49" s="6">
        <v>12</v>
      </c>
      <c r="D49" s="6" t="s">
        <v>542</v>
      </c>
      <c r="E49" s="6">
        <v>2</v>
      </c>
      <c r="F49" s="88">
        <v>4280</v>
      </c>
      <c r="G49" s="109">
        <f>F49/(E49*(24*60))</f>
        <v>1.4861111111111112</v>
      </c>
      <c r="H49" s="6"/>
      <c r="I49" s="111"/>
      <c r="J49" s="6"/>
      <c r="K49" s="141" t="s">
        <v>469</v>
      </c>
      <c r="L49" s="104"/>
      <c r="M49" s="113" t="s">
        <v>892</v>
      </c>
      <c r="N49" s="46" t="s">
        <v>906</v>
      </c>
      <c r="O49" s="5" t="s">
        <v>504</v>
      </c>
      <c r="P49" s="5">
        <f t="shared" si="1"/>
        <v>0</v>
      </c>
      <c r="Q49" s="159" t="s">
        <v>505</v>
      </c>
      <c r="R49" s="134" t="s">
        <v>619</v>
      </c>
      <c r="S49" s="105" t="str">
        <f t="shared" si="2"/>
        <v>Small</v>
      </c>
      <c r="T49" s="106"/>
      <c r="U49" s="5"/>
      <c r="V49" s="19" t="s">
        <v>60</v>
      </c>
      <c r="W49" s="105" t="s">
        <v>111</v>
      </c>
      <c r="X49" s="5" t="s">
        <v>88</v>
      </c>
      <c r="Y49" s="19"/>
      <c r="Z49" s="19"/>
      <c r="AA49" s="19" t="s">
        <v>61</v>
      </c>
      <c r="AB49" s="19" t="s">
        <v>745</v>
      </c>
      <c r="AC49" s="19" t="s">
        <v>789</v>
      </c>
    </row>
    <row r="50" spans="1:29" ht="75" x14ac:dyDescent="0.25">
      <c r="A50" s="20">
        <v>1981</v>
      </c>
      <c r="B50" s="5" t="s">
        <v>62</v>
      </c>
      <c r="C50" s="6">
        <v>15</v>
      </c>
      <c r="D50" s="6" t="s">
        <v>542</v>
      </c>
      <c r="E50" s="6"/>
      <c r="F50" s="6" t="s">
        <v>540</v>
      </c>
      <c r="G50" s="107"/>
      <c r="H50" s="6"/>
      <c r="I50" s="111"/>
      <c r="J50" s="6"/>
      <c r="K50" s="141" t="s">
        <v>469</v>
      </c>
      <c r="L50" s="104"/>
      <c r="M50" s="46"/>
      <c r="N50" s="46" t="s">
        <v>907</v>
      </c>
      <c r="O50" s="5" t="s">
        <v>504</v>
      </c>
      <c r="P50" s="5">
        <f t="shared" si="1"/>
        <v>0</v>
      </c>
      <c r="Q50" s="159" t="s">
        <v>505</v>
      </c>
      <c r="R50" s="134" t="s">
        <v>619</v>
      </c>
      <c r="S50" s="105" t="str">
        <f t="shared" si="2"/>
        <v>Small</v>
      </c>
      <c r="T50" s="106"/>
      <c r="U50" s="5"/>
      <c r="V50" s="19" t="s">
        <v>63</v>
      </c>
      <c r="W50" s="105" t="s">
        <v>111</v>
      </c>
      <c r="X50" s="5" t="s">
        <v>88</v>
      </c>
      <c r="Y50" s="19"/>
      <c r="Z50" s="19"/>
      <c r="AA50" s="19" t="s">
        <v>64</v>
      </c>
      <c r="AB50" s="19" t="s">
        <v>747</v>
      </c>
      <c r="AC50" s="19" t="s">
        <v>790</v>
      </c>
    </row>
    <row r="51" spans="1:29" ht="51.75" customHeight="1" x14ac:dyDescent="0.25">
      <c r="A51" s="20">
        <v>1981</v>
      </c>
      <c r="B51" s="45" t="s">
        <v>624</v>
      </c>
      <c r="C51" s="6">
        <v>13</v>
      </c>
      <c r="D51" s="27" t="s">
        <v>635</v>
      </c>
      <c r="E51" s="140"/>
      <c r="F51" s="6" t="s">
        <v>540</v>
      </c>
      <c r="G51" s="140"/>
      <c r="H51" s="6"/>
      <c r="I51" s="6"/>
      <c r="J51" s="6"/>
      <c r="K51" s="140"/>
      <c r="L51" s="104"/>
      <c r="M51" s="46"/>
      <c r="N51" s="46" t="s">
        <v>908</v>
      </c>
      <c r="O51" s="5" t="s">
        <v>504</v>
      </c>
      <c r="P51" s="5"/>
      <c r="Q51" s="159" t="s">
        <v>505</v>
      </c>
      <c r="R51" s="134" t="s">
        <v>619</v>
      </c>
      <c r="S51" s="106" t="s">
        <v>111</v>
      </c>
      <c r="T51" s="146"/>
      <c r="U51" s="19"/>
      <c r="V51" s="105"/>
      <c r="W51" s="133" t="s">
        <v>619</v>
      </c>
      <c r="X51" s="5"/>
      <c r="Y51" s="19"/>
      <c r="Z51" s="19"/>
      <c r="AA51" s="134" t="s">
        <v>619</v>
      </c>
      <c r="AB51" s="145" t="s">
        <v>746</v>
      </c>
      <c r="AC51" s="145" t="s">
        <v>791</v>
      </c>
    </row>
    <row r="52" spans="1:29" ht="30" x14ac:dyDescent="0.25">
      <c r="A52" s="20">
        <v>1981</v>
      </c>
      <c r="B52" s="5" t="s">
        <v>65</v>
      </c>
      <c r="C52" s="6">
        <v>16</v>
      </c>
      <c r="D52" s="6" t="s">
        <v>542</v>
      </c>
      <c r="E52" s="6"/>
      <c r="F52" s="213" t="s">
        <v>546</v>
      </c>
      <c r="G52" s="107"/>
      <c r="H52" s="6"/>
      <c r="I52" s="111"/>
      <c r="J52" s="6"/>
      <c r="K52" s="6" t="s">
        <v>342</v>
      </c>
      <c r="L52" s="104"/>
      <c r="M52" s="114"/>
      <c r="N52" s="114"/>
      <c r="O52" s="5" t="s">
        <v>500</v>
      </c>
      <c r="P52" s="5">
        <f t="shared" si="1"/>
        <v>0</v>
      </c>
      <c r="Q52" s="159" t="s">
        <v>505</v>
      </c>
      <c r="R52" s="134" t="s">
        <v>619</v>
      </c>
      <c r="S52" s="105" t="str">
        <f t="shared" si="2"/>
        <v>Small</v>
      </c>
      <c r="T52" s="106"/>
      <c r="U52" s="5"/>
      <c r="V52" s="19" t="s">
        <v>63</v>
      </c>
      <c r="W52" s="105" t="s">
        <v>111</v>
      </c>
      <c r="X52" s="5"/>
      <c r="Y52" s="19"/>
      <c r="Z52" s="19"/>
      <c r="AA52" s="19" t="s">
        <v>66</v>
      </c>
      <c r="AB52" s="19" t="s">
        <v>165</v>
      </c>
      <c r="AC52" s="19"/>
    </row>
    <row r="53" spans="1:29" ht="60" customHeight="1" x14ac:dyDescent="0.25">
      <c r="A53" s="20">
        <v>1982</v>
      </c>
      <c r="B53" s="45" t="s">
        <v>622</v>
      </c>
      <c r="C53" s="6">
        <v>14</v>
      </c>
      <c r="D53" s="27" t="s">
        <v>543</v>
      </c>
      <c r="E53" s="6"/>
      <c r="F53" s="6"/>
      <c r="G53" s="107"/>
      <c r="H53" s="6"/>
      <c r="I53" s="6"/>
      <c r="J53" s="6"/>
      <c r="K53" s="6"/>
      <c r="L53" s="104"/>
      <c r="M53" s="113" t="s">
        <v>892</v>
      </c>
      <c r="N53" s="114" t="s">
        <v>892</v>
      </c>
      <c r="O53" s="5" t="s">
        <v>504</v>
      </c>
      <c r="P53" s="5"/>
      <c r="Q53" s="134" t="s">
        <v>626</v>
      </c>
      <c r="R53" s="134" t="s">
        <v>626</v>
      </c>
      <c r="S53" s="106" t="s">
        <v>111</v>
      </c>
      <c r="T53" s="146"/>
      <c r="U53" s="19"/>
      <c r="V53" s="133" t="s">
        <v>623</v>
      </c>
      <c r="W53" s="133" t="s">
        <v>618</v>
      </c>
      <c r="X53" s="5"/>
      <c r="Y53" s="19"/>
      <c r="Z53" s="19"/>
      <c r="AA53" s="19" t="s">
        <v>637</v>
      </c>
      <c r="AB53" s="145" t="s">
        <v>748</v>
      </c>
      <c r="AC53" s="145" t="s">
        <v>792</v>
      </c>
    </row>
    <row r="54" spans="1:29" ht="60" x14ac:dyDescent="0.25">
      <c r="A54" s="20">
        <v>1982</v>
      </c>
      <c r="B54" s="5" t="s">
        <v>67</v>
      </c>
      <c r="C54" s="6">
        <v>1</v>
      </c>
      <c r="D54" s="6" t="s">
        <v>542</v>
      </c>
      <c r="E54" s="6">
        <v>6</v>
      </c>
      <c r="F54" s="88">
        <v>2417</v>
      </c>
      <c r="G54" s="109">
        <f>F54/(E54*(24*60))</f>
        <v>0.27974537037037039</v>
      </c>
      <c r="H54" s="6"/>
      <c r="I54" s="111"/>
      <c r="J54" s="6" t="s">
        <v>538</v>
      </c>
      <c r="K54" s="141" t="s">
        <v>469</v>
      </c>
      <c r="L54" s="104"/>
      <c r="M54" s="113" t="s">
        <v>892</v>
      </c>
      <c r="N54" s="46" t="s">
        <v>901</v>
      </c>
      <c r="O54" s="5" t="s">
        <v>504</v>
      </c>
      <c r="P54" s="5">
        <f t="shared" si="1"/>
        <v>0</v>
      </c>
      <c r="Q54" s="134" t="s">
        <v>626</v>
      </c>
      <c r="R54" s="134" t="s">
        <v>626</v>
      </c>
      <c r="S54" s="105" t="str">
        <f t="shared" si="2"/>
        <v>Small</v>
      </c>
      <c r="T54" s="106"/>
      <c r="U54" s="108">
        <v>5517</v>
      </c>
      <c r="V54" s="19" t="s">
        <v>68</v>
      </c>
      <c r="W54" s="105" t="s">
        <v>111</v>
      </c>
      <c r="X54" s="5" t="s">
        <v>89</v>
      </c>
      <c r="Y54" s="19" t="s">
        <v>69</v>
      </c>
      <c r="Z54" s="19"/>
      <c r="AA54" s="19"/>
      <c r="AB54" s="19" t="s">
        <v>735</v>
      </c>
      <c r="AC54" s="19" t="s">
        <v>793</v>
      </c>
    </row>
    <row r="55" spans="1:29" x14ac:dyDescent="0.25">
      <c r="A55" s="20">
        <v>1982</v>
      </c>
      <c r="B55" s="5">
        <v>1982</v>
      </c>
      <c r="C55" s="6">
        <v>1</v>
      </c>
      <c r="D55" s="6" t="s">
        <v>542</v>
      </c>
      <c r="E55" s="6">
        <v>55</v>
      </c>
      <c r="F55" s="88">
        <v>871</v>
      </c>
      <c r="G55" s="109">
        <f>F55/(E55*(24*60))</f>
        <v>1.0997474747474747E-2</v>
      </c>
      <c r="H55" s="6"/>
      <c r="I55" s="111"/>
      <c r="J55" s="6" t="s">
        <v>538</v>
      </c>
      <c r="K55" s="141" t="s">
        <v>469</v>
      </c>
      <c r="L55" s="104"/>
      <c r="M55" s="113" t="s">
        <v>892</v>
      </c>
      <c r="N55" s="46" t="s">
        <v>909</v>
      </c>
      <c r="O55" s="5" t="s">
        <v>504</v>
      </c>
      <c r="P55" s="5">
        <f t="shared" si="1"/>
        <v>0</v>
      </c>
      <c r="Q55" s="159" t="s">
        <v>505</v>
      </c>
      <c r="R55" s="134" t="s">
        <v>619</v>
      </c>
      <c r="S55" s="105" t="str">
        <f t="shared" si="2"/>
        <v>Small</v>
      </c>
      <c r="T55" s="106"/>
      <c r="U55" s="108"/>
      <c r="V55" s="19"/>
      <c r="W55" s="105"/>
      <c r="X55" s="5"/>
      <c r="Y55" s="19"/>
      <c r="Z55" s="19"/>
      <c r="AA55" s="19"/>
      <c r="AB55" s="134" t="s">
        <v>628</v>
      </c>
      <c r="AC55" s="134"/>
    </row>
    <row r="56" spans="1:29" ht="33" customHeight="1" x14ac:dyDescent="0.25">
      <c r="A56" s="20">
        <v>1983</v>
      </c>
      <c r="B56" s="5">
        <v>1983</v>
      </c>
      <c r="C56" s="6">
        <v>1</v>
      </c>
      <c r="D56" s="6" t="s">
        <v>542</v>
      </c>
      <c r="E56" s="6">
        <v>77</v>
      </c>
      <c r="F56" s="88">
        <v>2229</v>
      </c>
      <c r="G56" s="109">
        <f>F56/(E56*(24*60))</f>
        <v>2.0102813852813851E-2</v>
      </c>
      <c r="H56" s="6"/>
      <c r="I56" s="111"/>
      <c r="J56" s="6" t="s">
        <v>538</v>
      </c>
      <c r="K56" s="141" t="s">
        <v>469</v>
      </c>
      <c r="L56" s="104"/>
      <c r="M56" s="113" t="s">
        <v>892</v>
      </c>
      <c r="N56" s="46" t="s">
        <v>910</v>
      </c>
      <c r="O56" s="5" t="s">
        <v>504</v>
      </c>
      <c r="P56" s="5">
        <f t="shared" si="1"/>
        <v>0</v>
      </c>
      <c r="Q56" s="159" t="s">
        <v>505</v>
      </c>
      <c r="R56" s="134" t="s">
        <v>619</v>
      </c>
      <c r="S56" s="105" t="str">
        <f t="shared" si="2"/>
        <v>Small</v>
      </c>
      <c r="T56" s="106"/>
      <c r="U56" s="108"/>
      <c r="V56" s="19"/>
      <c r="W56" s="105"/>
      <c r="X56" s="5"/>
      <c r="Y56" s="19"/>
      <c r="Z56" s="19"/>
      <c r="AA56" s="19"/>
      <c r="AB56" s="134" t="s">
        <v>628</v>
      </c>
      <c r="AC56" s="134"/>
    </row>
    <row r="57" spans="1:29" ht="42.75" customHeight="1" x14ac:dyDescent="0.25">
      <c r="A57" s="20"/>
      <c r="B57" s="87">
        <v>1983</v>
      </c>
      <c r="C57" s="113" t="s">
        <v>556</v>
      </c>
      <c r="D57" s="113" t="s">
        <v>558</v>
      </c>
      <c r="E57" s="114">
        <v>23</v>
      </c>
      <c r="F57" s="325">
        <v>-1090</v>
      </c>
      <c r="G57" s="326">
        <f>F57/(E57*(24*60))</f>
        <v>-3.2910628019323672E-2</v>
      </c>
      <c r="H57" s="114"/>
      <c r="I57" s="115"/>
      <c r="J57" s="114" t="s">
        <v>538</v>
      </c>
      <c r="K57" s="114" t="s">
        <v>559</v>
      </c>
      <c r="L57" s="104"/>
      <c r="M57" s="114"/>
      <c r="N57" s="114"/>
      <c r="O57" s="87"/>
      <c r="P57" s="87">
        <f t="shared" si="1"/>
        <v>0</v>
      </c>
      <c r="Q57" s="116"/>
      <c r="R57" s="134" t="s">
        <v>619</v>
      </c>
      <c r="S57" s="116"/>
      <c r="T57" s="106"/>
      <c r="U57" s="119"/>
      <c r="V57" s="116"/>
      <c r="W57" s="116"/>
      <c r="X57" s="87"/>
      <c r="Y57" s="116"/>
      <c r="Z57" s="116"/>
      <c r="AA57" s="116"/>
      <c r="AB57" s="116" t="s">
        <v>633</v>
      </c>
      <c r="AC57" s="116"/>
    </row>
    <row r="58" spans="1:29" ht="46.5" customHeight="1" x14ac:dyDescent="0.25">
      <c r="A58" s="20"/>
      <c r="B58" s="87">
        <v>1983</v>
      </c>
      <c r="C58" s="113" t="s">
        <v>557</v>
      </c>
      <c r="D58" s="113" t="s">
        <v>558</v>
      </c>
      <c r="E58" s="114">
        <v>38</v>
      </c>
      <c r="F58" s="325">
        <v>-1004</v>
      </c>
      <c r="G58" s="326">
        <f>F58/(E58*(24*60))</f>
        <v>-1.8347953216374269E-2</v>
      </c>
      <c r="H58" s="114"/>
      <c r="I58" s="115"/>
      <c r="J58" s="114" t="s">
        <v>538</v>
      </c>
      <c r="K58" s="114" t="s">
        <v>559</v>
      </c>
      <c r="L58" s="104"/>
      <c r="M58" s="114"/>
      <c r="N58" s="114"/>
      <c r="O58" s="87"/>
      <c r="P58" s="87">
        <f t="shared" si="1"/>
        <v>0</v>
      </c>
      <c r="Q58" s="116"/>
      <c r="R58" s="134" t="s">
        <v>619</v>
      </c>
      <c r="S58" s="116"/>
      <c r="T58" s="106"/>
      <c r="U58" s="119"/>
      <c r="V58" s="116"/>
      <c r="W58" s="116"/>
      <c r="X58" s="87"/>
      <c r="Y58" s="116"/>
      <c r="Z58" s="116"/>
      <c r="AA58" s="116"/>
      <c r="AB58" s="116" t="s">
        <v>628</v>
      </c>
      <c r="AC58" s="116"/>
    </row>
    <row r="59" spans="1:29" ht="45" x14ac:dyDescent="0.25">
      <c r="A59" s="20"/>
      <c r="B59" s="87">
        <v>1998</v>
      </c>
      <c r="C59" s="113" t="s">
        <v>548</v>
      </c>
      <c r="D59" s="113" t="s">
        <v>551</v>
      </c>
      <c r="E59" s="114"/>
      <c r="F59" s="114"/>
      <c r="G59" s="114"/>
      <c r="H59" s="114"/>
      <c r="I59" s="115"/>
      <c r="J59" s="114"/>
      <c r="K59" s="114" t="s">
        <v>342</v>
      </c>
      <c r="L59" s="104"/>
      <c r="M59" s="114"/>
      <c r="N59" s="114"/>
      <c r="O59" s="87"/>
      <c r="P59" s="87"/>
      <c r="Q59" s="116"/>
      <c r="R59" s="134" t="s">
        <v>619</v>
      </c>
      <c r="S59" s="116"/>
      <c r="T59" s="106"/>
      <c r="U59" s="87"/>
      <c r="V59" s="116"/>
      <c r="W59" s="116"/>
      <c r="X59" s="87" t="s">
        <v>89</v>
      </c>
      <c r="Y59" s="116" t="s">
        <v>70</v>
      </c>
      <c r="Z59" s="116"/>
      <c r="AA59" s="116" t="s">
        <v>509</v>
      </c>
      <c r="AB59" s="116" t="s">
        <v>756</v>
      </c>
      <c r="AC59" s="116" t="s">
        <v>794</v>
      </c>
    </row>
    <row r="60" spans="1:29" ht="75" x14ac:dyDescent="0.25">
      <c r="A60" s="20">
        <v>1998</v>
      </c>
      <c r="B60" s="5" t="s">
        <v>71</v>
      </c>
      <c r="C60" s="6">
        <v>16</v>
      </c>
      <c r="D60" s="6" t="s">
        <v>542</v>
      </c>
      <c r="E60" s="6">
        <v>31</v>
      </c>
      <c r="F60" s="88">
        <v>1469</v>
      </c>
      <c r="G60" s="109">
        <f>F60/(E60*(24*60))</f>
        <v>3.2907706093189965E-2</v>
      </c>
      <c r="H60" s="6"/>
      <c r="I60" s="111"/>
      <c r="J60" s="6"/>
      <c r="K60" s="6" t="s">
        <v>342</v>
      </c>
      <c r="L60" s="104"/>
      <c r="M60" s="113" t="s">
        <v>892</v>
      </c>
      <c r="N60" s="140" t="s">
        <v>902</v>
      </c>
      <c r="O60" s="5" t="s">
        <v>504</v>
      </c>
      <c r="P60" s="5">
        <f t="shared" si="1"/>
        <v>1</v>
      </c>
      <c r="Q60" s="134" t="s">
        <v>626</v>
      </c>
      <c r="R60" s="134" t="s">
        <v>626</v>
      </c>
      <c r="S60" s="105" t="str">
        <f>IF(G60&lt;2,"Small","Large")</f>
        <v>Small</v>
      </c>
      <c r="T60" s="106"/>
      <c r="U60" s="108">
        <v>1469</v>
      </c>
      <c r="V60" s="19" t="s">
        <v>72</v>
      </c>
      <c r="W60" s="105" t="s">
        <v>111</v>
      </c>
      <c r="X60" s="5"/>
      <c r="Y60" s="19" t="s">
        <v>91</v>
      </c>
      <c r="Z60" s="19" t="s">
        <v>11</v>
      </c>
      <c r="AA60" s="19"/>
      <c r="AB60" s="145" t="s">
        <v>732</v>
      </c>
      <c r="AC60" s="145" t="s">
        <v>795</v>
      </c>
    </row>
    <row r="61" spans="1:29" ht="49.5" customHeight="1" x14ac:dyDescent="0.25">
      <c r="A61" s="20">
        <v>1999</v>
      </c>
      <c r="B61" s="5" t="s">
        <v>73</v>
      </c>
      <c r="C61" s="6">
        <v>1</v>
      </c>
      <c r="D61" s="6" t="s">
        <v>543</v>
      </c>
      <c r="E61" s="6"/>
      <c r="F61" s="6"/>
      <c r="G61" s="107"/>
      <c r="H61" s="6"/>
      <c r="I61" s="111"/>
      <c r="J61" s="6"/>
      <c r="K61" s="6" t="s">
        <v>342</v>
      </c>
      <c r="L61" s="104"/>
      <c r="M61" s="114"/>
      <c r="N61" s="114"/>
      <c r="O61" s="5" t="s">
        <v>500</v>
      </c>
      <c r="P61" s="5">
        <f t="shared" si="1"/>
        <v>0</v>
      </c>
      <c r="Q61" s="134" t="s">
        <v>626</v>
      </c>
      <c r="R61" s="134" t="s">
        <v>626</v>
      </c>
      <c r="S61" s="105" t="str">
        <f>IF(G61&lt;2,"Small","Large")</f>
        <v>Small</v>
      </c>
      <c r="T61" s="106"/>
      <c r="U61" s="5"/>
      <c r="V61" s="19" t="s">
        <v>74</v>
      </c>
      <c r="W61" s="105" t="s">
        <v>111</v>
      </c>
      <c r="X61" s="5" t="s">
        <v>89</v>
      </c>
      <c r="Y61" s="19" t="s">
        <v>75</v>
      </c>
      <c r="Z61" s="19"/>
      <c r="AA61" s="19" t="s">
        <v>526</v>
      </c>
      <c r="AB61" s="19" t="s">
        <v>737</v>
      </c>
      <c r="AC61" s="223" t="s">
        <v>796</v>
      </c>
    </row>
    <row r="62" spans="1:29" ht="30" x14ac:dyDescent="0.25">
      <c r="A62" s="20">
        <v>2002</v>
      </c>
      <c r="B62" s="5" t="s">
        <v>76</v>
      </c>
      <c r="C62" s="6">
        <v>6</v>
      </c>
      <c r="D62" s="6" t="s">
        <v>543</v>
      </c>
      <c r="E62" s="6"/>
      <c r="F62" s="6"/>
      <c r="G62" s="107"/>
      <c r="H62" s="6"/>
      <c r="I62" s="111"/>
      <c r="J62" s="6"/>
      <c r="K62" s="6" t="s">
        <v>342</v>
      </c>
      <c r="L62" s="104"/>
      <c r="M62" s="113" t="s">
        <v>892</v>
      </c>
      <c r="N62" s="113" t="s">
        <v>892</v>
      </c>
      <c r="O62" s="5" t="s">
        <v>504</v>
      </c>
      <c r="P62" s="5">
        <f t="shared" si="1"/>
        <v>1</v>
      </c>
      <c r="Q62" s="134" t="s">
        <v>626</v>
      </c>
      <c r="R62" s="134" t="s">
        <v>626</v>
      </c>
      <c r="S62" s="105" t="str">
        <f>IF(G62&lt;2,"Small","Large")</f>
        <v>Small</v>
      </c>
      <c r="T62" s="106"/>
      <c r="U62" s="5"/>
      <c r="V62" s="19"/>
      <c r="W62" s="105" t="s">
        <v>111</v>
      </c>
      <c r="X62" s="5" t="s">
        <v>89</v>
      </c>
      <c r="Y62" s="19" t="s">
        <v>77</v>
      </c>
      <c r="Z62" s="19"/>
      <c r="AA62" s="19"/>
      <c r="AB62" s="19" t="s">
        <v>5</v>
      </c>
      <c r="AC62" s="223" t="s">
        <v>797</v>
      </c>
    </row>
    <row r="63" spans="1:29" s="327" customFormat="1" ht="43.5" customHeight="1" x14ac:dyDescent="0.25">
      <c r="A63" s="369">
        <v>2008</v>
      </c>
      <c r="B63" s="370" t="s">
        <v>944</v>
      </c>
      <c r="C63" s="371">
        <v>2</v>
      </c>
      <c r="D63" s="371" t="s">
        <v>543</v>
      </c>
      <c r="E63" s="371"/>
      <c r="F63" s="371"/>
      <c r="G63" s="372"/>
      <c r="H63" s="371"/>
      <c r="I63" s="373"/>
      <c r="J63" s="371"/>
      <c r="K63" s="371"/>
      <c r="L63" s="374"/>
      <c r="M63" s="113" t="s">
        <v>945</v>
      </c>
      <c r="N63" s="375"/>
      <c r="O63" s="370" t="s">
        <v>504</v>
      </c>
      <c r="P63" s="370"/>
      <c r="Q63" s="376" t="s">
        <v>626</v>
      </c>
      <c r="R63" s="376" t="s">
        <v>626</v>
      </c>
      <c r="S63" s="377" t="s">
        <v>111</v>
      </c>
      <c r="T63" s="378"/>
      <c r="U63" s="370"/>
      <c r="V63" s="379"/>
      <c r="W63" s="377"/>
      <c r="X63" s="370"/>
      <c r="Y63" s="379" t="s">
        <v>946</v>
      </c>
      <c r="Z63" s="379"/>
      <c r="AA63" s="379"/>
      <c r="AB63" s="379" t="s">
        <v>947</v>
      </c>
      <c r="AC63" s="380"/>
    </row>
    <row r="64" spans="1:29" s="327" customFormat="1" ht="49.5" customHeight="1" x14ac:dyDescent="0.25">
      <c r="A64" s="369">
        <v>2008</v>
      </c>
      <c r="B64" s="370" t="s">
        <v>944</v>
      </c>
      <c r="C64" s="371">
        <v>2</v>
      </c>
      <c r="D64" s="371" t="s">
        <v>543</v>
      </c>
      <c r="E64" s="371"/>
      <c r="F64" s="371"/>
      <c r="G64" s="372"/>
      <c r="H64" s="371"/>
      <c r="I64" s="373"/>
      <c r="J64" s="371"/>
      <c r="K64" s="371"/>
      <c r="L64" s="374"/>
      <c r="M64" s="113" t="s">
        <v>945</v>
      </c>
      <c r="N64" s="375"/>
      <c r="O64" s="370" t="s">
        <v>504</v>
      </c>
      <c r="P64" s="370"/>
      <c r="Q64" s="376" t="s">
        <v>626</v>
      </c>
      <c r="R64" s="376" t="s">
        <v>626</v>
      </c>
      <c r="S64" s="377" t="s">
        <v>111</v>
      </c>
      <c r="T64" s="378"/>
      <c r="U64" s="370"/>
      <c r="V64" s="379"/>
      <c r="W64" s="377"/>
      <c r="X64" s="370"/>
      <c r="Y64" s="379" t="s">
        <v>946</v>
      </c>
      <c r="Z64" s="379"/>
      <c r="AA64" s="379"/>
      <c r="AB64" s="379" t="s">
        <v>947</v>
      </c>
      <c r="AC64" s="380"/>
    </row>
    <row r="65" spans="1:41" s="327" customFormat="1" ht="49.5" customHeight="1" x14ac:dyDescent="0.25">
      <c r="A65" s="369">
        <v>2010</v>
      </c>
      <c r="B65" s="370" t="s">
        <v>948</v>
      </c>
      <c r="C65" s="371">
        <v>5</v>
      </c>
      <c r="D65" s="371" t="s">
        <v>543</v>
      </c>
      <c r="E65" s="371"/>
      <c r="F65" s="371"/>
      <c r="G65" s="372"/>
      <c r="H65" s="371"/>
      <c r="I65" s="373"/>
      <c r="J65" s="371"/>
      <c r="K65" s="371"/>
      <c r="L65" s="374"/>
      <c r="M65" s="113" t="s">
        <v>949</v>
      </c>
      <c r="N65" s="375"/>
      <c r="O65" s="370" t="s">
        <v>504</v>
      </c>
      <c r="P65" s="370"/>
      <c r="Q65" s="376" t="s">
        <v>626</v>
      </c>
      <c r="R65" s="376" t="s">
        <v>626</v>
      </c>
      <c r="S65" s="377" t="s">
        <v>111</v>
      </c>
      <c r="T65" s="378"/>
      <c r="U65" s="370"/>
      <c r="V65" s="379"/>
      <c r="W65" s="377"/>
      <c r="X65" s="370"/>
      <c r="Y65" s="379" t="s">
        <v>946</v>
      </c>
      <c r="Z65" s="379"/>
      <c r="AA65" s="379"/>
      <c r="AB65" s="379" t="s">
        <v>950</v>
      </c>
      <c r="AC65" s="380"/>
    </row>
    <row r="66" spans="1:41" ht="90.75" thickBot="1" x14ac:dyDescent="0.3">
      <c r="A66" s="22">
        <v>2014</v>
      </c>
      <c r="B66" s="9" t="s">
        <v>78</v>
      </c>
      <c r="C66" s="23">
        <v>5</v>
      </c>
      <c r="D66" s="23" t="s">
        <v>542</v>
      </c>
      <c r="E66" s="23"/>
      <c r="F66" s="151">
        <v>27000</v>
      </c>
      <c r="G66" s="152"/>
      <c r="H66" s="23"/>
      <c r="I66" s="153"/>
      <c r="J66" s="23"/>
      <c r="K66" s="23" t="s">
        <v>342</v>
      </c>
      <c r="L66" s="154"/>
      <c r="M66" s="113" t="s">
        <v>892</v>
      </c>
      <c r="N66" s="323" t="s">
        <v>911</v>
      </c>
      <c r="O66" s="9" t="s">
        <v>504</v>
      </c>
      <c r="P66" s="9">
        <f t="shared" si="1"/>
        <v>1</v>
      </c>
      <c r="Q66" s="160" t="s">
        <v>505</v>
      </c>
      <c r="R66" s="155" t="s">
        <v>619</v>
      </c>
      <c r="S66" s="156" t="str">
        <f>IF(G66&lt;2,"Small","Large")</f>
        <v>Small</v>
      </c>
      <c r="T66" s="157"/>
      <c r="U66" s="158">
        <v>27000</v>
      </c>
      <c r="V66" s="24"/>
      <c r="W66" s="156" t="s">
        <v>111</v>
      </c>
      <c r="X66" s="9" t="s">
        <v>89</v>
      </c>
      <c r="Y66" s="24" t="s">
        <v>79</v>
      </c>
      <c r="Z66" s="24" t="s">
        <v>86</v>
      </c>
      <c r="AA66" s="24" t="s">
        <v>87</v>
      </c>
      <c r="AB66" s="24" t="s">
        <v>634</v>
      </c>
      <c r="AC66" s="224" t="s">
        <v>798</v>
      </c>
    </row>
    <row r="67" spans="1:41" ht="15.75" thickBot="1" x14ac:dyDescent="0.3">
      <c r="U67" s="1"/>
      <c r="W67" s="53"/>
      <c r="AB67" s="4"/>
      <c r="AC67" s="4"/>
    </row>
    <row r="68" spans="1:41" x14ac:dyDescent="0.25">
      <c r="A68" s="7"/>
      <c r="B68" s="12" t="s">
        <v>82</v>
      </c>
      <c r="C68" s="100" t="s">
        <v>81</v>
      </c>
      <c r="D68" s="100"/>
      <c r="E68" s="100"/>
      <c r="F68" s="100"/>
      <c r="G68" s="100"/>
      <c r="H68" s="100"/>
      <c r="I68" s="100"/>
      <c r="J68" s="100"/>
      <c r="K68" s="100"/>
      <c r="L68" s="100"/>
      <c r="M68" s="319"/>
      <c r="N68" s="319"/>
      <c r="O68" s="90"/>
      <c r="P68" s="90"/>
      <c r="Q68" s="91"/>
      <c r="R68" s="148"/>
      <c r="S68" s="91"/>
      <c r="T68" s="91"/>
      <c r="U68" s="13" t="s">
        <v>85</v>
      </c>
      <c r="V68" s="52" t="s">
        <v>615</v>
      </c>
      <c r="W68" s="54">
        <f>COUNTIF(W2:W66,"Small")</f>
        <v>35</v>
      </c>
      <c r="AB68" s="4"/>
      <c r="AC68" s="4"/>
      <c r="AE68" t="s">
        <v>801</v>
      </c>
      <c r="AK68" t="s">
        <v>802</v>
      </c>
    </row>
    <row r="69" spans="1:41" x14ac:dyDescent="0.25">
      <c r="A69" s="14" t="s">
        <v>80</v>
      </c>
      <c r="B69" s="5">
        <v>75</v>
      </c>
      <c r="C69" s="6">
        <f>COUNT(C2:C66)</f>
        <v>61</v>
      </c>
      <c r="D69" s="6"/>
      <c r="E69" s="6"/>
      <c r="F69" s="88">
        <f>SUM(F2:F66)</f>
        <v>120973</v>
      </c>
      <c r="G69" s="6"/>
      <c r="H69" s="88">
        <f>SUM(H2:H66)</f>
        <v>52360.094999999987</v>
      </c>
      <c r="I69" s="6"/>
      <c r="J69" s="6"/>
      <c r="K69" s="6"/>
      <c r="L69" s="6"/>
      <c r="M69" s="46"/>
      <c r="N69" s="46"/>
      <c r="O69" s="5"/>
      <c r="P69" s="5"/>
      <c r="Q69" s="19"/>
      <c r="R69" s="161"/>
      <c r="S69" s="19"/>
      <c r="T69" s="19"/>
      <c r="U69" s="8">
        <f>SUM(U2:U66)</f>
        <v>150050</v>
      </c>
      <c r="V69" s="52" t="s">
        <v>616</v>
      </c>
      <c r="W69" s="54">
        <f>COUNTIF(W2:W66,"Large")</f>
        <v>0</v>
      </c>
      <c r="AE69" t="s">
        <v>803</v>
      </c>
      <c r="AF69" t="s">
        <v>804</v>
      </c>
      <c r="AG69" t="s">
        <v>805</v>
      </c>
      <c r="AK69" t="s">
        <v>803</v>
      </c>
      <c r="AL69" t="s">
        <v>804</v>
      </c>
      <c r="AM69" t="s">
        <v>805</v>
      </c>
      <c r="AN69" t="s">
        <v>806</v>
      </c>
    </row>
    <row r="70" spans="1:41" ht="15.75" thickBot="1" x14ac:dyDescent="0.3">
      <c r="A70" s="15" t="s">
        <v>83</v>
      </c>
      <c r="B70" s="9"/>
      <c r="C70" s="10">
        <f>C69/B69</f>
        <v>0.81333333333333335</v>
      </c>
      <c r="D70" s="10"/>
      <c r="E70" s="10"/>
      <c r="F70" s="10"/>
      <c r="G70" s="10"/>
      <c r="H70" s="10"/>
      <c r="I70" s="10"/>
      <c r="J70" s="10"/>
      <c r="K70" s="10"/>
      <c r="L70" s="10"/>
      <c r="M70" s="321"/>
      <c r="N70" s="321"/>
      <c r="O70" s="9"/>
      <c r="P70" s="9"/>
      <c r="Q70" s="24"/>
      <c r="R70" s="155"/>
      <c r="S70" s="24"/>
      <c r="T70" s="24"/>
      <c r="U70" s="11">
        <f>U69/B69</f>
        <v>2000.6666666666667</v>
      </c>
      <c r="AE70">
        <v>13.3</v>
      </c>
      <c r="AF70">
        <v>29</v>
      </c>
      <c r="AG70">
        <f>AE70*AF70</f>
        <v>385.70000000000005</v>
      </c>
      <c r="AK70">
        <v>609</v>
      </c>
      <c r="AL70">
        <v>4</v>
      </c>
      <c r="AM70">
        <f>AK70*AL70</f>
        <v>2436</v>
      </c>
      <c r="AN70">
        <f>AK70/24/60</f>
        <v>0.42291666666666666</v>
      </c>
    </row>
    <row r="71" spans="1:41" x14ac:dyDescent="0.25">
      <c r="A71" s="79"/>
      <c r="B71" s="55"/>
      <c r="C71" s="92"/>
      <c r="D71" s="92"/>
      <c r="E71" s="92"/>
      <c r="F71" s="92"/>
      <c r="G71" s="92"/>
      <c r="H71" s="92"/>
      <c r="I71" s="92"/>
      <c r="J71" s="92"/>
      <c r="K71" s="92"/>
      <c r="L71" s="92"/>
      <c r="M71" s="322"/>
      <c r="N71" s="322"/>
      <c r="O71" s="55"/>
      <c r="P71" s="55"/>
      <c r="Q71" s="56"/>
      <c r="S71" s="56"/>
      <c r="T71" s="56"/>
      <c r="U71" s="18"/>
      <c r="AE71">
        <v>12.8</v>
      </c>
      <c r="AF71">
        <v>24</v>
      </c>
      <c r="AG71">
        <f t="shared" ref="AG71:AG76" si="3">AE71*AF71</f>
        <v>307.20000000000005</v>
      </c>
      <c r="AK71">
        <v>334</v>
      </c>
      <c r="AL71">
        <v>5</v>
      </c>
      <c r="AM71">
        <f t="shared" ref="AM71:AM76" si="4">AK71*AL71</f>
        <v>1670</v>
      </c>
      <c r="AN71">
        <f t="shared" ref="AN71:AN76" si="5">AK71/24/60</f>
        <v>0.23194444444444443</v>
      </c>
    </row>
    <row r="72" spans="1:41" ht="15.75" thickBot="1" x14ac:dyDescent="0.3">
      <c r="A72" s="79"/>
      <c r="B72" s="55"/>
      <c r="C72" s="92"/>
      <c r="D72" s="92"/>
      <c r="E72" s="92"/>
      <c r="F72" s="92"/>
      <c r="G72" s="92"/>
      <c r="H72" s="92"/>
      <c r="I72" s="92"/>
      <c r="J72" s="92"/>
      <c r="K72" s="92"/>
      <c r="L72" s="92"/>
      <c r="M72" s="322"/>
      <c r="N72" s="322"/>
      <c r="O72" s="55"/>
      <c r="P72" s="55"/>
      <c r="Q72" s="56"/>
      <c r="S72" s="56"/>
      <c r="T72" s="56"/>
      <c r="U72" s="18"/>
      <c r="AE72">
        <v>2.4</v>
      </c>
      <c r="AF72">
        <v>38</v>
      </c>
      <c r="AG72">
        <f t="shared" si="3"/>
        <v>91.2</v>
      </c>
      <c r="AK72">
        <v>208</v>
      </c>
      <c r="AL72">
        <v>7</v>
      </c>
      <c r="AM72">
        <f t="shared" si="4"/>
        <v>1456</v>
      </c>
      <c r="AN72">
        <f t="shared" si="5"/>
        <v>0.14444444444444443</v>
      </c>
    </row>
    <row r="73" spans="1:41" ht="15.75" thickBot="1" x14ac:dyDescent="0.3">
      <c r="A73" s="79"/>
      <c r="B73" s="55"/>
      <c r="C73" s="438" t="s">
        <v>643</v>
      </c>
      <c r="D73" s="439"/>
      <c r="E73" s="439"/>
      <c r="F73" s="439"/>
      <c r="G73" s="439"/>
      <c r="H73" s="439"/>
      <c r="I73" s="439"/>
      <c r="J73" s="440"/>
      <c r="K73" s="92"/>
      <c r="L73" s="92"/>
      <c r="M73" s="322"/>
      <c r="N73" s="322"/>
      <c r="O73" s="55"/>
      <c r="P73" s="55"/>
      <c r="Q73" s="56"/>
      <c r="S73" s="56"/>
      <c r="T73" s="56"/>
      <c r="U73" s="18"/>
      <c r="AE73">
        <v>4.7</v>
      </c>
      <c r="AF73">
        <v>57</v>
      </c>
      <c r="AG73">
        <f t="shared" si="3"/>
        <v>267.90000000000003</v>
      </c>
      <c r="AK73">
        <v>12.7</v>
      </c>
      <c r="AL73">
        <v>31</v>
      </c>
      <c r="AM73">
        <f t="shared" si="4"/>
        <v>393.7</v>
      </c>
      <c r="AN73">
        <f t="shared" si="5"/>
        <v>8.819444444444444E-3</v>
      </c>
    </row>
    <row r="74" spans="1:41" ht="18.75" x14ac:dyDescent="0.3">
      <c r="A74" s="79"/>
      <c r="B74" s="55"/>
      <c r="C74" s="167"/>
      <c r="D74" s="168" t="s">
        <v>81</v>
      </c>
      <c r="E74" s="441" t="s">
        <v>561</v>
      </c>
      <c r="F74" s="441"/>
      <c r="G74" s="441"/>
      <c r="H74" s="441"/>
      <c r="I74" s="441"/>
      <c r="J74" s="442"/>
      <c r="K74" s="92"/>
      <c r="L74" s="92"/>
      <c r="M74" s="322"/>
      <c r="N74" s="322"/>
      <c r="O74" s="55"/>
      <c r="P74" s="55"/>
      <c r="Q74" s="56"/>
      <c r="S74" s="56"/>
      <c r="T74" s="56"/>
      <c r="U74" s="18"/>
      <c r="AE74">
        <v>1206</v>
      </c>
      <c r="AF74">
        <v>2</v>
      </c>
      <c r="AG74">
        <f t="shared" si="3"/>
        <v>2412</v>
      </c>
      <c r="AK74">
        <v>12</v>
      </c>
      <c r="AL74">
        <v>24</v>
      </c>
      <c r="AM74">
        <f t="shared" si="4"/>
        <v>288</v>
      </c>
      <c r="AN74">
        <f t="shared" si="5"/>
        <v>8.3333333333333332E-3</v>
      </c>
    </row>
    <row r="75" spans="1:41" ht="17.25" customHeight="1" x14ac:dyDescent="0.25">
      <c r="C75" s="93" t="s">
        <v>554</v>
      </c>
      <c r="D75" s="88">
        <f>COUNTA(D2:D66)</f>
        <v>65</v>
      </c>
      <c r="E75" s="443" t="s">
        <v>562</v>
      </c>
      <c r="F75" s="443"/>
      <c r="G75" s="443"/>
      <c r="H75" s="443"/>
      <c r="I75" s="443"/>
      <c r="J75" s="444"/>
      <c r="O75">
        <f>COUNTIF(O2:O66,"TT")</f>
        <v>32</v>
      </c>
      <c r="P75">
        <f>SUM(P2:P66)</f>
        <v>14</v>
      </c>
      <c r="Q75" s="4">
        <f>COUNTIF(Q2:Q66,"TIR")</f>
        <v>12</v>
      </c>
      <c r="AE75">
        <v>693</v>
      </c>
      <c r="AF75">
        <v>2</v>
      </c>
      <c r="AG75">
        <f t="shared" si="3"/>
        <v>1386</v>
      </c>
      <c r="AK75">
        <v>2.6</v>
      </c>
      <c r="AL75">
        <v>20</v>
      </c>
      <c r="AM75">
        <f t="shared" si="4"/>
        <v>52</v>
      </c>
      <c r="AN75">
        <f t="shared" si="5"/>
        <v>1.8055555555555557E-3</v>
      </c>
    </row>
    <row r="76" spans="1:41" ht="18" customHeight="1" x14ac:dyDescent="0.25">
      <c r="C76" s="98" t="s">
        <v>550</v>
      </c>
      <c r="D76" s="6">
        <f>COUNTIF(D2:D66,"V")</f>
        <v>47</v>
      </c>
      <c r="E76" s="414" t="s">
        <v>563</v>
      </c>
      <c r="F76" s="414"/>
      <c r="G76" s="414"/>
      <c r="H76" s="414"/>
      <c r="I76" s="414"/>
      <c r="J76" s="435"/>
      <c r="O76">
        <f>COUNTIF(O2:O66,"!TT")</f>
        <v>29</v>
      </c>
      <c r="AE76">
        <v>15</v>
      </c>
      <c r="AF76">
        <v>11</v>
      </c>
      <c r="AG76">
        <f t="shared" si="3"/>
        <v>165</v>
      </c>
      <c r="AK76">
        <v>3.1</v>
      </c>
      <c r="AL76">
        <f>17+31+8</f>
        <v>56</v>
      </c>
      <c r="AM76">
        <f t="shared" si="4"/>
        <v>173.6</v>
      </c>
      <c r="AN76">
        <f t="shared" si="5"/>
        <v>2.1527777777777782E-3</v>
      </c>
    </row>
    <row r="77" spans="1:41" ht="18" customHeight="1" x14ac:dyDescent="0.25">
      <c r="C77" s="137" t="s">
        <v>636</v>
      </c>
      <c r="D77" s="138">
        <f>COUNTIF(D1:D62,"U")</f>
        <v>9</v>
      </c>
      <c r="E77" s="445" t="s">
        <v>569</v>
      </c>
      <c r="F77" s="445"/>
      <c r="G77" s="445"/>
      <c r="H77" s="445"/>
      <c r="I77" s="445"/>
      <c r="J77" s="446"/>
      <c r="AF77" t="s">
        <v>807</v>
      </c>
      <c r="AG77">
        <f>SUM(AG70:AG76)</f>
        <v>5015</v>
      </c>
      <c r="AL77" t="s">
        <v>808</v>
      </c>
      <c r="AM77">
        <f>SUM(AM70:AM76)</f>
        <v>6469.3</v>
      </c>
      <c r="AN77" t="s">
        <v>809</v>
      </c>
    </row>
    <row r="78" spans="1:41" ht="18" customHeight="1" x14ac:dyDescent="0.25">
      <c r="C78" s="427" t="s">
        <v>639</v>
      </c>
      <c r="D78" s="428"/>
      <c r="E78" s="428"/>
      <c r="F78" s="428"/>
      <c r="G78" s="428"/>
      <c r="H78" s="428"/>
      <c r="I78" s="428"/>
      <c r="J78" s="429"/>
      <c r="AL78" t="s">
        <v>810</v>
      </c>
      <c r="AN78">
        <f>SUM(AL70:AL76)</f>
        <v>147</v>
      </c>
      <c r="AO78" t="s">
        <v>804</v>
      </c>
    </row>
    <row r="79" spans="1:41" ht="33" customHeight="1" thickBot="1" x14ac:dyDescent="0.3">
      <c r="C79" s="169" t="s">
        <v>644</v>
      </c>
      <c r="D79" s="165">
        <f>COUNTIF(Q2:Q66,"")</f>
        <v>10</v>
      </c>
      <c r="E79" s="436" t="s">
        <v>817</v>
      </c>
      <c r="F79" s="436"/>
      <c r="G79" s="436"/>
      <c r="H79" s="436"/>
      <c r="I79" s="436"/>
      <c r="J79" s="437"/>
      <c r="AE79" t="s">
        <v>811</v>
      </c>
      <c r="AH79" t="s">
        <v>812</v>
      </c>
    </row>
    <row r="80" spans="1:41" ht="18" customHeight="1" x14ac:dyDescent="0.25">
      <c r="C80" s="418" t="s">
        <v>640</v>
      </c>
      <c r="D80" s="419"/>
      <c r="E80" s="419"/>
      <c r="F80" s="419"/>
      <c r="G80" s="419"/>
      <c r="H80" s="419"/>
      <c r="I80" s="419"/>
      <c r="J80" s="420"/>
      <c r="AE80">
        <v>8</v>
      </c>
      <c r="AF80" t="s">
        <v>804</v>
      </c>
      <c r="AH80">
        <v>19</v>
      </c>
      <c r="AL80" t="s">
        <v>813</v>
      </c>
    </row>
    <row r="81" spans="2:39" ht="18" customHeight="1" x14ac:dyDescent="0.25">
      <c r="C81" s="164" t="s">
        <v>641</v>
      </c>
      <c r="D81" s="140">
        <f>COUNTIFS(O2:O66,"TT",Q2:Q66,"OP")</f>
        <v>25</v>
      </c>
      <c r="E81" s="430" t="s">
        <v>815</v>
      </c>
      <c r="F81" s="430"/>
      <c r="G81" s="430"/>
      <c r="H81" s="430"/>
      <c r="I81" s="430"/>
      <c r="J81" s="431"/>
      <c r="AE81">
        <v>31</v>
      </c>
      <c r="AH81">
        <v>31</v>
      </c>
      <c r="AK81">
        <v>2.6</v>
      </c>
      <c r="AL81">
        <v>150</v>
      </c>
      <c r="AM81">
        <f>AK81*AL81</f>
        <v>390</v>
      </c>
    </row>
    <row r="82" spans="2:39" ht="18" customHeight="1" x14ac:dyDescent="0.25">
      <c r="C82" s="164" t="s">
        <v>553</v>
      </c>
      <c r="D82" s="140">
        <f>COUNTIFS(O2:O66,"!TT",S2:S66,"Small",Q2:Q66,"OP")</f>
        <v>18</v>
      </c>
      <c r="E82" s="434" t="s">
        <v>589</v>
      </c>
      <c r="F82" s="414"/>
      <c r="G82" s="414"/>
      <c r="H82" s="414"/>
      <c r="I82" s="414"/>
      <c r="J82" s="435"/>
      <c r="AE82">
        <v>30</v>
      </c>
      <c r="AH82">
        <v>31</v>
      </c>
      <c r="AK82">
        <v>609</v>
      </c>
      <c r="AL82">
        <v>150</v>
      </c>
      <c r="AM82">
        <f>AK82*AL82</f>
        <v>91350</v>
      </c>
    </row>
    <row r="83" spans="2:39" ht="18" customHeight="1" thickBot="1" x14ac:dyDescent="0.3">
      <c r="C83" s="139" t="s">
        <v>619</v>
      </c>
      <c r="D83" s="166">
        <f>COUNTIF(Q2:Q66,"TIR")</f>
        <v>12</v>
      </c>
      <c r="E83" s="432" t="s">
        <v>642</v>
      </c>
      <c r="F83" s="432"/>
      <c r="G83" s="432"/>
      <c r="H83" s="432"/>
      <c r="I83" s="432"/>
      <c r="J83" s="433"/>
      <c r="AE83">
        <v>31</v>
      </c>
      <c r="AH83">
        <v>22</v>
      </c>
    </row>
    <row r="84" spans="2:39" x14ac:dyDescent="0.25">
      <c r="C84" s="162"/>
      <c r="D84" s="163"/>
      <c r="E84" s="162"/>
      <c r="F84" s="162"/>
      <c r="G84" s="162"/>
      <c r="H84" s="162"/>
      <c r="I84" s="162"/>
      <c r="J84" s="162"/>
      <c r="AE84">
        <v>30</v>
      </c>
      <c r="AH84">
        <f>SUM(AH80:AH83)</f>
        <v>103</v>
      </c>
    </row>
    <row r="85" spans="2:39" x14ac:dyDescent="0.25">
      <c r="AE85">
        <v>31</v>
      </c>
    </row>
    <row r="86" spans="2:39" x14ac:dyDescent="0.25">
      <c r="B86" t="s">
        <v>92</v>
      </c>
      <c r="C86" s="2">
        <f>COUNTIF($C$2:$C$66,1)</f>
        <v>21</v>
      </c>
      <c r="AE86">
        <v>10</v>
      </c>
    </row>
    <row r="87" spans="2:39" x14ac:dyDescent="0.25">
      <c r="B87" t="s">
        <v>757</v>
      </c>
      <c r="C87" s="2">
        <f>COUNTIF($C$2:$C$66,2)</f>
        <v>5</v>
      </c>
      <c r="AE87">
        <v>3</v>
      </c>
    </row>
    <row r="88" spans="2:39" x14ac:dyDescent="0.25">
      <c r="B88" t="s">
        <v>93</v>
      </c>
      <c r="C88" s="2">
        <f>COUNTIF($C$2:$C$66,3)</f>
        <v>1</v>
      </c>
      <c r="AE88">
        <v>10</v>
      </c>
    </row>
    <row r="89" spans="2:39" x14ac:dyDescent="0.25">
      <c r="B89" t="s">
        <v>94</v>
      </c>
      <c r="C89" s="2">
        <f>COUNTIF($C$2:$C$66,4)</f>
        <v>0</v>
      </c>
      <c r="AE89">
        <f>SUM(AE80:AE88)</f>
        <v>184</v>
      </c>
      <c r="AF89" t="s">
        <v>814</v>
      </c>
    </row>
    <row r="90" spans="2:39" x14ac:dyDescent="0.25">
      <c r="B90" t="s">
        <v>95</v>
      </c>
      <c r="C90" s="2">
        <f>COUNTIF($C$2:$C$66,5)</f>
        <v>5</v>
      </c>
      <c r="AF90" t="s">
        <v>810</v>
      </c>
      <c r="AH90">
        <f>AH84+AE89</f>
        <v>287</v>
      </c>
    </row>
    <row r="91" spans="2:39" x14ac:dyDescent="0.25">
      <c r="B91" t="s">
        <v>96</v>
      </c>
      <c r="C91" s="2">
        <f>COUNTIF($C$2:$C$66,6)</f>
        <v>2</v>
      </c>
    </row>
    <row r="92" spans="2:39" x14ac:dyDescent="0.25">
      <c r="B92" t="s">
        <v>97</v>
      </c>
      <c r="C92" s="2">
        <f>COUNTIF($C$2:$C$66,7)</f>
        <v>3</v>
      </c>
    </row>
    <row r="93" spans="2:39" x14ac:dyDescent="0.25">
      <c r="B93" t="s">
        <v>98</v>
      </c>
      <c r="C93" s="2">
        <f>COUNTIF($C$2:$C$66,8)</f>
        <v>0</v>
      </c>
    </row>
    <row r="94" spans="2:39" x14ac:dyDescent="0.25">
      <c r="B94" t="s">
        <v>99</v>
      </c>
      <c r="C94" s="2">
        <f>COUNTIF($C$2:$C$66,9)</f>
        <v>3</v>
      </c>
    </row>
    <row r="95" spans="2:39" x14ac:dyDescent="0.25">
      <c r="B95" t="s">
        <v>100</v>
      </c>
      <c r="C95" s="2">
        <f>COUNTIF($C$2:$C$66,10)</f>
        <v>4</v>
      </c>
    </row>
    <row r="96" spans="2:39" x14ac:dyDescent="0.25">
      <c r="B96" t="s">
        <v>101</v>
      </c>
      <c r="C96" s="2">
        <f>COUNTIF($C$2:$C$66,11)</f>
        <v>1</v>
      </c>
    </row>
    <row r="97" spans="2:3" x14ac:dyDescent="0.25">
      <c r="B97" t="s">
        <v>102</v>
      </c>
      <c r="C97" s="2">
        <f>COUNTIF($C$2:$C$66,12)</f>
        <v>2</v>
      </c>
    </row>
    <row r="98" spans="2:3" x14ac:dyDescent="0.25">
      <c r="B98" t="s">
        <v>103</v>
      </c>
      <c r="C98" s="2">
        <f>COUNTIF($C$2:$C$66,13)</f>
        <v>2</v>
      </c>
    </row>
    <row r="99" spans="2:3" x14ac:dyDescent="0.25">
      <c r="B99" t="s">
        <v>104</v>
      </c>
      <c r="C99" s="2">
        <f>COUNTIF($C$2:$C$66,14)</f>
        <v>1</v>
      </c>
    </row>
    <row r="100" spans="2:3" x14ac:dyDescent="0.25">
      <c r="B100" t="s">
        <v>105</v>
      </c>
      <c r="C100" s="2">
        <f>COUNTIF($C$2:$C$66,15)</f>
        <v>1</v>
      </c>
    </row>
    <row r="101" spans="2:3" x14ac:dyDescent="0.25">
      <c r="B101" t="s">
        <v>106</v>
      </c>
      <c r="C101" s="2">
        <f>COUNTIF($C$2:$C$66,16)</f>
        <v>6</v>
      </c>
    </row>
    <row r="102" spans="2:3" x14ac:dyDescent="0.25">
      <c r="B102" t="s">
        <v>107</v>
      </c>
      <c r="C102" s="2">
        <f>COUNTIF($C$2:$C$66,17)</f>
        <v>3</v>
      </c>
    </row>
    <row r="103" spans="2:3" x14ac:dyDescent="0.25">
      <c r="B103" t="s">
        <v>108</v>
      </c>
      <c r="C103" s="2">
        <f>COUNTIF($C$2:$C$66,18)</f>
        <v>0</v>
      </c>
    </row>
    <row r="104" spans="2:3" x14ac:dyDescent="0.25">
      <c r="B104" t="s">
        <v>109</v>
      </c>
      <c r="C104" s="2">
        <f>COUNTIF($C$2:$C$66,19)</f>
        <v>1</v>
      </c>
    </row>
    <row r="105" spans="2:3" x14ac:dyDescent="0.25">
      <c r="B105" t="s">
        <v>110</v>
      </c>
      <c r="C105" s="2">
        <f>COUNTIF($C$2:$C$66,20)</f>
        <v>0</v>
      </c>
    </row>
    <row r="106" spans="2:3" x14ac:dyDescent="0.25">
      <c r="C106" s="2">
        <f>SUM(C86:C105)</f>
        <v>61</v>
      </c>
    </row>
  </sheetData>
  <sheetProtection algorithmName="SHA-512" hashValue="67Vun9uUC/CvTsXPIKjzAle32hepplFKQMpPZWeDzNn1oHvJIoYgyxTE4aXtBDGaes0QqVZTpGbKfGJkrNwjYw==" saltValue="4FOJrgOElElhVc0jhT4wqQ==" spinCount="100000" sheet="1" objects="1" scenarios="1"/>
  <autoFilter ref="A1:AB66" xr:uid="{00000000-0009-0000-0000-000004000000}"/>
  <mergeCells count="11">
    <mergeCell ref="C73:J73"/>
    <mergeCell ref="E74:J74"/>
    <mergeCell ref="E75:J75"/>
    <mergeCell ref="E76:J76"/>
    <mergeCell ref="E77:J77"/>
    <mergeCell ref="C78:J78"/>
    <mergeCell ref="C80:J80"/>
    <mergeCell ref="E81:J81"/>
    <mergeCell ref="E83:J83"/>
    <mergeCell ref="E82:J82"/>
    <mergeCell ref="E79:J79"/>
  </mergeCells>
  <pageMargins left="0.2" right="0.1" top="0.25" bottom="0.25" header="0.05" footer="0.05"/>
  <pageSetup paperSize="17" scale="3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F49"/>
  <sheetViews>
    <sheetView zoomScale="85" zoomScaleNormal="85" workbookViewId="0"/>
  </sheetViews>
  <sheetFormatPr defaultRowHeight="15" x14ac:dyDescent="0.25"/>
  <cols>
    <col min="1" max="1" width="4.5703125" customWidth="1"/>
    <col min="2" max="2" width="12.140625" customWidth="1"/>
    <col min="3" max="3" width="20.5703125" customWidth="1"/>
    <col min="4" max="4" width="12.140625" customWidth="1"/>
    <col min="5" max="5" width="14" customWidth="1"/>
    <col min="6" max="6" width="15.5703125" customWidth="1"/>
    <col min="7" max="7" width="13.7109375" customWidth="1"/>
    <col min="8" max="8" width="13.140625" style="327" customWidth="1"/>
    <col min="9" max="9" width="13.7109375" customWidth="1"/>
    <col min="10" max="10" width="13.7109375" style="327" customWidth="1"/>
    <col min="11" max="11" width="9.7109375" customWidth="1"/>
    <col min="12" max="12" width="10.28515625" customWidth="1"/>
    <col min="13" max="13" width="10.7109375" customWidth="1"/>
    <col min="14" max="14" width="13.5703125" style="2" customWidth="1"/>
    <col min="15" max="15" width="10.5703125" style="2" customWidth="1"/>
    <col min="16" max="16" width="9.42578125" style="2" customWidth="1"/>
    <col min="17" max="17" width="10.140625" style="2" customWidth="1"/>
    <col min="18" max="18" width="20" style="2" customWidth="1"/>
    <col min="19" max="19" width="19" style="2" customWidth="1"/>
    <col min="20" max="20" width="18.7109375" style="2" customWidth="1"/>
    <col min="21" max="21" width="12" style="2" customWidth="1"/>
    <col min="22" max="22" width="10.85546875" style="2" customWidth="1"/>
    <col min="23" max="23" width="10.5703125" style="2" customWidth="1"/>
    <col min="24" max="24" width="13.140625" customWidth="1"/>
    <col min="25" max="25" width="12.42578125" customWidth="1"/>
    <col min="26" max="26" width="12.7109375" style="4" customWidth="1"/>
    <col min="27" max="27" width="20" customWidth="1"/>
    <col min="28" max="28" width="17.7109375" style="4" customWidth="1"/>
    <col min="29" max="29" width="12.42578125" style="4" customWidth="1"/>
    <col min="30" max="30" width="9.28515625" style="4" customWidth="1"/>
    <col min="31" max="31" width="12" customWidth="1"/>
    <col min="32" max="32" width="9.5703125" customWidth="1"/>
    <col min="33" max="33" width="10.140625" customWidth="1"/>
    <col min="34" max="34" width="11.28515625" customWidth="1"/>
    <col min="36" max="36" width="11.140625" customWidth="1"/>
    <col min="37" max="37" width="12" customWidth="1"/>
    <col min="38" max="38" width="12.5703125" customWidth="1"/>
    <col min="39" max="39" width="11.140625" customWidth="1"/>
  </cols>
  <sheetData>
    <row r="1" spans="2:30" x14ac:dyDescent="0.25">
      <c r="B1" s="70" t="s">
        <v>497</v>
      </c>
      <c r="C1" s="71">
        <f>COUNTA(B6:B26)</f>
        <v>20</v>
      </c>
    </row>
    <row r="2" spans="2:30" ht="15" customHeight="1" thickBot="1" x14ac:dyDescent="0.3">
      <c r="O2" s="328"/>
      <c r="P2" s="328"/>
      <c r="Q2" s="328"/>
      <c r="R2" s="328"/>
      <c r="S2" s="328"/>
    </row>
    <row r="3" spans="2:30" ht="15.75" customHeight="1" thickBot="1" x14ac:dyDescent="0.3">
      <c r="B3" s="407" t="s">
        <v>506</v>
      </c>
      <c r="C3" s="408"/>
      <c r="D3" s="408"/>
      <c r="E3" s="408"/>
      <c r="F3" s="408"/>
      <c r="G3" s="408"/>
      <c r="H3" s="408"/>
      <c r="I3" s="408"/>
      <c r="J3" s="408"/>
      <c r="K3" s="408"/>
      <c r="L3" s="408"/>
      <c r="M3" s="409"/>
      <c r="N3" s="353"/>
      <c r="O3" s="424" t="s">
        <v>523</v>
      </c>
      <c r="P3" s="425"/>
      <c r="Q3" s="425"/>
      <c r="R3" s="425"/>
      <c r="S3" s="426"/>
      <c r="T3"/>
      <c r="U3"/>
      <c r="V3"/>
      <c r="W3"/>
      <c r="Z3"/>
      <c r="AB3"/>
      <c r="AC3"/>
      <c r="AD3"/>
    </row>
    <row r="4" spans="2:30" ht="14.25" customHeight="1" thickBot="1" x14ac:dyDescent="0.3">
      <c r="B4" s="447" t="s">
        <v>1</v>
      </c>
      <c r="C4" s="447" t="s">
        <v>916</v>
      </c>
      <c r="D4" s="447" t="s">
        <v>499</v>
      </c>
      <c r="E4" s="447" t="s">
        <v>511</v>
      </c>
      <c r="F4" s="447" t="s">
        <v>913</v>
      </c>
      <c r="G4" s="447" t="s">
        <v>914</v>
      </c>
      <c r="H4" s="447" t="s">
        <v>915</v>
      </c>
      <c r="I4" s="460" t="s">
        <v>498</v>
      </c>
      <c r="J4" s="460" t="s">
        <v>645</v>
      </c>
      <c r="K4" s="463"/>
      <c r="L4" s="463"/>
      <c r="M4" s="464"/>
      <c r="N4"/>
      <c r="O4" s="450" t="s">
        <v>912</v>
      </c>
      <c r="P4" s="451"/>
      <c r="Q4" s="451"/>
      <c r="R4" s="451"/>
      <c r="S4" s="452"/>
      <c r="T4"/>
      <c r="U4"/>
      <c r="V4"/>
      <c r="W4"/>
      <c r="Z4"/>
      <c r="AB4"/>
      <c r="AC4"/>
      <c r="AD4"/>
    </row>
    <row r="5" spans="2:30" ht="13.5" customHeight="1" thickBot="1" x14ac:dyDescent="0.3">
      <c r="B5" s="448"/>
      <c r="C5" s="448"/>
      <c r="D5" s="448"/>
      <c r="E5" s="448"/>
      <c r="F5" s="448"/>
      <c r="G5" s="448"/>
      <c r="H5" s="448"/>
      <c r="I5" s="461"/>
      <c r="J5" s="465" t="s">
        <v>502</v>
      </c>
      <c r="K5" s="466"/>
      <c r="L5" s="408" t="s">
        <v>503</v>
      </c>
      <c r="M5" s="409"/>
      <c r="N5"/>
      <c r="O5" s="453"/>
      <c r="P5" s="454"/>
      <c r="Q5" s="454"/>
      <c r="R5" s="454"/>
      <c r="S5" s="455"/>
      <c r="T5"/>
      <c r="U5"/>
      <c r="V5"/>
      <c r="W5"/>
      <c r="Z5"/>
      <c r="AB5"/>
      <c r="AC5"/>
      <c r="AD5"/>
    </row>
    <row r="6" spans="2:30" ht="18.75" customHeight="1" thickBot="1" x14ac:dyDescent="0.3">
      <c r="B6" s="449"/>
      <c r="C6" s="449"/>
      <c r="D6" s="449"/>
      <c r="E6" s="449"/>
      <c r="F6" s="449"/>
      <c r="G6" s="449"/>
      <c r="H6" s="449"/>
      <c r="I6" s="462"/>
      <c r="J6" s="314" t="s">
        <v>496</v>
      </c>
      <c r="K6" s="315" t="s">
        <v>799</v>
      </c>
      <c r="L6" s="340" t="s">
        <v>496</v>
      </c>
      <c r="M6" s="315" t="s">
        <v>799</v>
      </c>
      <c r="N6"/>
      <c r="O6" s="456"/>
      <c r="P6" s="457"/>
      <c r="Q6" s="457"/>
      <c r="R6" s="457"/>
      <c r="S6" s="458"/>
      <c r="T6"/>
      <c r="U6"/>
      <c r="V6"/>
      <c r="W6"/>
      <c r="Z6"/>
      <c r="AB6"/>
      <c r="AC6"/>
      <c r="AD6"/>
    </row>
    <row r="7" spans="2:30" ht="17.25" customHeight="1" x14ac:dyDescent="0.25">
      <c r="B7" s="63">
        <v>1</v>
      </c>
      <c r="C7" s="63">
        <v>1943</v>
      </c>
      <c r="D7" s="63">
        <v>2005</v>
      </c>
      <c r="E7" s="63" t="s">
        <v>513</v>
      </c>
      <c r="F7" s="336">
        <v>1</v>
      </c>
      <c r="G7" s="332">
        <v>15.625170998632012</v>
      </c>
      <c r="H7" s="333">
        <f>9+F7</f>
        <v>10</v>
      </c>
      <c r="I7" s="341">
        <f>D7-F7-C7-G7</f>
        <v>45.374829001367985</v>
      </c>
      <c r="J7" s="63">
        <f>COUNTIFS('RedHill Release Incidents'!$C$2:$C$66,B7,'RedHill Release Incidents'!$S$2:$S$66,"Small",'RedHill Release Incidents'!$O$2:$O$66,"!TT",'RedHill Release Incidents'!$Q$2:$Q$66,"OP")</f>
        <v>6</v>
      </c>
      <c r="K7" s="339">
        <f t="shared" ref="K7:K26" si="0">J7/I7</f>
        <v>0.13223190328318613</v>
      </c>
      <c r="L7" s="64">
        <f>COUNTIFS('RedHill Release Incidents'!$C$2:$C$66,B7,'RedHill Release Incidents'!$S$2:$S$66,"Small",'RedHill Release Incidents'!$O$2:$O$66,"TT",'RedHill Release Incidents'!$Q$2:$Q$66,"OP")</f>
        <v>9</v>
      </c>
      <c r="M7" s="339">
        <f t="shared" ref="M7:M26" si="1">L7/I7</f>
        <v>0.19834785492477919</v>
      </c>
      <c r="N7"/>
      <c r="O7"/>
      <c r="P7"/>
      <c r="Q7"/>
      <c r="R7"/>
      <c r="S7"/>
      <c r="T7"/>
      <c r="U7"/>
      <c r="V7"/>
      <c r="W7"/>
      <c r="Z7"/>
      <c r="AB7"/>
      <c r="AC7"/>
      <c r="AD7"/>
    </row>
    <row r="8" spans="2:30" ht="31.5" customHeight="1" x14ac:dyDescent="0.25">
      <c r="B8" s="68">
        <v>2</v>
      </c>
      <c r="C8" s="63">
        <v>1943</v>
      </c>
      <c r="D8" s="68">
        <v>2017</v>
      </c>
      <c r="E8" s="63" t="s">
        <v>513</v>
      </c>
      <c r="F8" s="337">
        <v>1</v>
      </c>
      <c r="G8" s="332">
        <v>4.2571819425444595</v>
      </c>
      <c r="H8" s="333">
        <f>5+F8</f>
        <v>6</v>
      </c>
      <c r="I8" s="341">
        <f t="shared" ref="I8:I26" si="2">D8-F8-C8-G8</f>
        <v>68.742818057455537</v>
      </c>
      <c r="J8" s="381">
        <v>2</v>
      </c>
      <c r="K8" s="225">
        <f t="shared" si="0"/>
        <v>2.9093948379136734E-2</v>
      </c>
      <c r="L8" s="64">
        <f>COUNTIFS('RedHill Release Incidents'!$C$2:$C$66,B8,'RedHill Release Incidents'!$S$2:$S$66,"Small",'RedHill Release Incidents'!$O$2:$O$66,"TT",'RedHill Release Incidents'!$Q$2:$Q$66,"OP")</f>
        <v>2</v>
      </c>
      <c r="M8" s="225">
        <f t="shared" si="1"/>
        <v>2.9093948379136734E-2</v>
      </c>
      <c r="N8" s="453" t="s">
        <v>942</v>
      </c>
      <c r="O8" s="454"/>
      <c r="P8" s="454"/>
      <c r="Q8" s="454"/>
      <c r="R8" s="454"/>
      <c r="S8" s="454"/>
      <c r="T8" s="454"/>
      <c r="U8"/>
      <c r="V8"/>
      <c r="W8"/>
      <c r="Z8"/>
      <c r="AB8"/>
      <c r="AC8"/>
      <c r="AD8"/>
    </row>
    <row r="9" spans="2:30" ht="15.75" customHeight="1" x14ac:dyDescent="0.25">
      <c r="B9" s="68">
        <v>3</v>
      </c>
      <c r="C9" s="63">
        <v>1943</v>
      </c>
      <c r="D9" s="68">
        <v>2017</v>
      </c>
      <c r="E9" s="343"/>
      <c r="F9" s="342"/>
      <c r="G9" s="332">
        <v>2.2818057455540357</v>
      </c>
      <c r="H9" s="330">
        <v>4</v>
      </c>
      <c r="I9" s="341">
        <f t="shared" si="2"/>
        <v>71.718194254445962</v>
      </c>
      <c r="J9" s="63">
        <f>COUNTIFS('RedHill Release Incidents'!$C$2:$C$66,B9,'RedHill Release Incidents'!$S$2:$S$66,"Small",'RedHill Release Incidents'!$O$2:$O$66,"!TT",'RedHill Release Incidents'!$Q$2:$Q$66,"OP")</f>
        <v>1</v>
      </c>
      <c r="K9" s="225">
        <f t="shared" si="0"/>
        <v>1.3943463167130814E-2</v>
      </c>
      <c r="L9" s="64">
        <f>COUNTIFS('RedHill Release Incidents'!$C$2:$C$66,B9,'RedHill Release Incidents'!$S$2:$S$66,"Small",'RedHill Release Incidents'!$O$2:$O$66,"TT",'RedHill Release Incidents'!$Q$2:$Q$66,"OP")</f>
        <v>0</v>
      </c>
      <c r="M9" s="225">
        <f t="shared" si="1"/>
        <v>0</v>
      </c>
      <c r="N9"/>
      <c r="O9"/>
      <c r="P9"/>
      <c r="Q9"/>
      <c r="R9"/>
      <c r="S9"/>
      <c r="T9"/>
      <c r="U9"/>
      <c r="V9"/>
      <c r="W9"/>
      <c r="Z9"/>
      <c r="AB9"/>
      <c r="AC9"/>
      <c r="AD9"/>
    </row>
    <row r="10" spans="2:30" ht="16.5" customHeight="1" x14ac:dyDescent="0.25">
      <c r="B10" s="63">
        <v>4</v>
      </c>
      <c r="C10" s="63">
        <v>1943</v>
      </c>
      <c r="D10" s="68">
        <v>2017</v>
      </c>
      <c r="E10" s="343"/>
      <c r="F10" s="342"/>
      <c r="G10" s="332">
        <v>2.0246238030095758</v>
      </c>
      <c r="H10" s="330">
        <v>2</v>
      </c>
      <c r="I10" s="341">
        <f t="shared" si="2"/>
        <v>71.975376196990425</v>
      </c>
      <c r="J10" s="63">
        <f>COUNTIFS('RedHill Release Incidents'!$C$2:$C$66,B10,'RedHill Release Incidents'!$S$2:$S$66,"Small",'RedHill Release Incidents'!$O$2:$O$66,"!TT",'RedHill Release Incidents'!$Q$2:$Q$66,"OP")</f>
        <v>0</v>
      </c>
      <c r="K10" s="225">
        <f t="shared" si="0"/>
        <v>0</v>
      </c>
      <c r="L10" s="64">
        <f>COUNTIFS('RedHill Release Incidents'!$C$2:$C$66,B10,'RedHill Release Incidents'!$S$2:$S$66,"Small",'RedHill Release Incidents'!$O$2:$O$66,"TT",'RedHill Release Incidents'!$Q$2:$Q$66,"OP")</f>
        <v>0</v>
      </c>
      <c r="M10" s="225">
        <f t="shared" si="1"/>
        <v>0</v>
      </c>
      <c r="N10"/>
      <c r="O10"/>
      <c r="P10"/>
      <c r="Q10"/>
      <c r="R10"/>
      <c r="S10"/>
      <c r="T10"/>
      <c r="U10"/>
      <c r="V10"/>
      <c r="W10"/>
      <c r="Z10"/>
      <c r="AB10"/>
      <c r="AC10"/>
      <c r="AD10"/>
    </row>
    <row r="11" spans="2:30" ht="30" x14ac:dyDescent="0.25">
      <c r="B11" s="68">
        <v>5</v>
      </c>
      <c r="C11" s="63">
        <v>1943</v>
      </c>
      <c r="D11" s="68">
        <v>2017</v>
      </c>
      <c r="E11" s="63" t="s">
        <v>518</v>
      </c>
      <c r="F11" s="337">
        <v>2</v>
      </c>
      <c r="G11" s="332">
        <v>7.4062927496580029</v>
      </c>
      <c r="H11" s="333">
        <f>4+F11</f>
        <v>6</v>
      </c>
      <c r="I11" s="341">
        <f t="shared" si="2"/>
        <v>64.593707250341993</v>
      </c>
      <c r="J11" s="381">
        <v>1</v>
      </c>
      <c r="K11" s="225">
        <f t="shared" si="0"/>
        <v>1.5481384217883011E-2</v>
      </c>
      <c r="L11" s="64">
        <f>COUNTIFS('RedHill Release Incidents'!$C$2:$C$66,B11,'RedHill Release Incidents'!$S$2:$S$66,"Small",'RedHill Release Incidents'!$O$2:$O$66,"TT",'RedHill Release Incidents'!$Q$2:$Q$66,"OP")</f>
        <v>3</v>
      </c>
      <c r="M11" s="225">
        <f t="shared" si="1"/>
        <v>4.6444152653649033E-2</v>
      </c>
      <c r="N11" s="453" t="s">
        <v>943</v>
      </c>
      <c r="O11" s="459"/>
      <c r="P11" s="459"/>
      <c r="Q11" s="459"/>
      <c r="R11" s="459"/>
      <c r="S11" s="459"/>
      <c r="T11" s="459"/>
      <c r="U11"/>
      <c r="V11"/>
      <c r="W11"/>
      <c r="Z11"/>
      <c r="AB11"/>
      <c r="AC11"/>
      <c r="AD11"/>
    </row>
    <row r="12" spans="2:30" ht="43.5" customHeight="1" x14ac:dyDescent="0.25">
      <c r="B12" s="68">
        <v>6</v>
      </c>
      <c r="C12" s="63">
        <v>1943</v>
      </c>
      <c r="D12" s="68">
        <v>2017</v>
      </c>
      <c r="E12" s="68" t="s">
        <v>519</v>
      </c>
      <c r="F12" s="337">
        <v>2</v>
      </c>
      <c r="G12" s="332">
        <v>7.846785225718194</v>
      </c>
      <c r="H12" s="333">
        <f>6+F12</f>
        <v>8</v>
      </c>
      <c r="I12" s="341">
        <f t="shared" si="2"/>
        <v>64.153214774281807</v>
      </c>
      <c r="J12" s="63">
        <f>COUNTIFS('RedHill Release Incidents'!$C$2:$C$66,B12,'RedHill Release Incidents'!$S$2:$S$66,"Small",'RedHill Release Incidents'!$O$2:$O$66,"!TT",'RedHill Release Incidents'!$Q$2:$Q$66,"OP")</f>
        <v>1</v>
      </c>
      <c r="K12" s="225">
        <f t="shared" si="0"/>
        <v>1.5587683384510406E-2</v>
      </c>
      <c r="L12" s="64">
        <f>COUNTIFS('RedHill Release Incidents'!$C$2:$C$66,B12,'RedHill Release Incidents'!$S$2:$S$66,"Small",'RedHill Release Incidents'!$O$2:$O$66,"TT",'RedHill Release Incidents'!$Q$2:$Q$66,"OP")</f>
        <v>1</v>
      </c>
      <c r="M12" s="225">
        <f t="shared" si="1"/>
        <v>1.5587683384510406E-2</v>
      </c>
      <c r="N12"/>
      <c r="O12" s="4"/>
      <c r="P12"/>
      <c r="Q12"/>
      <c r="R12" s="4"/>
      <c r="S12" s="4"/>
      <c r="T12" s="4"/>
      <c r="U12"/>
      <c r="V12"/>
      <c r="W12"/>
      <c r="Z12"/>
      <c r="AB12"/>
      <c r="AC12"/>
      <c r="AD12"/>
    </row>
    <row r="13" spans="2:30" x14ac:dyDescent="0.25">
      <c r="B13" s="63">
        <v>7</v>
      </c>
      <c r="C13" s="63">
        <v>1943</v>
      </c>
      <c r="D13" s="68">
        <v>2017</v>
      </c>
      <c r="E13" s="63" t="s">
        <v>513</v>
      </c>
      <c r="F13" s="337">
        <v>1</v>
      </c>
      <c r="G13" s="332">
        <v>3.5731874145006839</v>
      </c>
      <c r="H13" s="333">
        <f>5+F13</f>
        <v>6</v>
      </c>
      <c r="I13" s="341">
        <f t="shared" si="2"/>
        <v>69.42681258549932</v>
      </c>
      <c r="J13" s="63">
        <f>COUNTIFS('RedHill Release Incidents'!$C$2:$C$66,B13,'RedHill Release Incidents'!$S$2:$S$66,"Small",'RedHill Release Incidents'!$O$2:$O$66,"!TT",'RedHill Release Incidents'!$Q$2:$Q$66,"OP")</f>
        <v>0</v>
      </c>
      <c r="K13" s="225">
        <f t="shared" si="0"/>
        <v>0</v>
      </c>
      <c r="L13" s="64">
        <f>COUNTIFS('RedHill Release Incidents'!$C$2:$C$66,B13,'RedHill Release Incidents'!$S$2:$S$66,"Small",'RedHill Release Incidents'!$O$2:$O$66,"TT",'RedHill Release Incidents'!$Q$2:$Q$66,"OP")</f>
        <v>2</v>
      </c>
      <c r="M13" s="225">
        <f t="shared" si="1"/>
        <v>2.8807314141593269E-2</v>
      </c>
      <c r="N13"/>
      <c r="O13" s="4"/>
      <c r="P13"/>
      <c r="Q13"/>
      <c r="R13" s="4"/>
      <c r="S13" s="4"/>
      <c r="T13" s="4"/>
      <c r="U13"/>
      <c r="V13"/>
      <c r="W13"/>
      <c r="Z13"/>
      <c r="AB13"/>
      <c r="AC13"/>
      <c r="AD13"/>
    </row>
    <row r="14" spans="2:30" x14ac:dyDescent="0.25">
      <c r="B14" s="68">
        <v>8</v>
      </c>
      <c r="C14" s="63">
        <v>1943</v>
      </c>
      <c r="D14" s="68">
        <v>2017</v>
      </c>
      <c r="E14" s="63" t="s">
        <v>513</v>
      </c>
      <c r="F14" s="337">
        <v>1</v>
      </c>
      <c r="G14" s="332">
        <v>2.3748290013679889</v>
      </c>
      <c r="H14" s="333">
        <f>3+F14</f>
        <v>4</v>
      </c>
      <c r="I14" s="341">
        <f t="shared" si="2"/>
        <v>70.625170998632015</v>
      </c>
      <c r="J14" s="63">
        <f>COUNTIFS('RedHill Release Incidents'!$C$2:$C$66,B14,'RedHill Release Incidents'!$S$2:$S$66,"Small",'RedHill Release Incidents'!$O$2:$O$66,"!TT",'RedHill Release Incidents'!$Q$2:$Q$66,"OP")</f>
        <v>0</v>
      </c>
      <c r="K14" s="225">
        <f t="shared" si="0"/>
        <v>0</v>
      </c>
      <c r="L14" s="64">
        <f>COUNTIFS('RedHill Release Incidents'!$C$2:$C$66,B14,'RedHill Release Incidents'!$S$2:$S$66,"Small",'RedHill Release Incidents'!$O$2:$O$66,"TT",'RedHill Release Incidents'!$Q$2:$Q$66,"OP")</f>
        <v>0</v>
      </c>
      <c r="M14" s="225">
        <f t="shared" si="1"/>
        <v>0</v>
      </c>
      <c r="N14"/>
      <c r="O14" s="4"/>
      <c r="P14"/>
      <c r="Q14"/>
      <c r="R14" s="4"/>
      <c r="S14" s="4"/>
      <c r="T14" s="4"/>
      <c r="U14"/>
      <c r="V14"/>
      <c r="W14"/>
      <c r="Z14"/>
      <c r="AB14"/>
      <c r="AC14"/>
      <c r="AD14"/>
    </row>
    <row r="15" spans="2:30" x14ac:dyDescent="0.25">
      <c r="B15" s="68">
        <v>9</v>
      </c>
      <c r="C15" s="63">
        <v>1943</v>
      </c>
      <c r="D15" s="68">
        <v>2017</v>
      </c>
      <c r="E15" s="63" t="s">
        <v>513</v>
      </c>
      <c r="F15" s="338">
        <v>1</v>
      </c>
      <c r="G15" s="332">
        <v>2.0547195622435019</v>
      </c>
      <c r="H15" s="333">
        <f>4+F15</f>
        <v>5</v>
      </c>
      <c r="I15" s="341">
        <f t="shared" si="2"/>
        <v>70.945280437756495</v>
      </c>
      <c r="J15" s="63">
        <f>COUNTIFS('RedHill Release Incidents'!$C$2:$C$66,B15,'RedHill Release Incidents'!$S$2:$S$66,"Small",'RedHill Release Incidents'!$O$2:$O$66,"!TT",'RedHill Release Incidents'!$Q$2:$Q$66,"OP")</f>
        <v>1</v>
      </c>
      <c r="K15" s="225">
        <f t="shared" si="0"/>
        <v>1.4095370316808393E-2</v>
      </c>
      <c r="L15" s="64">
        <f>COUNTIFS('RedHill Release Incidents'!$C$2:$C$66,B15,'RedHill Release Incidents'!$S$2:$S$66,"Small",'RedHill Release Incidents'!$O$2:$O$66,"TT",'RedHill Release Incidents'!$Q$2:$Q$66,"OP")</f>
        <v>1</v>
      </c>
      <c r="M15" s="225">
        <f t="shared" si="1"/>
        <v>1.4095370316808393E-2</v>
      </c>
      <c r="N15"/>
      <c r="O15" s="4"/>
      <c r="P15"/>
      <c r="Q15"/>
      <c r="R15" s="4"/>
      <c r="S15" s="4"/>
      <c r="T15" s="4"/>
      <c r="U15"/>
      <c r="V15"/>
      <c r="W15"/>
      <c r="Z15"/>
      <c r="AB15"/>
      <c r="AC15"/>
      <c r="AD15"/>
    </row>
    <row r="16" spans="2:30" x14ac:dyDescent="0.25">
      <c r="B16" s="63">
        <v>10</v>
      </c>
      <c r="C16" s="63">
        <v>1943</v>
      </c>
      <c r="D16" s="68">
        <v>2017</v>
      </c>
      <c r="E16" s="63" t="s">
        <v>513</v>
      </c>
      <c r="F16" s="337">
        <v>1</v>
      </c>
      <c r="G16" s="332">
        <v>8.2024623803009575</v>
      </c>
      <c r="H16" s="333">
        <f>6+F16</f>
        <v>7</v>
      </c>
      <c r="I16" s="341">
        <f t="shared" si="2"/>
        <v>64.797537619699042</v>
      </c>
      <c r="J16" s="63">
        <f>COUNTIFS('RedHill Release Incidents'!$C$2:$C$66,B16,'RedHill Release Incidents'!$S$2:$S$66,"Small",'RedHill Release Incidents'!$O$2:$O$66,"!TT",'RedHill Release Incidents'!$Q$2:$Q$66,"OP")</f>
        <v>1</v>
      </c>
      <c r="K16" s="225">
        <f t="shared" si="0"/>
        <v>1.5432685202778306E-2</v>
      </c>
      <c r="L16" s="64">
        <f>COUNTIFS('RedHill Release Incidents'!$C$2:$C$66,B16,'RedHill Release Incidents'!$S$2:$S$66,"Small",'RedHill Release Incidents'!$O$2:$O$66,"TT",'RedHill Release Incidents'!$Q$2:$Q$66,"OP")</f>
        <v>1</v>
      </c>
      <c r="M16" s="225">
        <f t="shared" si="1"/>
        <v>1.5432685202778306E-2</v>
      </c>
      <c r="N16"/>
      <c r="O16" s="4"/>
      <c r="P16"/>
      <c r="Q16"/>
      <c r="R16" s="4"/>
      <c r="S16" s="4"/>
      <c r="T16" s="4"/>
      <c r="U16"/>
      <c r="V16"/>
      <c r="W16"/>
      <c r="Z16"/>
      <c r="AB16"/>
      <c r="AC16"/>
      <c r="AD16"/>
    </row>
    <row r="17" spans="2:30" x14ac:dyDescent="0.25">
      <c r="B17" s="68">
        <v>11</v>
      </c>
      <c r="C17" s="63">
        <v>1943</v>
      </c>
      <c r="D17" s="68">
        <v>2017</v>
      </c>
      <c r="E17" s="343"/>
      <c r="F17" s="342"/>
      <c r="G17" s="332">
        <v>2.9001367989056086</v>
      </c>
      <c r="H17" s="330">
        <v>3</v>
      </c>
      <c r="I17" s="341">
        <f t="shared" si="2"/>
        <v>71.099863201094394</v>
      </c>
      <c r="J17" s="63">
        <f>COUNTIFS('RedHill Release Incidents'!$C$2:$C$66,B17,'RedHill Release Incidents'!$S$2:$S$66,"Small",'RedHill Release Incidents'!$O$2:$O$66,"!TT",'RedHill Release Incidents'!$Q$2:$Q$66,"OP")</f>
        <v>1</v>
      </c>
      <c r="K17" s="225">
        <f t="shared" si="0"/>
        <v>1.4064724670027321E-2</v>
      </c>
      <c r="L17" s="64">
        <f>COUNTIFS('RedHill Release Incidents'!$C$2:$C$66,B17,'RedHill Release Incidents'!$S$2:$S$66,"Small",'RedHill Release Incidents'!$O$2:$O$66,"TT",'RedHill Release Incidents'!$Q$2:$Q$66,"OP")</f>
        <v>0</v>
      </c>
      <c r="M17" s="225">
        <f t="shared" si="1"/>
        <v>0</v>
      </c>
      <c r="N17"/>
      <c r="O17" s="4"/>
      <c r="P17"/>
      <c r="Q17"/>
      <c r="R17" s="4"/>
      <c r="S17" s="4"/>
      <c r="T17" s="4"/>
      <c r="U17"/>
      <c r="V17"/>
      <c r="W17"/>
      <c r="Z17"/>
      <c r="AB17"/>
      <c r="AC17"/>
      <c r="AD17"/>
    </row>
    <row r="18" spans="2:30" ht="30" x14ac:dyDescent="0.25">
      <c r="B18" s="68">
        <v>12</v>
      </c>
      <c r="C18" s="63">
        <v>1943</v>
      </c>
      <c r="D18" s="68">
        <v>2017</v>
      </c>
      <c r="E18" s="63" t="s">
        <v>518</v>
      </c>
      <c r="F18" s="337">
        <v>2</v>
      </c>
      <c r="G18" s="332">
        <v>7.5294117647058822</v>
      </c>
      <c r="H18" s="333">
        <f>4+F18</f>
        <v>6</v>
      </c>
      <c r="I18" s="341">
        <f t="shared" si="2"/>
        <v>64.470588235294116</v>
      </c>
      <c r="J18" s="63">
        <f>COUNTIFS('RedHill Release Incidents'!$C$2:$C$66,B18,'RedHill Release Incidents'!$S$2:$S$66,"Small",'RedHill Release Incidents'!$O$2:$O$66,"!TT",'RedHill Release Incidents'!$Q$2:$Q$66,"OP")</f>
        <v>0</v>
      </c>
      <c r="K18" s="225">
        <f t="shared" si="0"/>
        <v>0</v>
      </c>
      <c r="L18" s="64">
        <f>COUNTIFS('RedHill Release Incidents'!$C$2:$C$66,B18,'RedHill Release Incidents'!$S$2:$S$66,"Small",'RedHill Release Incidents'!$O$2:$O$66,"TT",'RedHill Release Incidents'!$Q$2:$Q$66,"OP")</f>
        <v>0</v>
      </c>
      <c r="M18" s="225">
        <f t="shared" si="1"/>
        <v>0</v>
      </c>
      <c r="N18"/>
      <c r="O18" s="4"/>
      <c r="P18"/>
      <c r="Q18"/>
      <c r="R18" s="4"/>
      <c r="S18" s="4"/>
      <c r="T18" s="4"/>
      <c r="U18"/>
      <c r="V18"/>
      <c r="W18"/>
      <c r="Z18"/>
      <c r="AB18"/>
      <c r="AC18"/>
      <c r="AD18"/>
    </row>
    <row r="19" spans="2:30" x14ac:dyDescent="0.25">
      <c r="B19" s="63">
        <v>13</v>
      </c>
      <c r="C19" s="63">
        <v>1943</v>
      </c>
      <c r="D19" s="68">
        <v>2017</v>
      </c>
      <c r="E19" s="63" t="s">
        <v>513</v>
      </c>
      <c r="F19" s="338">
        <v>1</v>
      </c>
      <c r="G19" s="332">
        <v>7.99</v>
      </c>
      <c r="H19" s="333">
        <f>5+F19</f>
        <v>6</v>
      </c>
      <c r="I19" s="341">
        <f t="shared" si="2"/>
        <v>65.010000000000005</v>
      </c>
      <c r="J19" s="63">
        <f>COUNTIFS('RedHill Release Incidents'!$C$2:$C$66,B19,'RedHill Release Incidents'!$S$2:$S$66,"Small",'RedHill Release Incidents'!$O$2:$O$66,"!TT",'RedHill Release Incidents'!$Q$2:$Q$66,"OP")</f>
        <v>1</v>
      </c>
      <c r="K19" s="225">
        <f t="shared" si="0"/>
        <v>1.5382248884786955E-2</v>
      </c>
      <c r="L19" s="64">
        <f>COUNTIFS('RedHill Release Incidents'!$C$2:$C$66,B19,'RedHill Release Incidents'!$S$2:$S$66,"Small",'RedHill Release Incidents'!$O$2:$O$66,"TT",'RedHill Release Incidents'!$Q$2:$Q$66,"OP")</f>
        <v>0</v>
      </c>
      <c r="M19" s="225">
        <f t="shared" si="1"/>
        <v>0</v>
      </c>
      <c r="N19"/>
      <c r="O19" s="4"/>
      <c r="P19"/>
      <c r="Q19"/>
      <c r="R19" s="4"/>
      <c r="S19" s="4"/>
      <c r="T19" s="4"/>
      <c r="U19"/>
      <c r="V19"/>
      <c r="W19"/>
      <c r="Z19"/>
      <c r="AB19"/>
      <c r="AC19"/>
      <c r="AD19"/>
    </row>
    <row r="20" spans="2:30" x14ac:dyDescent="0.25">
      <c r="B20" s="68">
        <v>14</v>
      </c>
      <c r="C20" s="63">
        <v>1943</v>
      </c>
      <c r="D20" s="68">
        <v>2017</v>
      </c>
      <c r="E20" s="343"/>
      <c r="F20" s="342"/>
      <c r="G20" s="332">
        <v>3.08</v>
      </c>
      <c r="H20" s="330">
        <v>5</v>
      </c>
      <c r="I20" s="341">
        <f t="shared" si="2"/>
        <v>70.92</v>
      </c>
      <c r="J20" s="63">
        <f>COUNTIFS('RedHill Release Incidents'!$C$2:$C$66,B20,'RedHill Release Incidents'!$S$2:$S$66,"Small",'RedHill Release Incidents'!$O$2:$O$66,"!TT",'RedHill Release Incidents'!$Q$2:$Q$66,"OP")</f>
        <v>1</v>
      </c>
      <c r="K20" s="225">
        <f t="shared" si="0"/>
        <v>1.410039481105471E-2</v>
      </c>
      <c r="L20" s="64">
        <f>COUNTIFS('RedHill Release Incidents'!$C$2:$C$66,B20,'RedHill Release Incidents'!$S$2:$S$66,"Small",'RedHill Release Incidents'!$O$2:$O$66,"TT",'RedHill Release Incidents'!$Q$2:$Q$66,"OP")</f>
        <v>0</v>
      </c>
      <c r="M20" s="225">
        <f t="shared" si="1"/>
        <v>0</v>
      </c>
      <c r="N20"/>
      <c r="O20" s="4"/>
      <c r="P20"/>
      <c r="Q20"/>
      <c r="R20" s="4"/>
      <c r="S20" s="4"/>
      <c r="T20" s="4"/>
      <c r="U20"/>
      <c r="V20"/>
      <c r="W20"/>
      <c r="Z20"/>
      <c r="AB20"/>
      <c r="AC20"/>
      <c r="AD20"/>
    </row>
    <row r="21" spans="2:30" x14ac:dyDescent="0.25">
      <c r="B21" s="68">
        <v>15</v>
      </c>
      <c r="C21" s="63">
        <v>1943</v>
      </c>
      <c r="D21" s="68">
        <v>2017</v>
      </c>
      <c r="E21" s="68">
        <v>1981</v>
      </c>
      <c r="F21" s="337">
        <v>1</v>
      </c>
      <c r="G21" s="332">
        <v>5.2065663474692201</v>
      </c>
      <c r="H21" s="333">
        <f>4+F21</f>
        <v>5</v>
      </c>
      <c r="I21" s="341">
        <f t="shared" si="2"/>
        <v>67.79343365253078</v>
      </c>
      <c r="J21" s="63">
        <f>COUNTIFS('RedHill Release Incidents'!$C$2:$C$66,B21,'RedHill Release Incidents'!$S$2:$S$66,"Small",'RedHill Release Incidents'!$O$2:$O$66,"!TT",'RedHill Release Incidents'!$Q$2:$Q$66,"OP")</f>
        <v>0</v>
      </c>
      <c r="K21" s="225">
        <f t="shared" si="0"/>
        <v>0</v>
      </c>
      <c r="L21" s="64">
        <f>COUNTIFS('RedHill Release Incidents'!$C$2:$C$66,B21,'RedHill Release Incidents'!$S$2:$S$66,"Small",'RedHill Release Incidents'!$O$2:$O$66,"TT",'RedHill Release Incidents'!$Q$2:$Q$66,"OP")</f>
        <v>0</v>
      </c>
      <c r="M21" s="225">
        <f t="shared" si="1"/>
        <v>0</v>
      </c>
      <c r="N21"/>
      <c r="O21" s="4"/>
      <c r="P21"/>
      <c r="Q21"/>
      <c r="R21" s="4"/>
      <c r="S21" s="4"/>
      <c r="T21" s="4"/>
      <c r="U21"/>
      <c r="V21"/>
      <c r="W21"/>
      <c r="Z21"/>
      <c r="AB21"/>
      <c r="AC21"/>
      <c r="AD21"/>
    </row>
    <row r="22" spans="2:30" x14ac:dyDescent="0.25">
      <c r="B22" s="63">
        <v>16</v>
      </c>
      <c r="C22" s="63">
        <v>1943</v>
      </c>
      <c r="D22" s="68">
        <v>2017</v>
      </c>
      <c r="E22" s="68">
        <v>1976</v>
      </c>
      <c r="F22" s="337">
        <v>1</v>
      </c>
      <c r="G22" s="332">
        <v>4.6046511627906979</v>
      </c>
      <c r="H22" s="333">
        <f>7+F22</f>
        <v>8</v>
      </c>
      <c r="I22" s="341">
        <f t="shared" si="2"/>
        <v>68.395348837209298</v>
      </c>
      <c r="J22" s="63">
        <f>COUNTIFS('RedHill Release Incidents'!$C$2:$C$66,B22,'RedHill Release Incidents'!$S$2:$S$66,"Small",'RedHill Release Incidents'!$O$2:$O$66,"!TT",'RedHill Release Incidents'!$Q$2:$Q$66,"OP")</f>
        <v>1</v>
      </c>
      <c r="K22" s="225">
        <f t="shared" si="0"/>
        <v>1.4620877252635158E-2</v>
      </c>
      <c r="L22" s="64">
        <f>COUNTIFS('RedHill Release Incidents'!$C$2:$C$66,B22,'RedHill Release Incidents'!$S$2:$S$66,"Small",'RedHill Release Incidents'!$O$2:$O$66,"TT",'RedHill Release Incidents'!$Q$2:$Q$66,"OP")</f>
        <v>3</v>
      </c>
      <c r="M22" s="225">
        <f t="shared" si="1"/>
        <v>4.3862631757905481E-2</v>
      </c>
      <c r="N22"/>
      <c r="O22" s="4"/>
      <c r="P22"/>
      <c r="Q22"/>
      <c r="R22" s="4"/>
      <c r="S22" s="4"/>
      <c r="T22" s="4"/>
      <c r="U22"/>
      <c r="V22"/>
      <c r="W22"/>
      <c r="Z22"/>
      <c r="AB22"/>
      <c r="AC22"/>
      <c r="AD22"/>
    </row>
    <row r="23" spans="2:30" ht="31.5" customHeight="1" x14ac:dyDescent="0.25">
      <c r="B23" s="68">
        <v>17</v>
      </c>
      <c r="C23" s="63">
        <v>1943</v>
      </c>
      <c r="D23" s="68">
        <v>2017</v>
      </c>
      <c r="E23" s="63" t="s">
        <v>516</v>
      </c>
      <c r="F23" s="337">
        <v>2</v>
      </c>
      <c r="G23" s="332">
        <v>1.67</v>
      </c>
      <c r="H23" s="333">
        <f>4+F23</f>
        <v>6</v>
      </c>
      <c r="I23" s="341">
        <f t="shared" si="2"/>
        <v>70.33</v>
      </c>
      <c r="J23" s="63">
        <f>COUNTIFS('RedHill Release Incidents'!$C$2:$C$66,B23,'RedHill Release Incidents'!$S$2:$S$66,"Small",'RedHill Release Incidents'!$O$2:$O$66,"!TT",'RedHill Release Incidents'!$Q$2:$Q$66,"OP")</f>
        <v>1</v>
      </c>
      <c r="K23" s="225">
        <f t="shared" si="0"/>
        <v>1.4218683349921797E-2</v>
      </c>
      <c r="L23" s="64">
        <f>COUNTIFS('RedHill Release Incidents'!$C$2:$C$66,B23,'RedHill Release Incidents'!$S$2:$S$66,"Small",'RedHill Release Incidents'!$O$2:$O$66,"TT",'RedHill Release Incidents'!$Q$2:$Q$66,"OP")</f>
        <v>2</v>
      </c>
      <c r="M23" s="225">
        <f t="shared" si="1"/>
        <v>2.8437366699843595E-2</v>
      </c>
      <c r="N23"/>
      <c r="O23" s="4"/>
      <c r="P23"/>
      <c r="Q23"/>
      <c r="R23" s="4"/>
      <c r="S23" s="4"/>
      <c r="T23" s="4"/>
      <c r="U23"/>
      <c r="V23"/>
      <c r="W23"/>
      <c r="Z23"/>
      <c r="AB23"/>
      <c r="AC23"/>
      <c r="AD23"/>
    </row>
    <row r="24" spans="2:30" ht="30" x14ac:dyDescent="0.25">
      <c r="B24" s="68">
        <v>18</v>
      </c>
      <c r="C24" s="63">
        <v>1943</v>
      </c>
      <c r="D24" s="68">
        <v>2017</v>
      </c>
      <c r="E24" s="63" t="s">
        <v>516</v>
      </c>
      <c r="F24" s="337">
        <v>2</v>
      </c>
      <c r="G24" s="332">
        <v>0.98495212038303692</v>
      </c>
      <c r="H24" s="333">
        <f>3+F24</f>
        <v>5</v>
      </c>
      <c r="I24" s="341">
        <f t="shared" si="2"/>
        <v>71.015047879616958</v>
      </c>
      <c r="J24" s="63">
        <f>COUNTIFS('RedHill Release Incidents'!$C$2:$C$66,B24,'RedHill Release Incidents'!$S$2:$S$66,"Small",'RedHill Release Incidents'!$O$2:$O$66,"!TT",'RedHill Release Incidents'!$Q$2:$Q$66,"OP")</f>
        <v>0</v>
      </c>
      <c r="K24" s="225">
        <f t="shared" si="0"/>
        <v>0</v>
      </c>
      <c r="L24" s="64">
        <f>COUNTIFS('RedHill Release Incidents'!$C$2:$C$66,B24,'RedHill Release Incidents'!$S$2:$S$66,"Small",'RedHill Release Incidents'!$O$2:$O$66,"TT",'RedHill Release Incidents'!$Q$2:$Q$66,"OP")</f>
        <v>0</v>
      </c>
      <c r="M24" s="225">
        <f t="shared" si="1"/>
        <v>0</v>
      </c>
      <c r="N24"/>
      <c r="O24" s="4"/>
      <c r="P24"/>
      <c r="Q24"/>
      <c r="R24" s="4"/>
      <c r="S24" s="4"/>
      <c r="T24" s="4"/>
      <c r="U24"/>
      <c r="V24"/>
      <c r="W24"/>
      <c r="Z24"/>
      <c r="AB24"/>
      <c r="AC24"/>
      <c r="AD24"/>
    </row>
    <row r="25" spans="2:30" x14ac:dyDescent="0.25">
      <c r="B25" s="63">
        <v>19</v>
      </c>
      <c r="C25" s="63">
        <v>1943</v>
      </c>
      <c r="D25" s="68">
        <v>1998</v>
      </c>
      <c r="E25" s="68" t="s">
        <v>517</v>
      </c>
      <c r="F25" s="338">
        <v>1</v>
      </c>
      <c r="G25" s="332">
        <v>20.735978112175104</v>
      </c>
      <c r="H25" s="333">
        <f>6+F25</f>
        <v>7</v>
      </c>
      <c r="I25" s="341">
        <f t="shared" si="2"/>
        <v>33.264021887824896</v>
      </c>
      <c r="J25" s="63">
        <f>COUNTIFS('RedHill Release Incidents'!$C$2:$C$66,B25,'RedHill Release Incidents'!$S$2:$S$66,"Small",'RedHill Release Incidents'!$O$2:$O$66,"!TT",'RedHill Release Incidents'!$Q$2:$Q$66,"OP")</f>
        <v>0</v>
      </c>
      <c r="K25" s="225">
        <f t="shared" si="0"/>
        <v>0</v>
      </c>
      <c r="L25" s="64">
        <f>COUNTIFS('RedHill Release Incidents'!$C$2:$C$66,B25,'RedHill Release Incidents'!$S$2:$S$66,"Small",'RedHill Release Incidents'!$O$2:$O$66,"TT",'RedHill Release Incidents'!$Q$2:$Q$66,"OP")</f>
        <v>1</v>
      </c>
      <c r="M25" s="225">
        <f t="shared" si="1"/>
        <v>3.0062510281296268E-2</v>
      </c>
      <c r="N25"/>
      <c r="O25" s="4"/>
      <c r="P25"/>
      <c r="Q25"/>
      <c r="R25" s="4"/>
      <c r="S25" s="4"/>
      <c r="T25" s="4"/>
      <c r="U25"/>
      <c r="V25"/>
      <c r="W25"/>
      <c r="Z25"/>
      <c r="AB25"/>
      <c r="AC25"/>
      <c r="AD25"/>
    </row>
    <row r="26" spans="2:30" ht="33.75" customHeight="1" thickBot="1" x14ac:dyDescent="0.3">
      <c r="B26" s="68">
        <v>20</v>
      </c>
      <c r="C26" s="63">
        <v>1943</v>
      </c>
      <c r="D26" s="68">
        <v>2017</v>
      </c>
      <c r="E26" s="63" t="s">
        <v>516</v>
      </c>
      <c r="F26" s="69">
        <v>2</v>
      </c>
      <c r="G26" s="335">
        <v>1.0013679890560876</v>
      </c>
      <c r="H26" s="344">
        <f>2+F26</f>
        <v>4</v>
      </c>
      <c r="I26" s="341">
        <f t="shared" si="2"/>
        <v>70.998632010943908</v>
      </c>
      <c r="J26" s="63">
        <f>COUNTIFS('RedHill Release Incidents'!$C$2:$C$66,B26,'RedHill Release Incidents'!$S$2:$S$66,"Small",'RedHill Release Incidents'!$O$2:$O$66,"!TT",'RedHill Release Incidents'!$Q$2:$Q$66,"OP")</f>
        <v>0</v>
      </c>
      <c r="K26" s="225">
        <f t="shared" si="0"/>
        <v>0</v>
      </c>
      <c r="L26" s="64">
        <f>COUNTIFS('RedHill Release Incidents'!$C$2:$C$66,B26,'RedHill Release Incidents'!$S$2:$S$66,"Small",'RedHill Release Incidents'!$O$2:$O$66,"TT",'RedHill Release Incidents'!$Q$2:$Q$66,"OP")</f>
        <v>0</v>
      </c>
      <c r="M26" s="225">
        <f t="shared" si="1"/>
        <v>0</v>
      </c>
      <c r="N26"/>
      <c r="O26" s="4"/>
      <c r="P26"/>
      <c r="Q26"/>
      <c r="R26" s="4"/>
      <c r="S26" s="4"/>
      <c r="T26" s="4"/>
      <c r="U26"/>
      <c r="V26"/>
      <c r="W26"/>
      <c r="Z26"/>
      <c r="AB26"/>
      <c r="AC26"/>
      <c r="AD26"/>
    </row>
    <row r="27" spans="2:30" ht="15.75" thickBot="1" x14ac:dyDescent="0.3">
      <c r="B27" s="61" t="s">
        <v>80</v>
      </c>
      <c r="C27" s="67"/>
      <c r="D27" s="67"/>
      <c r="E27" s="76">
        <v>22</v>
      </c>
      <c r="F27" s="67"/>
      <c r="G27" s="67"/>
      <c r="H27" s="345">
        <f>SUM(H7:H26)</f>
        <v>113</v>
      </c>
      <c r="I27" s="347">
        <f t="shared" ref="I27:M27" si="3">SUM(I7:I26)</f>
        <v>1315.6498768809849</v>
      </c>
      <c r="J27" s="62">
        <f>SUM(J7:J26)</f>
        <v>18</v>
      </c>
      <c r="K27" s="354">
        <f t="shared" si="3"/>
        <v>0.30825336691985972</v>
      </c>
      <c r="L27" s="62">
        <f t="shared" si="3"/>
        <v>25</v>
      </c>
      <c r="M27" s="226">
        <f t="shared" si="3"/>
        <v>0.45017151774230063</v>
      </c>
      <c r="N27"/>
      <c r="O27" s="4"/>
      <c r="P27"/>
      <c r="Q27"/>
      <c r="R27" s="4"/>
      <c r="S27" s="4"/>
      <c r="T27" s="4"/>
      <c r="U27"/>
      <c r="V27"/>
      <c r="W27"/>
      <c r="Z27"/>
      <c r="AB27"/>
      <c r="AC27"/>
      <c r="AD27"/>
    </row>
    <row r="28" spans="2:30" ht="15.75" thickBot="1" x14ac:dyDescent="0.3">
      <c r="B28" s="228" t="s">
        <v>800</v>
      </c>
      <c r="C28" s="229"/>
      <c r="D28" s="229"/>
      <c r="E28" s="229"/>
      <c r="F28" s="229"/>
      <c r="G28" s="229"/>
      <c r="H28" s="229"/>
      <c r="I28" s="229"/>
      <c r="J28" s="246">
        <f>(J27/I27)</f>
        <v>1.3681451514040082E-2</v>
      </c>
      <c r="K28" s="247">
        <f>K27/C1</f>
        <v>1.5412668345992985E-2</v>
      </c>
      <c r="L28" s="247">
        <f>(L27/I27)</f>
        <v>1.9002015991722337E-2</v>
      </c>
      <c r="M28" s="248">
        <f>M27/C1</f>
        <v>2.250857588711503E-2</v>
      </c>
      <c r="N28"/>
      <c r="O28" s="4"/>
      <c r="P28"/>
      <c r="Q28"/>
      <c r="R28" s="4"/>
      <c r="S28" s="4"/>
      <c r="T28" s="4"/>
      <c r="U28" s="4"/>
      <c r="V28" s="4"/>
      <c r="W28"/>
      <c r="Z28"/>
      <c r="AB28"/>
      <c r="AC28"/>
      <c r="AD28"/>
    </row>
    <row r="29" spans="2:30" ht="30.75" thickBot="1" x14ac:dyDescent="0.3">
      <c r="B29" s="244" t="s">
        <v>819</v>
      </c>
      <c r="C29" s="245"/>
      <c r="D29" s="245"/>
      <c r="E29" s="245"/>
      <c r="F29" s="245"/>
      <c r="G29" s="245"/>
      <c r="H29" s="245"/>
      <c r="I29" s="245"/>
      <c r="J29" s="355">
        <f>1/J28</f>
        <v>73.091659826721383</v>
      </c>
      <c r="K29" s="356">
        <f>1/K28</f>
        <v>64.88169196607555</v>
      </c>
      <c r="L29" s="356">
        <f>1/L28</f>
        <v>52.625995075239402</v>
      </c>
      <c r="M29" s="357">
        <f>1/M28</f>
        <v>44.427510874752727</v>
      </c>
      <c r="P29"/>
      <c r="Q29"/>
      <c r="R29" s="4"/>
      <c r="S29"/>
      <c r="U29" s="66"/>
      <c r="V29"/>
      <c r="W29"/>
      <c r="X29" s="4"/>
      <c r="AA29" s="4"/>
      <c r="AC29"/>
      <c r="AD29"/>
    </row>
    <row r="30" spans="2:30" x14ac:dyDescent="0.25">
      <c r="W30" s="66"/>
    </row>
    <row r="31" spans="2:30" x14ac:dyDescent="0.25">
      <c r="W31" s="66"/>
    </row>
    <row r="32" spans="2:30" x14ac:dyDescent="0.25">
      <c r="W32" s="66"/>
    </row>
    <row r="33" spans="2:32" ht="15.75" thickBot="1" x14ac:dyDescent="0.3">
      <c r="W33" s="66"/>
    </row>
    <row r="34" spans="2:32" ht="15" customHeight="1" thickBot="1" x14ac:dyDescent="0.3">
      <c r="B34" s="470" t="s">
        <v>646</v>
      </c>
      <c r="C34" s="471"/>
      <c r="D34" s="471"/>
      <c r="E34" s="471"/>
      <c r="F34" s="471"/>
      <c r="G34" s="471"/>
      <c r="H34" s="471"/>
      <c r="I34" s="471"/>
      <c r="J34" s="471"/>
      <c r="K34" s="471"/>
      <c r="L34" s="471"/>
      <c r="M34" s="471"/>
      <c r="N34" s="472"/>
      <c r="P34" s="65"/>
      <c r="W34" s="66"/>
    </row>
    <row r="35" spans="2:32" ht="30" x14ac:dyDescent="0.25">
      <c r="B35" s="348" t="s">
        <v>118</v>
      </c>
      <c r="C35" s="279" t="s">
        <v>119</v>
      </c>
      <c r="D35" s="279" t="s">
        <v>522</v>
      </c>
      <c r="E35" s="279" t="s">
        <v>117</v>
      </c>
      <c r="F35" s="279" t="s">
        <v>515</v>
      </c>
      <c r="G35" s="349" t="s">
        <v>799</v>
      </c>
      <c r="H35" s="279" t="s">
        <v>819</v>
      </c>
      <c r="I35" s="279" t="s">
        <v>120</v>
      </c>
      <c r="J35" s="279" t="s">
        <v>114</v>
      </c>
      <c r="K35" s="350" t="s">
        <v>115</v>
      </c>
      <c r="L35" s="350" t="s">
        <v>116</v>
      </c>
      <c r="M35" s="467" t="s">
        <v>523</v>
      </c>
      <c r="N35" s="468"/>
      <c r="O35" s="353"/>
      <c r="W35" s="66"/>
    </row>
    <row r="36" spans="2:32" ht="37.5" customHeight="1" thickBot="1" x14ac:dyDescent="0.3">
      <c r="B36" s="20" t="s">
        <v>820</v>
      </c>
      <c r="C36" s="254" t="s">
        <v>521</v>
      </c>
      <c r="D36" s="82">
        <v>0</v>
      </c>
      <c r="E36" s="82">
        <v>0.5</v>
      </c>
      <c r="F36" s="85">
        <f>I27</f>
        <v>1315.6498768809849</v>
      </c>
      <c r="G36" s="30">
        <v>3.59E-4</v>
      </c>
      <c r="H36" s="252">
        <f>1/G36</f>
        <v>2785.515320334262</v>
      </c>
      <c r="I36" s="30">
        <v>1.4799999999999999E-4</v>
      </c>
      <c r="J36" s="30">
        <v>1.19E-6</v>
      </c>
      <c r="K36" s="30">
        <v>1270</v>
      </c>
      <c r="L36" s="83">
        <v>32.6</v>
      </c>
      <c r="M36" s="414" t="s">
        <v>524</v>
      </c>
      <c r="N36" s="435"/>
      <c r="O36"/>
      <c r="W36" s="65"/>
    </row>
    <row r="37" spans="2:32" ht="35.25" customHeight="1" thickBot="1" x14ac:dyDescent="0.3">
      <c r="B37" s="22" t="s">
        <v>661</v>
      </c>
      <c r="C37" s="254" t="s">
        <v>521</v>
      </c>
      <c r="D37" s="255">
        <v>0</v>
      </c>
      <c r="E37" s="255">
        <v>0.5</v>
      </c>
      <c r="F37" s="256">
        <f>NavyBulkTank_SpillReleaseData!H206</f>
        <v>7050</v>
      </c>
      <c r="G37" s="33">
        <v>7.1299999999999998E-5</v>
      </c>
      <c r="H37" s="253">
        <f>1/G37</f>
        <v>14025.245441795232</v>
      </c>
      <c r="I37" s="33">
        <v>2.94E-5</v>
      </c>
      <c r="J37" s="33">
        <v>2.36E-7</v>
      </c>
      <c r="K37" s="33">
        <v>2.52E-4</v>
      </c>
      <c r="L37" s="86">
        <v>32.6</v>
      </c>
      <c r="M37" s="395" t="s">
        <v>520</v>
      </c>
      <c r="N37" s="469"/>
      <c r="O37"/>
      <c r="T37" s="65"/>
      <c r="U37" s="65"/>
      <c r="V37" s="65"/>
    </row>
    <row r="38" spans="2:32" x14ac:dyDescent="0.25">
      <c r="B38" s="55"/>
      <c r="C38" s="81"/>
      <c r="D38" s="81"/>
      <c r="E38" s="81"/>
      <c r="F38" s="59"/>
      <c r="G38" s="59"/>
      <c r="H38" s="59"/>
      <c r="I38" s="59"/>
      <c r="J38" s="59"/>
      <c r="K38" s="59"/>
      <c r="N38"/>
      <c r="O38"/>
      <c r="Q38" s="65"/>
      <c r="R38" s="65"/>
      <c r="S38" s="65"/>
      <c r="X38" s="2"/>
      <c r="Y38" s="2"/>
      <c r="Z38"/>
      <c r="AC38"/>
      <c r="AE38" s="4"/>
      <c r="AF38" s="4"/>
    </row>
    <row r="39" spans="2:32" ht="15.75" thickBot="1" x14ac:dyDescent="0.3">
      <c r="X39" s="2"/>
      <c r="Y39" s="2"/>
      <c r="Z39"/>
      <c r="AC39"/>
      <c r="AE39" s="4"/>
      <c r="AF39" s="4"/>
    </row>
    <row r="40" spans="2:32" x14ac:dyDescent="0.25">
      <c r="B40" s="418" t="s">
        <v>512</v>
      </c>
      <c r="C40" s="419"/>
      <c r="D40" s="420"/>
      <c r="E40" s="78"/>
      <c r="F40" s="79"/>
      <c r="X40" s="2"/>
      <c r="Y40" s="2"/>
      <c r="Z40"/>
      <c r="AC40"/>
      <c r="AE40" s="4"/>
      <c r="AF40" s="4"/>
    </row>
    <row r="41" spans="2:32" x14ac:dyDescent="0.25">
      <c r="B41" s="74" t="s">
        <v>507</v>
      </c>
      <c r="C41" s="42" t="s">
        <v>514</v>
      </c>
      <c r="D41" s="73" t="s">
        <v>508</v>
      </c>
      <c r="E41" s="78"/>
      <c r="F41" s="80"/>
      <c r="X41" s="2"/>
      <c r="Y41" s="2"/>
      <c r="Z41"/>
      <c r="AC41"/>
      <c r="AE41" s="4"/>
      <c r="AF41" s="4"/>
    </row>
    <row r="42" spans="2:32" ht="15.75" thickBot="1" x14ac:dyDescent="0.3">
      <c r="B42" s="77">
        <f>COUNTIF('RedHill Release Incidents'!Q3:Q66,"TIR")+3</f>
        <v>15</v>
      </c>
      <c r="C42" s="346">
        <f>H27</f>
        <v>113</v>
      </c>
      <c r="D42" s="72">
        <f>B42/C42</f>
        <v>0.13274336283185842</v>
      </c>
      <c r="E42" s="75"/>
      <c r="N42"/>
      <c r="X42" s="2"/>
      <c r="Z42"/>
      <c r="AA42" s="4"/>
      <c r="AB42"/>
      <c r="AE42" s="4"/>
    </row>
    <row r="43" spans="2:32" x14ac:dyDescent="0.25">
      <c r="N43"/>
    </row>
    <row r="44" spans="2:32" x14ac:dyDescent="0.25">
      <c r="N44"/>
    </row>
    <row r="45" spans="2:32" x14ac:dyDescent="0.25">
      <c r="N45"/>
    </row>
    <row r="46" spans="2:32" x14ac:dyDescent="0.25">
      <c r="X46" s="2"/>
      <c r="Z46"/>
      <c r="AA46" s="4"/>
      <c r="AB46"/>
      <c r="AE46" s="4"/>
    </row>
    <row r="47" spans="2:32" x14ac:dyDescent="0.25">
      <c r="X47" s="2"/>
      <c r="Z47"/>
      <c r="AA47" s="4"/>
      <c r="AB47"/>
      <c r="AE47" s="4"/>
    </row>
    <row r="48" spans="2:32" x14ac:dyDescent="0.25">
      <c r="X48" s="2"/>
      <c r="Z48"/>
      <c r="AA48" s="4"/>
      <c r="AB48"/>
      <c r="AE48" s="4"/>
    </row>
    <row r="49" spans="24:31" x14ac:dyDescent="0.25">
      <c r="X49" s="2"/>
      <c r="Z49"/>
      <c r="AA49" s="4"/>
      <c r="AB49"/>
      <c r="AE49" s="4"/>
    </row>
  </sheetData>
  <sheetProtection algorithmName="SHA-512" hashValue="R/ZfbpV61RMIlysBvZrJuQbXjvfc8vizkypR91n1E69+VCQI8NxN+lRt2Z4OV0924cwtNTk9VevZtzvBcO9t7A==" saltValue="ZgK4UY440OBGDKgIVeqkFA==" spinCount="100000" sheet="1" objects="1" scenarios="1"/>
  <mergeCells count="21">
    <mergeCell ref="N8:T8"/>
    <mergeCell ref="N11:T11"/>
    <mergeCell ref="B40:D40"/>
    <mergeCell ref="I4:I6"/>
    <mergeCell ref="J4:M4"/>
    <mergeCell ref="J5:K5"/>
    <mergeCell ref="L5:M5"/>
    <mergeCell ref="B4:B6"/>
    <mergeCell ref="C4:C6"/>
    <mergeCell ref="D4:D6"/>
    <mergeCell ref="G4:G6"/>
    <mergeCell ref="M35:N35"/>
    <mergeCell ref="M36:N36"/>
    <mergeCell ref="M37:N37"/>
    <mergeCell ref="B34:N34"/>
    <mergeCell ref="E4:E6"/>
    <mergeCell ref="F4:F6"/>
    <mergeCell ref="H4:H6"/>
    <mergeCell ref="B3:M3"/>
    <mergeCell ref="O3:S3"/>
    <mergeCell ref="O4:S6"/>
  </mergeCells>
  <pageMargins left="0.7" right="0.7" top="0.75" bottom="0.75" header="0.3" footer="0.3"/>
  <pageSetup paperSize="1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76"/>
  <sheetViews>
    <sheetView zoomScale="85" zoomScaleNormal="85" workbookViewId="0"/>
  </sheetViews>
  <sheetFormatPr defaultRowHeight="15" x14ac:dyDescent="0.25"/>
  <cols>
    <col min="3" max="3" width="12" customWidth="1"/>
    <col min="4" max="4" width="8.85546875" customWidth="1"/>
    <col min="5" max="5" width="8.42578125" customWidth="1"/>
    <col min="6" max="6" width="8.5703125" customWidth="1"/>
    <col min="7" max="7" width="11.85546875" customWidth="1"/>
    <col min="8" max="8" width="9.85546875" customWidth="1"/>
  </cols>
  <sheetData>
    <row r="1" spans="1:8" x14ac:dyDescent="0.25">
      <c r="A1" s="5"/>
      <c r="B1" s="5"/>
      <c r="C1" s="120" t="s">
        <v>84</v>
      </c>
      <c r="D1" s="120" t="s">
        <v>571</v>
      </c>
      <c r="E1" s="120" t="s">
        <v>570</v>
      </c>
      <c r="F1" s="120" t="s">
        <v>572</v>
      </c>
      <c r="G1" s="120" t="s">
        <v>565</v>
      </c>
      <c r="H1" s="120" t="s">
        <v>564</v>
      </c>
    </row>
    <row r="2" spans="1:8" x14ac:dyDescent="0.25">
      <c r="A2" s="5">
        <v>1</v>
      </c>
      <c r="B2" s="5">
        <v>1944</v>
      </c>
      <c r="C2" s="121">
        <v>0</v>
      </c>
      <c r="D2" s="121"/>
      <c r="E2" s="121"/>
      <c r="F2" s="121"/>
      <c r="G2" s="5" t="s">
        <v>574</v>
      </c>
      <c r="H2" s="5">
        <f>D11</f>
        <v>8</v>
      </c>
    </row>
    <row r="3" spans="1:8" x14ac:dyDescent="0.25">
      <c r="A3" s="5">
        <v>2</v>
      </c>
      <c r="B3" s="5">
        <v>1945</v>
      </c>
      <c r="C3" s="121">
        <v>0</v>
      </c>
      <c r="D3" s="121"/>
      <c r="E3" s="121"/>
      <c r="F3" s="121"/>
      <c r="G3" s="5" t="s">
        <v>575</v>
      </c>
      <c r="H3" s="5">
        <f>D21</f>
        <v>3</v>
      </c>
    </row>
    <row r="4" spans="1:8" x14ac:dyDescent="0.25">
      <c r="A4" s="5">
        <v>3</v>
      </c>
      <c r="B4" s="5">
        <v>1946</v>
      </c>
      <c r="C4" s="121">
        <v>0</v>
      </c>
      <c r="D4" s="121"/>
      <c r="E4" s="121"/>
      <c r="F4" s="121"/>
      <c r="G4" s="5" t="s">
        <v>576</v>
      </c>
      <c r="H4" s="5">
        <f>D31</f>
        <v>20</v>
      </c>
    </row>
    <row r="5" spans="1:8" x14ac:dyDescent="0.25">
      <c r="A5" s="5">
        <v>4</v>
      </c>
      <c r="B5" s="5">
        <v>1947</v>
      </c>
      <c r="C5" s="5">
        <f>COUNTIF('RedHill Release Incidents'!$A$2:$A$66,B5)</f>
        <v>2</v>
      </c>
      <c r="D5" s="5"/>
      <c r="E5" s="5"/>
      <c r="F5" s="5"/>
      <c r="G5" s="5" t="s">
        <v>578</v>
      </c>
      <c r="H5" s="5">
        <f>D41</f>
        <v>23</v>
      </c>
    </row>
    <row r="6" spans="1:8" x14ac:dyDescent="0.25">
      <c r="A6" s="5">
        <v>5</v>
      </c>
      <c r="B6" s="5">
        <v>1948</v>
      </c>
      <c r="C6" s="5">
        <f>COUNTIF('RedHill Release Incidents'!$A$2:$A$66,B6)</f>
        <v>1</v>
      </c>
      <c r="D6" s="5"/>
      <c r="E6" s="5"/>
      <c r="F6" s="5"/>
      <c r="G6" s="5" t="s">
        <v>577</v>
      </c>
      <c r="H6" s="5">
        <f>D51</f>
        <v>0</v>
      </c>
    </row>
    <row r="7" spans="1:8" x14ac:dyDescent="0.25">
      <c r="A7" s="5">
        <v>6</v>
      </c>
      <c r="B7" s="5">
        <v>1949</v>
      </c>
      <c r="C7" s="5">
        <f>COUNTIF('RedHill Release Incidents'!$A$2:$A$66,B7)</f>
        <v>3</v>
      </c>
      <c r="D7" s="5"/>
      <c r="E7" s="5"/>
      <c r="F7" s="5"/>
      <c r="G7" s="5" t="s">
        <v>579</v>
      </c>
      <c r="H7" s="5">
        <f>D61</f>
        <v>3</v>
      </c>
    </row>
    <row r="8" spans="1:8" x14ac:dyDescent="0.25">
      <c r="A8" s="5">
        <v>7</v>
      </c>
      <c r="B8" s="5">
        <v>1950</v>
      </c>
      <c r="C8" s="5">
        <f>COUNTIF('RedHill Release Incidents'!$A$2:$A$66,B8)</f>
        <v>0</v>
      </c>
      <c r="D8" s="5"/>
      <c r="E8" s="5"/>
      <c r="F8" s="5"/>
      <c r="G8" s="5" t="s">
        <v>581</v>
      </c>
      <c r="H8" s="5">
        <f>D71</f>
        <v>3</v>
      </c>
    </row>
    <row r="9" spans="1:8" x14ac:dyDescent="0.25">
      <c r="A9" s="5">
        <v>8</v>
      </c>
      <c r="B9" s="5">
        <v>1951</v>
      </c>
      <c r="C9" s="5">
        <f>COUNTIF('RedHill Release Incidents'!$A$2:$A$66,B9)</f>
        <v>0</v>
      </c>
      <c r="D9" s="5"/>
      <c r="E9" s="5"/>
      <c r="F9" s="5"/>
      <c r="G9" s="5" t="s">
        <v>582</v>
      </c>
      <c r="H9" s="5">
        <f>D75</f>
        <v>1</v>
      </c>
    </row>
    <row r="10" spans="1:8" x14ac:dyDescent="0.25">
      <c r="A10" s="5">
        <v>9</v>
      </c>
      <c r="B10" s="5">
        <v>1952</v>
      </c>
      <c r="C10" s="5">
        <f>COUNTIF('RedHill Release Incidents'!$A$2:$A$66,B10)</f>
        <v>1</v>
      </c>
      <c r="D10" s="5"/>
      <c r="E10" s="5"/>
      <c r="F10" s="5"/>
      <c r="G10" s="5"/>
      <c r="H10" s="5"/>
    </row>
    <row r="11" spans="1:8" x14ac:dyDescent="0.25">
      <c r="A11" s="5">
        <v>10</v>
      </c>
      <c r="B11" s="5">
        <v>1953</v>
      </c>
      <c r="C11" s="5">
        <f>COUNTIF('RedHill Release Incidents'!$A$2:$A$66,B11)</f>
        <v>1</v>
      </c>
      <c r="D11" s="5">
        <f>SUM(C2:C11)</f>
        <v>8</v>
      </c>
      <c r="E11" s="5"/>
      <c r="F11" s="5"/>
      <c r="G11" s="5" t="s">
        <v>570</v>
      </c>
      <c r="H11" s="5"/>
    </row>
    <row r="12" spans="1:8" x14ac:dyDescent="0.25">
      <c r="A12" s="5">
        <v>11</v>
      </c>
      <c r="B12" s="5">
        <v>1954</v>
      </c>
      <c r="C12" s="5">
        <f>COUNTIF('RedHill Release Incidents'!$A$2:$A$66,B12)</f>
        <v>2</v>
      </c>
      <c r="D12" s="5"/>
      <c r="E12" s="5"/>
      <c r="F12" s="5"/>
      <c r="G12" s="5" t="s">
        <v>573</v>
      </c>
      <c r="H12" s="5">
        <f>E16</f>
        <v>11</v>
      </c>
    </row>
    <row r="13" spans="1:8" x14ac:dyDescent="0.25">
      <c r="A13" s="5">
        <v>12</v>
      </c>
      <c r="B13" s="5">
        <v>1955</v>
      </c>
      <c r="C13" s="5">
        <f>COUNTIF('RedHill Release Incidents'!$A$2:$A$66,B13)</f>
        <v>0</v>
      </c>
      <c r="D13" s="5"/>
      <c r="E13" s="5"/>
      <c r="F13" s="5"/>
      <c r="G13" s="5" t="s">
        <v>583</v>
      </c>
      <c r="H13" s="5">
        <f>E31</f>
        <v>20</v>
      </c>
    </row>
    <row r="14" spans="1:8" x14ac:dyDescent="0.25">
      <c r="A14" s="5">
        <v>13</v>
      </c>
      <c r="B14" s="5">
        <v>1956</v>
      </c>
      <c r="C14" s="5">
        <f>COUNTIF('RedHill Release Incidents'!$A$2:$A$66,B14)</f>
        <v>0</v>
      </c>
      <c r="D14" s="5"/>
      <c r="E14" s="5"/>
      <c r="F14" s="5"/>
      <c r="G14" s="5" t="s">
        <v>584</v>
      </c>
      <c r="H14" s="5">
        <f>E46</f>
        <v>23</v>
      </c>
    </row>
    <row r="15" spans="1:8" x14ac:dyDescent="0.25">
      <c r="A15" s="5">
        <v>14</v>
      </c>
      <c r="B15" s="5">
        <v>1957</v>
      </c>
      <c r="C15" s="5">
        <f>COUNTIF('RedHill Release Incidents'!$A$2:$A$66,B15)</f>
        <v>0</v>
      </c>
      <c r="D15" s="5"/>
      <c r="E15" s="5"/>
      <c r="F15" s="5"/>
      <c r="G15" s="5" t="s">
        <v>588</v>
      </c>
      <c r="H15" s="5">
        <f>E61</f>
        <v>3</v>
      </c>
    </row>
    <row r="16" spans="1:8" x14ac:dyDescent="0.25">
      <c r="A16" s="5">
        <v>15</v>
      </c>
      <c r="B16" s="5">
        <v>1958</v>
      </c>
      <c r="C16" s="5">
        <f>COUNTIF('RedHill Release Incidents'!$A$2:$A$66,B16)</f>
        <v>1</v>
      </c>
      <c r="D16" s="5"/>
      <c r="E16" s="5">
        <f>SUM(C2:C16)</f>
        <v>11</v>
      </c>
      <c r="F16" s="5"/>
      <c r="G16" s="5" t="s">
        <v>580</v>
      </c>
      <c r="H16" s="5">
        <f>E75</f>
        <v>4</v>
      </c>
    </row>
    <row r="17" spans="1:8" x14ac:dyDescent="0.25">
      <c r="A17" s="5">
        <v>16</v>
      </c>
      <c r="B17" s="5">
        <v>1959</v>
      </c>
      <c r="C17" s="5">
        <f>COUNTIF('RedHill Release Incidents'!$A$2:$A$66,B17)</f>
        <v>0</v>
      </c>
      <c r="D17" s="5"/>
      <c r="E17" s="5"/>
      <c r="F17" s="5"/>
      <c r="G17" s="5"/>
      <c r="H17" s="5"/>
    </row>
    <row r="18" spans="1:8" x14ac:dyDescent="0.25">
      <c r="A18" s="5">
        <v>17</v>
      </c>
      <c r="B18" s="5">
        <v>1960</v>
      </c>
      <c r="C18" s="5">
        <f>COUNTIF('RedHill Release Incidents'!$A$2:$A$66,B18)</f>
        <v>0</v>
      </c>
      <c r="D18" s="5"/>
      <c r="E18" s="5"/>
      <c r="F18" s="5"/>
      <c r="G18" s="5" t="s">
        <v>566</v>
      </c>
      <c r="H18" s="5"/>
    </row>
    <row r="19" spans="1:8" x14ac:dyDescent="0.25">
      <c r="A19" s="5">
        <v>18</v>
      </c>
      <c r="B19" s="5">
        <v>1961</v>
      </c>
      <c r="C19" s="5">
        <f>COUNTIF('RedHill Release Incidents'!$A$2:$A$66,B19)</f>
        <v>0</v>
      </c>
      <c r="D19" s="5"/>
      <c r="E19" s="5"/>
      <c r="F19" s="5"/>
      <c r="G19" s="5" t="s">
        <v>585</v>
      </c>
      <c r="H19" s="5">
        <f>F26</f>
        <v>21</v>
      </c>
    </row>
    <row r="20" spans="1:8" x14ac:dyDescent="0.25">
      <c r="A20" s="5">
        <v>19</v>
      </c>
      <c r="B20" s="5">
        <v>1962</v>
      </c>
      <c r="C20" s="5">
        <f>COUNTIF('RedHill Release Incidents'!$A$2:$A$66,B20)</f>
        <v>0</v>
      </c>
      <c r="D20" s="5"/>
      <c r="E20" s="5"/>
      <c r="F20" s="5"/>
      <c r="G20" s="5" t="s">
        <v>586</v>
      </c>
      <c r="H20" s="5">
        <f>F51</f>
        <v>33</v>
      </c>
    </row>
    <row r="21" spans="1:8" x14ac:dyDescent="0.25">
      <c r="A21" s="5">
        <v>20</v>
      </c>
      <c r="B21" s="5">
        <v>1963</v>
      </c>
      <c r="C21" s="5">
        <f>COUNTIF('RedHill Release Incidents'!$A$2:$A$66,B21)</f>
        <v>0</v>
      </c>
      <c r="D21" s="5">
        <f>SUM(C12:C21)</f>
        <v>3</v>
      </c>
      <c r="E21" s="5"/>
      <c r="F21" s="5"/>
      <c r="G21" s="5" t="s">
        <v>587</v>
      </c>
      <c r="H21" s="5">
        <f>F75</f>
        <v>7</v>
      </c>
    </row>
    <row r="22" spans="1:8" x14ac:dyDescent="0.25">
      <c r="A22" s="5">
        <v>21</v>
      </c>
      <c r="B22" s="5">
        <v>1964</v>
      </c>
      <c r="C22" s="5">
        <f>COUNTIF('RedHill Release Incidents'!$A$2:$A$66,B22)</f>
        <v>5</v>
      </c>
      <c r="D22" s="5"/>
      <c r="E22" s="5"/>
      <c r="F22" s="5"/>
      <c r="G22" s="5"/>
      <c r="H22" s="5"/>
    </row>
    <row r="23" spans="1:8" x14ac:dyDescent="0.25">
      <c r="A23" s="5">
        <v>22</v>
      </c>
      <c r="B23" s="5">
        <v>1965</v>
      </c>
      <c r="C23" s="5">
        <f>COUNTIF('RedHill Release Incidents'!$A$2:$A$66,B23)</f>
        <v>3</v>
      </c>
      <c r="D23" s="5"/>
      <c r="E23" s="5"/>
      <c r="F23" s="5"/>
      <c r="G23" s="5"/>
      <c r="H23" s="5"/>
    </row>
    <row r="24" spans="1:8" x14ac:dyDescent="0.25">
      <c r="A24" s="5">
        <v>23</v>
      </c>
      <c r="B24" s="5">
        <v>1966</v>
      </c>
      <c r="C24" s="5">
        <f>COUNTIF('RedHill Release Incidents'!$A$2:$A$66,B24)</f>
        <v>1</v>
      </c>
      <c r="D24" s="5"/>
      <c r="E24" s="5"/>
      <c r="F24" s="5"/>
      <c r="G24" s="5"/>
      <c r="H24" s="5"/>
    </row>
    <row r="25" spans="1:8" x14ac:dyDescent="0.25">
      <c r="A25" s="5">
        <v>24</v>
      </c>
      <c r="B25" s="5">
        <v>1967</v>
      </c>
      <c r="C25" s="5">
        <f>COUNTIF('RedHill Release Incidents'!$A$2:$A$66,B25)</f>
        <v>1</v>
      </c>
      <c r="D25" s="5"/>
      <c r="E25" s="5"/>
      <c r="F25" s="5"/>
      <c r="G25" s="5"/>
      <c r="H25" s="5"/>
    </row>
    <row r="26" spans="1:8" x14ac:dyDescent="0.25">
      <c r="A26" s="5">
        <v>25</v>
      </c>
      <c r="B26" s="5">
        <v>1968</v>
      </c>
      <c r="C26" s="5">
        <f>COUNTIF('RedHill Release Incidents'!$A$2:$A$66,B26)</f>
        <v>0</v>
      </c>
      <c r="D26" s="5"/>
      <c r="E26" s="5"/>
      <c r="F26" s="5">
        <f>SUM(C2:C26)</f>
        <v>21</v>
      </c>
      <c r="G26" s="5"/>
      <c r="H26" s="5"/>
    </row>
    <row r="27" spans="1:8" x14ac:dyDescent="0.25">
      <c r="A27" s="5">
        <v>26</v>
      </c>
      <c r="B27" s="5">
        <v>1969</v>
      </c>
      <c r="C27" s="5">
        <f>COUNTIF('RedHill Release Incidents'!$A$2:$A$66,B27)</f>
        <v>1</v>
      </c>
      <c r="D27" s="5"/>
      <c r="E27" s="5"/>
      <c r="F27" s="5"/>
      <c r="G27" s="5"/>
      <c r="H27" s="5"/>
    </row>
    <row r="28" spans="1:8" x14ac:dyDescent="0.25">
      <c r="A28" s="5">
        <v>27</v>
      </c>
      <c r="B28" s="5">
        <v>1970</v>
      </c>
      <c r="C28" s="5">
        <f>COUNTIF('RedHill Release Incidents'!$A$2:$A$66,B28)</f>
        <v>1</v>
      </c>
      <c r="D28" s="5"/>
      <c r="E28" s="5"/>
      <c r="F28" s="5"/>
      <c r="G28" s="5"/>
      <c r="H28" s="5"/>
    </row>
    <row r="29" spans="1:8" x14ac:dyDescent="0.25">
      <c r="A29" s="5">
        <v>28</v>
      </c>
      <c r="B29" s="5">
        <v>1971</v>
      </c>
      <c r="C29" s="5">
        <f>COUNTIF('RedHill Release Incidents'!$A$2:$A$66,B29)</f>
        <v>2</v>
      </c>
      <c r="D29" s="5"/>
      <c r="E29" s="5"/>
      <c r="F29" s="5"/>
      <c r="G29" s="5"/>
      <c r="H29" s="5"/>
    </row>
    <row r="30" spans="1:8" x14ac:dyDescent="0.25">
      <c r="A30" s="5">
        <v>29</v>
      </c>
      <c r="B30" s="5">
        <v>1972</v>
      </c>
      <c r="C30" s="5">
        <f>COUNTIF('RedHill Release Incidents'!$A$2:$A$66,B30)</f>
        <v>2</v>
      </c>
      <c r="D30" s="5"/>
      <c r="E30" s="5"/>
      <c r="F30" s="5"/>
      <c r="G30" s="5"/>
      <c r="H30" s="5"/>
    </row>
    <row r="31" spans="1:8" x14ac:dyDescent="0.25">
      <c r="A31" s="5">
        <v>30</v>
      </c>
      <c r="B31" s="5">
        <v>1973</v>
      </c>
      <c r="C31" s="5">
        <f>COUNTIF('RedHill Release Incidents'!$A$2:$A$66,B31)</f>
        <v>4</v>
      </c>
      <c r="D31" s="5">
        <f>SUM(C22:C31)</f>
        <v>20</v>
      </c>
      <c r="E31" s="5">
        <f>SUM(C17:C31)</f>
        <v>20</v>
      </c>
      <c r="F31" s="5"/>
      <c r="G31" s="5"/>
      <c r="H31" s="5"/>
    </row>
    <row r="32" spans="1:8" x14ac:dyDescent="0.25">
      <c r="A32" s="5">
        <v>31</v>
      </c>
      <c r="B32" s="5">
        <v>1974</v>
      </c>
      <c r="C32" s="5">
        <f>COUNTIF('RedHill Release Incidents'!$A$2:$A$66,B32)</f>
        <v>0</v>
      </c>
      <c r="D32" s="5"/>
      <c r="E32" s="5"/>
      <c r="F32" s="5"/>
      <c r="G32" s="5"/>
      <c r="H32" s="5"/>
    </row>
    <row r="33" spans="1:8" x14ac:dyDescent="0.25">
      <c r="A33" s="5">
        <v>32</v>
      </c>
      <c r="B33" s="5">
        <v>1975</v>
      </c>
      <c r="C33" s="5">
        <f>COUNTIF('RedHill Release Incidents'!$A$2:$A$66,B33)</f>
        <v>2</v>
      </c>
      <c r="D33" s="5"/>
      <c r="E33" s="5"/>
      <c r="F33" s="5"/>
      <c r="G33" s="5"/>
      <c r="H33" s="5"/>
    </row>
    <row r="34" spans="1:8" x14ac:dyDescent="0.25">
      <c r="A34" s="5">
        <v>33</v>
      </c>
      <c r="B34" s="5">
        <v>1976</v>
      </c>
      <c r="C34" s="5">
        <f>COUNTIF('RedHill Release Incidents'!$A$2:$A$66,B34)</f>
        <v>2</v>
      </c>
      <c r="D34" s="5"/>
      <c r="E34" s="5"/>
      <c r="F34" s="5"/>
      <c r="G34" s="5"/>
      <c r="H34" s="5"/>
    </row>
    <row r="35" spans="1:8" x14ac:dyDescent="0.25">
      <c r="A35" s="5">
        <v>34</v>
      </c>
      <c r="B35" s="5">
        <v>1977</v>
      </c>
      <c r="C35" s="5">
        <f>COUNTIF('RedHill Release Incidents'!$A$2:$A$66,B35)</f>
        <v>1</v>
      </c>
      <c r="D35" s="5"/>
      <c r="E35" s="5"/>
      <c r="F35" s="5"/>
      <c r="G35" s="5"/>
      <c r="H35" s="5"/>
    </row>
    <row r="36" spans="1:8" x14ac:dyDescent="0.25">
      <c r="A36" s="5">
        <v>35</v>
      </c>
      <c r="B36" s="5">
        <v>1978</v>
      </c>
      <c r="C36" s="5">
        <f>COUNTIF('RedHill Release Incidents'!$A$2:$A$66,B36)</f>
        <v>4</v>
      </c>
      <c r="D36" s="5"/>
      <c r="E36" s="5"/>
      <c r="F36" s="5"/>
      <c r="G36" s="5"/>
      <c r="H36" s="5"/>
    </row>
    <row r="37" spans="1:8" x14ac:dyDescent="0.25">
      <c r="A37" s="5">
        <v>36</v>
      </c>
      <c r="B37" s="5">
        <v>1979</v>
      </c>
      <c r="C37" s="5">
        <f>COUNTIF('RedHill Release Incidents'!$A$2:$A$66,B37)</f>
        <v>0</v>
      </c>
      <c r="D37" s="5"/>
      <c r="E37" s="5"/>
      <c r="F37" s="5"/>
      <c r="G37" s="5"/>
      <c r="H37" s="5"/>
    </row>
    <row r="38" spans="1:8" x14ac:dyDescent="0.25">
      <c r="A38" s="5">
        <v>37</v>
      </c>
      <c r="B38" s="5">
        <v>1980</v>
      </c>
      <c r="C38" s="5">
        <f>COUNTIF('RedHill Release Incidents'!$A$2:$A$66,B38)</f>
        <v>3</v>
      </c>
      <c r="D38" s="5"/>
      <c r="E38" s="5"/>
      <c r="F38" s="5"/>
      <c r="G38" s="5"/>
      <c r="H38" s="5"/>
    </row>
    <row r="39" spans="1:8" x14ac:dyDescent="0.25">
      <c r="A39" s="5">
        <v>38</v>
      </c>
      <c r="B39" s="5">
        <v>1981</v>
      </c>
      <c r="C39" s="5">
        <f>COUNTIF('RedHill Release Incidents'!$A$2:$A$66,B39)</f>
        <v>7</v>
      </c>
      <c r="D39" s="5"/>
      <c r="E39" s="5"/>
      <c r="F39" s="5"/>
      <c r="G39" s="5"/>
      <c r="H39" s="5"/>
    </row>
    <row r="40" spans="1:8" x14ac:dyDescent="0.25">
      <c r="A40" s="5">
        <v>39</v>
      </c>
      <c r="B40" s="5">
        <v>1982</v>
      </c>
      <c r="C40" s="5">
        <f>COUNTIF('RedHill Release Incidents'!$A$2:$A$66,B40)</f>
        <v>3</v>
      </c>
      <c r="D40" s="5"/>
      <c r="E40" s="5"/>
      <c r="F40" s="5"/>
      <c r="G40" s="5"/>
      <c r="H40" s="5"/>
    </row>
    <row r="41" spans="1:8" x14ac:dyDescent="0.25">
      <c r="A41" s="5">
        <v>40</v>
      </c>
      <c r="B41" s="5">
        <v>1983</v>
      </c>
      <c r="C41" s="5">
        <f>COUNTIF('RedHill Release Incidents'!$A$2:$A$66,B41)</f>
        <v>1</v>
      </c>
      <c r="D41" s="5">
        <f>SUM(C32:C41)</f>
        <v>23</v>
      </c>
      <c r="E41" s="5"/>
      <c r="F41" s="5"/>
      <c r="G41" s="5"/>
      <c r="H41" s="5"/>
    </row>
    <row r="42" spans="1:8" x14ac:dyDescent="0.25">
      <c r="A42" s="5">
        <v>41</v>
      </c>
      <c r="B42" s="5">
        <v>1984</v>
      </c>
      <c r="C42" s="5">
        <f>COUNTIF('RedHill Release Incidents'!$A$2:$A$66,B42)</f>
        <v>0</v>
      </c>
      <c r="D42" s="5"/>
      <c r="E42" s="5"/>
      <c r="F42" s="5"/>
      <c r="G42" s="5"/>
      <c r="H42" s="5"/>
    </row>
    <row r="43" spans="1:8" x14ac:dyDescent="0.25">
      <c r="A43" s="5">
        <v>42</v>
      </c>
      <c r="B43" s="5">
        <v>1985</v>
      </c>
      <c r="C43" s="5">
        <f>COUNTIF('RedHill Release Incidents'!$A$2:$A$66,B43)</f>
        <v>0</v>
      </c>
      <c r="D43" s="5"/>
      <c r="E43" s="5"/>
      <c r="F43" s="5"/>
      <c r="G43" s="5"/>
      <c r="H43" s="5"/>
    </row>
    <row r="44" spans="1:8" x14ac:dyDescent="0.25">
      <c r="A44" s="5">
        <v>43</v>
      </c>
      <c r="B44" s="5">
        <v>1986</v>
      </c>
      <c r="C44" s="5">
        <f>COUNTIF('RedHill Release Incidents'!$A$2:$A$66,B44)</f>
        <v>0</v>
      </c>
      <c r="D44" s="5"/>
      <c r="E44" s="5"/>
      <c r="F44" s="5"/>
      <c r="G44" s="5"/>
      <c r="H44" s="5"/>
    </row>
    <row r="45" spans="1:8" x14ac:dyDescent="0.25">
      <c r="A45" s="5">
        <v>44</v>
      </c>
      <c r="B45" s="5">
        <v>1987</v>
      </c>
      <c r="C45" s="5">
        <f>COUNTIF('RedHill Release Incidents'!$A$2:$A$66,B45)</f>
        <v>0</v>
      </c>
      <c r="D45" s="5"/>
      <c r="E45" s="5"/>
      <c r="F45" s="5"/>
      <c r="G45" s="5"/>
      <c r="H45" s="5"/>
    </row>
    <row r="46" spans="1:8" x14ac:dyDescent="0.25">
      <c r="A46" s="5">
        <v>45</v>
      </c>
      <c r="B46" s="5">
        <v>1988</v>
      </c>
      <c r="C46" s="5">
        <f>COUNTIF('RedHill Release Incidents'!$A$2:$A$66,B46)</f>
        <v>0</v>
      </c>
      <c r="D46" s="5"/>
      <c r="E46" s="5">
        <f>SUM(C32:C46)</f>
        <v>23</v>
      </c>
      <c r="F46" s="5"/>
      <c r="G46" s="5"/>
      <c r="H46" s="5"/>
    </row>
    <row r="47" spans="1:8" x14ac:dyDescent="0.25">
      <c r="A47" s="5">
        <v>46</v>
      </c>
      <c r="B47" s="5">
        <v>1989</v>
      </c>
      <c r="C47" s="5">
        <f>COUNTIF('RedHill Release Incidents'!$A$2:$A$66,B47)</f>
        <v>0</v>
      </c>
      <c r="D47" s="5"/>
      <c r="E47" s="5"/>
      <c r="F47" s="5"/>
      <c r="G47" s="5"/>
      <c r="H47" s="5"/>
    </row>
    <row r="48" spans="1:8" x14ac:dyDescent="0.25">
      <c r="A48" s="5">
        <v>47</v>
      </c>
      <c r="B48" s="5">
        <v>1990</v>
      </c>
      <c r="C48" s="5">
        <f>COUNTIF('RedHill Release Incidents'!$A$2:$A$66,B48)</f>
        <v>0</v>
      </c>
      <c r="D48" s="5"/>
      <c r="E48" s="5"/>
      <c r="F48" s="5"/>
      <c r="G48" s="5"/>
      <c r="H48" s="5"/>
    </row>
    <row r="49" spans="1:8" x14ac:dyDescent="0.25">
      <c r="A49" s="5">
        <v>48</v>
      </c>
      <c r="B49" s="5">
        <v>1991</v>
      </c>
      <c r="C49" s="5">
        <f>COUNTIF('RedHill Release Incidents'!$A$2:$A$66,B49)</f>
        <v>0</v>
      </c>
      <c r="D49" s="5"/>
      <c r="E49" s="5"/>
      <c r="F49" s="5"/>
      <c r="G49" s="5"/>
      <c r="H49" s="5"/>
    </row>
    <row r="50" spans="1:8" x14ac:dyDescent="0.25">
      <c r="A50" s="5">
        <v>49</v>
      </c>
      <c r="B50" s="5">
        <v>1992</v>
      </c>
      <c r="C50" s="5">
        <f>COUNTIF('RedHill Release Incidents'!$A$2:$A$66,B50)</f>
        <v>0</v>
      </c>
      <c r="D50" s="5"/>
      <c r="E50" s="5"/>
      <c r="F50" s="5"/>
      <c r="G50" s="5"/>
      <c r="H50" s="5"/>
    </row>
    <row r="51" spans="1:8" x14ac:dyDescent="0.25">
      <c r="A51" s="5">
        <v>50</v>
      </c>
      <c r="B51" s="5">
        <v>1993</v>
      </c>
      <c r="C51" s="5">
        <f>COUNTIF('RedHill Release Incidents'!$A$2:$A$66,B51)</f>
        <v>0</v>
      </c>
      <c r="D51" s="5">
        <f>SUM(C42:C51)</f>
        <v>0</v>
      </c>
      <c r="E51" s="5"/>
      <c r="F51" s="5">
        <f>SUM(C27:C51)</f>
        <v>33</v>
      </c>
      <c r="G51" s="5"/>
      <c r="H51" s="5"/>
    </row>
    <row r="52" spans="1:8" x14ac:dyDescent="0.25">
      <c r="A52" s="5">
        <v>51</v>
      </c>
      <c r="B52" s="5">
        <v>1994</v>
      </c>
      <c r="C52" s="5">
        <f>COUNTIF('RedHill Release Incidents'!$A$2:$A$66,B52)</f>
        <v>0</v>
      </c>
      <c r="D52" s="5"/>
      <c r="E52" s="5"/>
      <c r="F52" s="5"/>
      <c r="G52" s="5"/>
      <c r="H52" s="5"/>
    </row>
    <row r="53" spans="1:8" x14ac:dyDescent="0.25">
      <c r="A53" s="5">
        <v>52</v>
      </c>
      <c r="B53" s="5">
        <v>1995</v>
      </c>
      <c r="C53" s="5">
        <f>COUNTIF('RedHill Release Incidents'!$A$2:$A$66,B53)</f>
        <v>0</v>
      </c>
      <c r="D53" s="5"/>
      <c r="E53" s="5"/>
      <c r="F53" s="5"/>
      <c r="G53" s="5"/>
      <c r="H53" s="5"/>
    </row>
    <row r="54" spans="1:8" x14ac:dyDescent="0.25">
      <c r="A54" s="5">
        <v>53</v>
      </c>
      <c r="B54" s="5">
        <v>1996</v>
      </c>
      <c r="C54" s="5">
        <f>COUNTIF('RedHill Release Incidents'!$A$2:$A$66,B54)</f>
        <v>0</v>
      </c>
      <c r="D54" s="5"/>
      <c r="E54" s="5"/>
      <c r="F54" s="5"/>
      <c r="G54" s="5"/>
      <c r="H54" s="5"/>
    </row>
    <row r="55" spans="1:8" x14ac:dyDescent="0.25">
      <c r="A55" s="5">
        <v>54</v>
      </c>
      <c r="B55" s="5">
        <v>1997</v>
      </c>
      <c r="C55" s="5">
        <f>COUNTIF('RedHill Release Incidents'!$A$2:$A$66,B55)</f>
        <v>0</v>
      </c>
      <c r="D55" s="5"/>
      <c r="E55" s="5"/>
      <c r="F55" s="5"/>
      <c r="G55" s="5"/>
      <c r="H55" s="5"/>
    </row>
    <row r="56" spans="1:8" x14ac:dyDescent="0.25">
      <c r="A56" s="5">
        <v>55</v>
      </c>
      <c r="B56" s="5">
        <v>1998</v>
      </c>
      <c r="C56" s="5">
        <f>COUNTIF('RedHill Release Incidents'!$A$2:$A$66,B56)</f>
        <v>1</v>
      </c>
      <c r="D56" s="5"/>
      <c r="E56" s="5"/>
      <c r="F56" s="5"/>
      <c r="G56" s="5"/>
      <c r="H56" s="5"/>
    </row>
    <row r="57" spans="1:8" x14ac:dyDescent="0.25">
      <c r="A57" s="5">
        <v>56</v>
      </c>
      <c r="B57" s="5">
        <v>1999</v>
      </c>
      <c r="C57" s="5">
        <f>COUNTIF('RedHill Release Incidents'!$A$2:$A$66,B57)</f>
        <v>1</v>
      </c>
      <c r="D57" s="5"/>
      <c r="E57" s="5"/>
      <c r="F57" s="5"/>
      <c r="G57" s="5"/>
      <c r="H57" s="5"/>
    </row>
    <row r="58" spans="1:8" x14ac:dyDescent="0.25">
      <c r="A58" s="5">
        <v>57</v>
      </c>
      <c r="B58" s="5">
        <v>2000</v>
      </c>
      <c r="C58" s="5">
        <f>COUNTIF('RedHill Release Incidents'!$A$2:$A$66,B58)</f>
        <v>0</v>
      </c>
      <c r="D58" s="5"/>
      <c r="E58" s="5"/>
      <c r="F58" s="5"/>
      <c r="G58" s="5"/>
      <c r="H58" s="5"/>
    </row>
    <row r="59" spans="1:8" x14ac:dyDescent="0.25">
      <c r="A59" s="5">
        <v>58</v>
      </c>
      <c r="B59" s="5">
        <v>2001</v>
      </c>
      <c r="C59" s="5">
        <f>COUNTIF('RedHill Release Incidents'!$A$2:$A$66,B59)</f>
        <v>0</v>
      </c>
      <c r="D59" s="5"/>
      <c r="E59" s="5"/>
      <c r="F59" s="5"/>
      <c r="G59" s="5"/>
      <c r="H59" s="5"/>
    </row>
    <row r="60" spans="1:8" x14ac:dyDescent="0.25">
      <c r="A60" s="5">
        <v>59</v>
      </c>
      <c r="B60" s="5">
        <v>2002</v>
      </c>
      <c r="C60" s="5">
        <f>COUNTIF('RedHill Release Incidents'!$A$2:$A$66,B60)</f>
        <v>1</v>
      </c>
      <c r="D60" s="5"/>
      <c r="E60" s="5"/>
      <c r="F60" s="5"/>
      <c r="G60" s="5"/>
      <c r="H60" s="5"/>
    </row>
    <row r="61" spans="1:8" x14ac:dyDescent="0.25">
      <c r="A61" s="5">
        <v>60</v>
      </c>
      <c r="B61" s="5">
        <v>2003</v>
      </c>
      <c r="C61" s="5">
        <f>COUNTIF('RedHill Release Incidents'!$A$2:$A$66,B61)</f>
        <v>0</v>
      </c>
      <c r="D61" s="5">
        <f>SUM(C52:C61)</f>
        <v>3</v>
      </c>
      <c r="E61" s="5">
        <f>SUM(C47:C61)</f>
        <v>3</v>
      </c>
      <c r="F61" s="5"/>
      <c r="G61" s="5"/>
      <c r="H61" s="5"/>
    </row>
    <row r="62" spans="1:8" x14ac:dyDescent="0.25">
      <c r="A62" s="5">
        <v>61</v>
      </c>
      <c r="B62" s="5">
        <v>2004</v>
      </c>
      <c r="C62" s="5">
        <f>COUNTIF('RedHill Release Incidents'!$A$2:$A$66,B62)</f>
        <v>0</v>
      </c>
      <c r="D62" s="5"/>
      <c r="E62" s="5"/>
      <c r="F62" s="5"/>
      <c r="G62" s="5"/>
      <c r="H62" s="5"/>
    </row>
    <row r="63" spans="1:8" x14ac:dyDescent="0.25">
      <c r="A63" s="5">
        <v>62</v>
      </c>
      <c r="B63" s="5">
        <v>2005</v>
      </c>
      <c r="C63" s="5">
        <f>COUNTIF('RedHill Release Incidents'!$A$2:$A$66,B63)</f>
        <v>0</v>
      </c>
      <c r="D63" s="5"/>
      <c r="E63" s="5"/>
      <c r="F63" s="5"/>
      <c r="G63" s="5"/>
      <c r="H63" s="5"/>
    </row>
    <row r="64" spans="1:8" x14ac:dyDescent="0.25">
      <c r="A64" s="5">
        <v>63</v>
      </c>
      <c r="B64" s="5">
        <v>2006</v>
      </c>
      <c r="C64" s="5">
        <f>COUNTIF('RedHill Release Incidents'!$A$2:$A$66,B64)</f>
        <v>0</v>
      </c>
      <c r="D64" s="5"/>
      <c r="E64" s="5"/>
      <c r="F64" s="5"/>
      <c r="G64" s="5"/>
      <c r="H64" s="5"/>
    </row>
    <row r="65" spans="1:8" x14ac:dyDescent="0.25">
      <c r="A65" s="5">
        <v>64</v>
      </c>
      <c r="B65" s="5">
        <v>2007</v>
      </c>
      <c r="C65" s="5">
        <f>COUNTIF('RedHill Release Incidents'!$A$2:$A$66,B65)</f>
        <v>0</v>
      </c>
      <c r="D65" s="5"/>
      <c r="E65" s="5"/>
      <c r="F65" s="5"/>
      <c r="G65" s="5"/>
      <c r="H65" s="5"/>
    </row>
    <row r="66" spans="1:8" x14ac:dyDescent="0.25">
      <c r="A66" s="5">
        <v>65</v>
      </c>
      <c r="B66" s="5">
        <v>2008</v>
      </c>
      <c r="C66" s="5">
        <f>COUNTIF('RedHill Release Incidents'!$A$2:$A$66,B66)</f>
        <v>2</v>
      </c>
      <c r="D66" s="5"/>
      <c r="E66" s="5"/>
      <c r="F66" s="5"/>
      <c r="G66" s="5"/>
      <c r="H66" s="5"/>
    </row>
    <row r="67" spans="1:8" x14ac:dyDescent="0.25">
      <c r="A67" s="5">
        <v>66</v>
      </c>
      <c r="B67" s="5">
        <v>2009</v>
      </c>
      <c r="C67" s="5">
        <f>COUNTIF('RedHill Release Incidents'!$A$2:$A$66,B67)</f>
        <v>0</v>
      </c>
      <c r="D67" s="5"/>
      <c r="E67" s="5"/>
      <c r="F67" s="5"/>
      <c r="G67" s="5"/>
      <c r="H67" s="5"/>
    </row>
    <row r="68" spans="1:8" x14ac:dyDescent="0.25">
      <c r="A68" s="5">
        <v>67</v>
      </c>
      <c r="B68" s="5">
        <v>2010</v>
      </c>
      <c r="C68" s="5">
        <f>COUNTIF('RedHill Release Incidents'!$A$2:$A$66,B68)</f>
        <v>1</v>
      </c>
      <c r="D68" s="5"/>
      <c r="E68" s="5"/>
      <c r="F68" s="5"/>
      <c r="G68" s="5"/>
      <c r="H68" s="5"/>
    </row>
    <row r="69" spans="1:8" x14ac:dyDescent="0.25">
      <c r="A69" s="5">
        <v>68</v>
      </c>
      <c r="B69" s="5">
        <v>2011</v>
      </c>
      <c r="C69" s="5">
        <f>COUNTIF('RedHill Release Incidents'!$A$2:$A$66,B69)</f>
        <v>0</v>
      </c>
      <c r="D69" s="5"/>
      <c r="E69" s="5"/>
      <c r="F69" s="5"/>
      <c r="G69" s="5"/>
      <c r="H69" s="5"/>
    </row>
    <row r="70" spans="1:8" x14ac:dyDescent="0.25">
      <c r="A70" s="5">
        <v>69</v>
      </c>
      <c r="B70" s="5">
        <v>2012</v>
      </c>
      <c r="C70" s="5">
        <f>COUNTIF('RedHill Release Incidents'!$A$2:$A$66,B70)</f>
        <v>0</v>
      </c>
      <c r="D70" s="5"/>
      <c r="E70" s="5"/>
      <c r="F70" s="5"/>
      <c r="G70" s="5"/>
      <c r="H70" s="5"/>
    </row>
    <row r="71" spans="1:8" x14ac:dyDescent="0.25">
      <c r="A71" s="5">
        <v>70</v>
      </c>
      <c r="B71" s="5">
        <v>2013</v>
      </c>
      <c r="C71" s="5">
        <f>COUNTIF('RedHill Release Incidents'!$A$2:$A$66,B71)</f>
        <v>0</v>
      </c>
      <c r="D71" s="5">
        <f>SUM(C62:C71)</f>
        <v>3</v>
      </c>
      <c r="E71" s="5"/>
      <c r="F71" s="5"/>
      <c r="G71" s="5"/>
      <c r="H71" s="5"/>
    </row>
    <row r="72" spans="1:8" x14ac:dyDescent="0.25">
      <c r="A72" s="5">
        <v>71</v>
      </c>
      <c r="B72" s="5">
        <v>2014</v>
      </c>
      <c r="C72" s="5">
        <f>COUNTIF('RedHill Release Incidents'!$A$2:$A$66,B72)</f>
        <v>1</v>
      </c>
      <c r="D72" s="5"/>
      <c r="E72" s="5"/>
      <c r="F72" s="5"/>
      <c r="G72" s="5"/>
      <c r="H72" s="5"/>
    </row>
    <row r="73" spans="1:8" x14ac:dyDescent="0.25">
      <c r="A73" s="5">
        <v>72</v>
      </c>
      <c r="B73" s="5">
        <v>2015</v>
      </c>
      <c r="C73" s="5">
        <v>0</v>
      </c>
      <c r="D73" s="5"/>
      <c r="E73" s="5"/>
      <c r="F73" s="5"/>
      <c r="G73" s="5"/>
      <c r="H73" s="5"/>
    </row>
    <row r="74" spans="1:8" x14ac:dyDescent="0.25">
      <c r="A74" s="5">
        <v>73</v>
      </c>
      <c r="B74" s="5">
        <v>2016</v>
      </c>
      <c r="C74" s="5">
        <v>0</v>
      </c>
      <c r="D74" s="5"/>
      <c r="E74" s="5"/>
      <c r="F74" s="5"/>
      <c r="G74" s="5"/>
      <c r="H74" s="5"/>
    </row>
    <row r="75" spans="1:8" x14ac:dyDescent="0.25">
      <c r="A75" s="5">
        <v>74</v>
      </c>
      <c r="B75" s="5">
        <v>2017</v>
      </c>
      <c r="C75" s="5">
        <v>0</v>
      </c>
      <c r="D75" s="5">
        <f>SUM(C72:C75)</f>
        <v>1</v>
      </c>
      <c r="E75" s="5">
        <f>SUM(C62:C75)</f>
        <v>4</v>
      </c>
      <c r="F75" s="5">
        <f>SUM(C51:C75)</f>
        <v>7</v>
      </c>
      <c r="G75" s="5"/>
      <c r="H75" s="5"/>
    </row>
    <row r="76" spans="1:8" x14ac:dyDescent="0.25">
      <c r="C76">
        <f>SUM(C5:C72)</f>
        <v>61</v>
      </c>
    </row>
  </sheetData>
  <sheetProtection algorithmName="SHA-512" hashValue="fhFXiit+d/cpMytm4DjwkhN0+lOgcflbfJwTQgPZJ0slg2qn8jPkgEcWceHFWow+qatfxUHj5SPMGqNSfK91cw==" saltValue="Ie1kGESK3jKw0UbBX9T/RA==" spinCount="100000" sheet="1" objects="1" scenarios="1"/>
  <pageMargins left="0.2" right="0.1" top="0.25" bottom="0.25" header="0.05" footer="0.05"/>
  <pageSetup paperSize="17" scale="6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76"/>
  <sheetViews>
    <sheetView workbookViewId="0"/>
  </sheetViews>
  <sheetFormatPr defaultRowHeight="15" x14ac:dyDescent="0.25"/>
  <cols>
    <col min="1" max="2" width="9.140625" style="327"/>
    <col min="3" max="3" width="12" style="327" customWidth="1"/>
    <col min="4" max="4" width="8.85546875" style="327" customWidth="1"/>
    <col min="5" max="5" width="8.42578125" style="327" customWidth="1"/>
    <col min="6" max="6" width="8.5703125" style="327" customWidth="1"/>
    <col min="7" max="7" width="11.85546875" style="327" customWidth="1"/>
    <col min="8" max="8" width="9.85546875" style="327" customWidth="1"/>
    <col min="9" max="16384" width="9.140625" style="327"/>
  </cols>
  <sheetData>
    <row r="1" spans="1:8" x14ac:dyDescent="0.25">
      <c r="A1" s="5"/>
      <c r="B1" s="5"/>
      <c r="C1" s="120" t="s">
        <v>84</v>
      </c>
      <c r="D1" s="120" t="s">
        <v>571</v>
      </c>
      <c r="E1" s="120" t="s">
        <v>570</v>
      </c>
      <c r="F1" s="120" t="s">
        <v>572</v>
      </c>
      <c r="G1" s="120" t="s">
        <v>565</v>
      </c>
      <c r="H1" s="120" t="s">
        <v>564</v>
      </c>
    </row>
    <row r="2" spans="1:8" x14ac:dyDescent="0.25">
      <c r="A2" s="5">
        <v>1</v>
      </c>
      <c r="B2" s="5">
        <v>1944</v>
      </c>
      <c r="C2" s="121">
        <v>0</v>
      </c>
      <c r="D2" s="121"/>
      <c r="E2" s="121"/>
      <c r="F2" s="121"/>
      <c r="G2" s="5" t="s">
        <v>574</v>
      </c>
      <c r="H2" s="5">
        <f>D11</f>
        <v>2</v>
      </c>
    </row>
    <row r="3" spans="1:8" x14ac:dyDescent="0.25">
      <c r="A3" s="5">
        <v>2</v>
      </c>
      <c r="B3" s="5">
        <v>1945</v>
      </c>
      <c r="C3" s="121">
        <v>0</v>
      </c>
      <c r="D3" s="121"/>
      <c r="E3" s="121"/>
      <c r="F3" s="121"/>
      <c r="G3" s="5" t="s">
        <v>575</v>
      </c>
      <c r="H3" s="5">
        <f>D21</f>
        <v>0</v>
      </c>
    </row>
    <row r="4" spans="1:8" x14ac:dyDescent="0.25">
      <c r="A4" s="5">
        <v>3</v>
      </c>
      <c r="B4" s="5">
        <v>1946</v>
      </c>
      <c r="C4" s="121">
        <v>0</v>
      </c>
      <c r="D4" s="121"/>
      <c r="E4" s="121"/>
      <c r="F4" s="121"/>
      <c r="G4" s="5" t="s">
        <v>576</v>
      </c>
      <c r="H4" s="5">
        <f>D31</f>
        <v>5</v>
      </c>
    </row>
    <row r="5" spans="1:8" x14ac:dyDescent="0.25">
      <c r="A5" s="5">
        <v>4</v>
      </c>
      <c r="B5" s="5">
        <v>1947</v>
      </c>
      <c r="C5" s="5">
        <f>COUNTIFS('RedHill Release Incidents'!$A$2:$A$66,B5,'RedHill Release Incidents'!$Q$2:$Q$66,"OP",'RedHill Release Incidents'!$O$2:$O$66,"!TT")</f>
        <v>0</v>
      </c>
      <c r="D5" s="5"/>
      <c r="E5" s="5"/>
      <c r="F5" s="5"/>
      <c r="G5" s="5" t="s">
        <v>578</v>
      </c>
      <c r="H5" s="5">
        <f>D41</f>
        <v>6</v>
      </c>
    </row>
    <row r="6" spans="1:8" x14ac:dyDescent="0.25">
      <c r="A6" s="5">
        <v>5</v>
      </c>
      <c r="B6" s="5">
        <v>1948</v>
      </c>
      <c r="C6" s="5">
        <f>COUNTIFS('RedHill Release Incidents'!$A$2:$A$66,B6,'RedHill Release Incidents'!$Q$2:$Q$66,"OP",'RedHill Release Incidents'!$O$2:$O$66,"!TT")</f>
        <v>0</v>
      </c>
      <c r="D6" s="5"/>
      <c r="E6" s="5"/>
      <c r="F6" s="5"/>
      <c r="G6" s="5" t="s">
        <v>577</v>
      </c>
      <c r="H6" s="5">
        <f>D51</f>
        <v>0</v>
      </c>
    </row>
    <row r="7" spans="1:8" x14ac:dyDescent="0.25">
      <c r="A7" s="5">
        <v>6</v>
      </c>
      <c r="B7" s="5">
        <v>1949</v>
      </c>
      <c r="C7" s="5">
        <f>COUNTIFS('RedHill Release Incidents'!$A$2:$A$66,B7,'RedHill Release Incidents'!$Q$2:$Q$66,"OP",'RedHill Release Incidents'!$O$2:$O$66,"!TT")</f>
        <v>2</v>
      </c>
      <c r="D7" s="5"/>
      <c r="E7" s="5"/>
      <c r="F7" s="5"/>
      <c r="G7" s="5" t="s">
        <v>579</v>
      </c>
      <c r="H7" s="5">
        <f>D61</f>
        <v>2</v>
      </c>
    </row>
    <row r="8" spans="1:8" x14ac:dyDescent="0.25">
      <c r="A8" s="5">
        <v>7</v>
      </c>
      <c r="B8" s="5">
        <v>1950</v>
      </c>
      <c r="C8" s="5">
        <f>COUNTIFS('RedHill Release Incidents'!$A$2:$A$66,B8,'RedHill Release Incidents'!$Q$2:$Q$66,"OP",'RedHill Release Incidents'!$O$2:$O$66,"!TT")</f>
        <v>0</v>
      </c>
      <c r="D8" s="5"/>
      <c r="E8" s="5"/>
      <c r="F8" s="5"/>
      <c r="G8" s="5" t="s">
        <v>581</v>
      </c>
      <c r="H8" s="5">
        <f>D71</f>
        <v>3</v>
      </c>
    </row>
    <row r="9" spans="1:8" x14ac:dyDescent="0.25">
      <c r="A9" s="5">
        <v>8</v>
      </c>
      <c r="B9" s="5">
        <v>1951</v>
      </c>
      <c r="C9" s="5">
        <f>COUNTIFS('RedHill Release Incidents'!$A$2:$A$66,B9,'RedHill Release Incidents'!$Q$2:$Q$66,"OP",'RedHill Release Incidents'!$O$2:$O$66,"!TT")</f>
        <v>0</v>
      </c>
      <c r="D9" s="5"/>
      <c r="E9" s="5"/>
      <c r="F9" s="5"/>
      <c r="G9" s="5" t="s">
        <v>582</v>
      </c>
      <c r="H9" s="5">
        <f>D75</f>
        <v>0</v>
      </c>
    </row>
    <row r="10" spans="1:8" x14ac:dyDescent="0.25">
      <c r="A10" s="5">
        <v>9</v>
      </c>
      <c r="B10" s="5">
        <v>1952</v>
      </c>
      <c r="C10" s="5">
        <f>COUNTIFS('RedHill Release Incidents'!$A$2:$A$66,B10,'RedHill Release Incidents'!$Q$2:$Q$66,"OP",'RedHill Release Incidents'!$O$2:$O$66,"!TT")</f>
        <v>0</v>
      </c>
      <c r="D10" s="5"/>
      <c r="E10" s="5"/>
      <c r="F10" s="5"/>
      <c r="G10" s="5"/>
      <c r="H10" s="5"/>
    </row>
    <row r="11" spans="1:8" x14ac:dyDescent="0.25">
      <c r="A11" s="5">
        <v>10</v>
      </c>
      <c r="B11" s="5">
        <v>1953</v>
      </c>
      <c r="C11" s="5">
        <f>COUNTIFS('RedHill Release Incidents'!$A$2:$A$66,B11,'RedHill Release Incidents'!$Q$2:$Q$66,"OP",'RedHill Release Incidents'!$O$2:$O$66,"!TT")</f>
        <v>0</v>
      </c>
      <c r="D11" s="5">
        <f>SUM(C2:C11)</f>
        <v>2</v>
      </c>
      <c r="E11" s="5"/>
      <c r="F11" s="5"/>
      <c r="G11" s="5" t="s">
        <v>570</v>
      </c>
      <c r="H11" s="5"/>
    </row>
    <row r="12" spans="1:8" x14ac:dyDescent="0.25">
      <c r="A12" s="5">
        <v>11</v>
      </c>
      <c r="B12" s="5">
        <v>1954</v>
      </c>
      <c r="C12" s="5">
        <f>COUNTIFS('RedHill Release Incidents'!$A$2:$A$66,B12,'RedHill Release Incidents'!$Q$2:$Q$66,"OP",'RedHill Release Incidents'!$O$2:$O$66,"!TT")</f>
        <v>0</v>
      </c>
      <c r="D12" s="5"/>
      <c r="E12" s="5"/>
      <c r="F12" s="5"/>
      <c r="G12" s="5" t="s">
        <v>573</v>
      </c>
      <c r="H12" s="5">
        <f>E16</f>
        <v>2</v>
      </c>
    </row>
    <row r="13" spans="1:8" x14ac:dyDescent="0.25">
      <c r="A13" s="5">
        <v>12</v>
      </c>
      <c r="B13" s="5">
        <v>1955</v>
      </c>
      <c r="C13" s="5">
        <f>COUNTIFS('RedHill Release Incidents'!$A$2:$A$66,B13,'RedHill Release Incidents'!$Q$2:$Q$66,"OP",'RedHill Release Incidents'!$O$2:$O$66,"!TT")</f>
        <v>0</v>
      </c>
      <c r="D13" s="5"/>
      <c r="E13" s="5"/>
      <c r="F13" s="5"/>
      <c r="G13" s="5" t="s">
        <v>583</v>
      </c>
      <c r="H13" s="5">
        <f>E31</f>
        <v>5</v>
      </c>
    </row>
    <row r="14" spans="1:8" x14ac:dyDescent="0.25">
      <c r="A14" s="5">
        <v>13</v>
      </c>
      <c r="B14" s="5">
        <v>1956</v>
      </c>
      <c r="C14" s="5">
        <f>COUNTIFS('RedHill Release Incidents'!$A$2:$A$66,B14,'RedHill Release Incidents'!$Q$2:$Q$66,"OP",'RedHill Release Incidents'!$O$2:$O$66,"!TT")</f>
        <v>0</v>
      </c>
      <c r="D14" s="5"/>
      <c r="E14" s="5"/>
      <c r="F14" s="5"/>
      <c r="G14" s="5" t="s">
        <v>584</v>
      </c>
      <c r="H14" s="5">
        <f>E46</f>
        <v>6</v>
      </c>
    </row>
    <row r="15" spans="1:8" x14ac:dyDescent="0.25">
      <c r="A15" s="5">
        <v>14</v>
      </c>
      <c r="B15" s="5">
        <v>1957</v>
      </c>
      <c r="C15" s="5">
        <f>COUNTIFS('RedHill Release Incidents'!$A$2:$A$66,B15,'RedHill Release Incidents'!$Q$2:$Q$66,"OP",'RedHill Release Incidents'!$O$2:$O$66,"!TT")</f>
        <v>0</v>
      </c>
      <c r="D15" s="5"/>
      <c r="E15" s="5"/>
      <c r="F15" s="5"/>
      <c r="G15" s="5" t="s">
        <v>588</v>
      </c>
      <c r="H15" s="5">
        <f>E61</f>
        <v>2</v>
      </c>
    </row>
    <row r="16" spans="1:8" x14ac:dyDescent="0.25">
      <c r="A16" s="5">
        <v>15</v>
      </c>
      <c r="B16" s="5">
        <v>1958</v>
      </c>
      <c r="C16" s="5">
        <f>COUNTIFS('RedHill Release Incidents'!$A$2:$A$66,B16,'RedHill Release Incidents'!$Q$2:$Q$66,"OP",'RedHill Release Incidents'!$O$2:$O$66,"!TT")</f>
        <v>0</v>
      </c>
      <c r="D16" s="5"/>
      <c r="E16" s="5">
        <f>SUM(C2:C16)</f>
        <v>2</v>
      </c>
      <c r="F16" s="5"/>
      <c r="G16" s="5" t="s">
        <v>580</v>
      </c>
      <c r="H16" s="5">
        <f>E75</f>
        <v>3</v>
      </c>
    </row>
    <row r="17" spans="1:8" x14ac:dyDescent="0.25">
      <c r="A17" s="5">
        <v>16</v>
      </c>
      <c r="B17" s="5">
        <v>1959</v>
      </c>
      <c r="C17" s="5">
        <f>COUNTIFS('RedHill Release Incidents'!$A$2:$A$66,B17,'RedHill Release Incidents'!$Q$2:$Q$66,"OP",'RedHill Release Incidents'!$O$2:$O$66,"!TT")</f>
        <v>0</v>
      </c>
      <c r="D17" s="5"/>
      <c r="E17" s="5"/>
      <c r="F17" s="5"/>
      <c r="G17" s="5"/>
      <c r="H17" s="5"/>
    </row>
    <row r="18" spans="1:8" x14ac:dyDescent="0.25">
      <c r="A18" s="5">
        <v>17</v>
      </c>
      <c r="B18" s="5">
        <v>1960</v>
      </c>
      <c r="C18" s="5">
        <f>COUNTIFS('RedHill Release Incidents'!$A$2:$A$66,B18,'RedHill Release Incidents'!$Q$2:$Q$66,"OP",'RedHill Release Incidents'!$O$2:$O$66,"!TT")</f>
        <v>0</v>
      </c>
      <c r="D18" s="5"/>
      <c r="E18" s="5"/>
      <c r="F18" s="5"/>
      <c r="G18" s="5" t="s">
        <v>566</v>
      </c>
      <c r="H18" s="5"/>
    </row>
    <row r="19" spans="1:8" x14ac:dyDescent="0.25">
      <c r="A19" s="5">
        <v>18</v>
      </c>
      <c r="B19" s="5">
        <v>1961</v>
      </c>
      <c r="C19" s="5">
        <f>COUNTIFS('RedHill Release Incidents'!$A$2:$A$66,B19,'RedHill Release Incidents'!$Q$2:$Q$66,"OP",'RedHill Release Incidents'!$O$2:$O$66,"!TT")</f>
        <v>0</v>
      </c>
      <c r="D19" s="5"/>
      <c r="E19" s="5"/>
      <c r="F19" s="5"/>
      <c r="G19" s="5" t="s">
        <v>585</v>
      </c>
      <c r="H19" s="5">
        <f>F26</f>
        <v>2</v>
      </c>
    </row>
    <row r="20" spans="1:8" x14ac:dyDescent="0.25">
      <c r="A20" s="5">
        <v>19</v>
      </c>
      <c r="B20" s="5">
        <v>1962</v>
      </c>
      <c r="C20" s="5">
        <f>COUNTIFS('RedHill Release Incidents'!$A$2:$A$66,B20,'RedHill Release Incidents'!$Q$2:$Q$66,"OP",'RedHill Release Incidents'!$O$2:$O$66,"!TT")</f>
        <v>0</v>
      </c>
      <c r="D20" s="5"/>
      <c r="E20" s="5"/>
      <c r="F20" s="5"/>
      <c r="G20" s="5" t="s">
        <v>586</v>
      </c>
      <c r="H20" s="5">
        <f>F51</f>
        <v>11</v>
      </c>
    </row>
    <row r="21" spans="1:8" x14ac:dyDescent="0.25">
      <c r="A21" s="5">
        <v>20</v>
      </c>
      <c r="B21" s="5">
        <v>1963</v>
      </c>
      <c r="C21" s="5">
        <f>COUNTIFS('RedHill Release Incidents'!$A$2:$A$66,B21,'RedHill Release Incidents'!$Q$2:$Q$66,"OP",'RedHill Release Incidents'!$O$2:$O$66,"!TT")</f>
        <v>0</v>
      </c>
      <c r="D21" s="5">
        <f>SUM(C12:C21)</f>
        <v>0</v>
      </c>
      <c r="E21" s="5"/>
      <c r="F21" s="5"/>
      <c r="G21" s="5" t="s">
        <v>587</v>
      </c>
      <c r="H21" s="5">
        <f>F75</f>
        <v>5</v>
      </c>
    </row>
    <row r="22" spans="1:8" x14ac:dyDescent="0.25">
      <c r="A22" s="5">
        <v>21</v>
      </c>
      <c r="B22" s="5">
        <v>1964</v>
      </c>
      <c r="C22" s="5">
        <f>COUNTIFS('RedHill Release Incidents'!$A$2:$A$66,B22,'RedHill Release Incidents'!$Q$2:$Q$66,"OP",'RedHill Release Incidents'!$O$2:$O$66,"!TT")</f>
        <v>0</v>
      </c>
      <c r="D22" s="5"/>
      <c r="E22" s="5"/>
      <c r="F22" s="5"/>
      <c r="G22" s="5"/>
      <c r="H22" s="5"/>
    </row>
    <row r="23" spans="1:8" x14ac:dyDescent="0.25">
      <c r="A23" s="5">
        <v>22</v>
      </c>
      <c r="B23" s="5">
        <v>1965</v>
      </c>
      <c r="C23" s="5">
        <f>COUNTIFS('RedHill Release Incidents'!$A$2:$A$66,B23,'RedHill Release Incidents'!$Q$2:$Q$66,"OP",'RedHill Release Incidents'!$O$2:$O$66,"!TT")</f>
        <v>0</v>
      </c>
      <c r="D23" s="5"/>
      <c r="E23" s="5"/>
      <c r="F23" s="5"/>
      <c r="G23" s="5"/>
      <c r="H23" s="5"/>
    </row>
    <row r="24" spans="1:8" x14ac:dyDescent="0.25">
      <c r="A24" s="5">
        <v>23</v>
      </c>
      <c r="B24" s="5">
        <v>1966</v>
      </c>
      <c r="C24" s="5">
        <f>COUNTIFS('RedHill Release Incidents'!$A$2:$A$66,B24,'RedHill Release Incidents'!$Q$2:$Q$66,"OP",'RedHill Release Incidents'!$O$2:$O$66,"!TT")</f>
        <v>0</v>
      </c>
      <c r="D24" s="5"/>
      <c r="E24" s="5"/>
      <c r="F24" s="5"/>
      <c r="G24" s="5"/>
      <c r="H24" s="5"/>
    </row>
    <row r="25" spans="1:8" x14ac:dyDescent="0.25">
      <c r="A25" s="5">
        <v>24</v>
      </c>
      <c r="B25" s="5">
        <v>1967</v>
      </c>
      <c r="C25" s="5">
        <f>COUNTIFS('RedHill Release Incidents'!$A$2:$A$66,B25,'RedHill Release Incidents'!$Q$2:$Q$66,"OP",'RedHill Release Incidents'!$O$2:$O$66,"!TT")</f>
        <v>0</v>
      </c>
      <c r="D25" s="5"/>
      <c r="E25" s="5"/>
      <c r="F25" s="5"/>
      <c r="G25" s="5"/>
      <c r="H25" s="5"/>
    </row>
    <row r="26" spans="1:8" x14ac:dyDescent="0.25">
      <c r="A26" s="5">
        <v>25</v>
      </c>
      <c r="B26" s="5">
        <v>1968</v>
      </c>
      <c r="C26" s="5">
        <f>COUNTIFS('RedHill Release Incidents'!$A$2:$A$66,B26,'RedHill Release Incidents'!$Q$2:$Q$66,"OP",'RedHill Release Incidents'!$O$2:$O$66,"!TT")</f>
        <v>0</v>
      </c>
      <c r="D26" s="5"/>
      <c r="E26" s="5"/>
      <c r="F26" s="5">
        <f>SUM(C2:C26)</f>
        <v>2</v>
      </c>
      <c r="G26" s="5"/>
      <c r="H26" s="5"/>
    </row>
    <row r="27" spans="1:8" x14ac:dyDescent="0.25">
      <c r="A27" s="5">
        <v>26</v>
      </c>
      <c r="B27" s="5">
        <v>1969</v>
      </c>
      <c r="C27" s="5">
        <f>COUNTIFS('RedHill Release Incidents'!$A$2:$A$66,B27,'RedHill Release Incidents'!$Q$2:$Q$66,"OP",'RedHill Release Incidents'!$O$2:$O$66,"!TT")</f>
        <v>0</v>
      </c>
      <c r="D27" s="5"/>
      <c r="E27" s="5"/>
      <c r="F27" s="5"/>
      <c r="G27" s="5"/>
      <c r="H27" s="5"/>
    </row>
    <row r="28" spans="1:8" x14ac:dyDescent="0.25">
      <c r="A28" s="5">
        <v>27</v>
      </c>
      <c r="B28" s="5">
        <v>1970</v>
      </c>
      <c r="C28" s="5">
        <f>COUNTIFS('RedHill Release Incidents'!$A$2:$A$66,B28,'RedHill Release Incidents'!$Q$2:$Q$66,"OP",'RedHill Release Incidents'!$O$2:$O$66,"!TT")</f>
        <v>1</v>
      </c>
      <c r="D28" s="5"/>
      <c r="E28" s="5"/>
      <c r="F28" s="5"/>
      <c r="G28" s="5"/>
      <c r="H28" s="5"/>
    </row>
    <row r="29" spans="1:8" x14ac:dyDescent="0.25">
      <c r="A29" s="5">
        <v>28</v>
      </c>
      <c r="B29" s="5">
        <v>1971</v>
      </c>
      <c r="C29" s="5">
        <f>COUNTIFS('RedHill Release Incidents'!$A$2:$A$66,B29,'RedHill Release Incidents'!$Q$2:$Q$66,"OP",'RedHill Release Incidents'!$O$2:$O$66,"!TT")</f>
        <v>2</v>
      </c>
      <c r="D29" s="5"/>
      <c r="E29" s="5"/>
      <c r="F29" s="5"/>
      <c r="G29" s="5"/>
      <c r="H29" s="5"/>
    </row>
    <row r="30" spans="1:8" x14ac:dyDescent="0.25">
      <c r="A30" s="5">
        <v>29</v>
      </c>
      <c r="B30" s="5">
        <v>1972</v>
      </c>
      <c r="C30" s="5">
        <f>COUNTIFS('RedHill Release Incidents'!$A$2:$A$66,B30,'RedHill Release Incidents'!$Q$2:$Q$66,"OP",'RedHill Release Incidents'!$O$2:$O$66,"!TT")</f>
        <v>1</v>
      </c>
      <c r="D30" s="5"/>
      <c r="E30" s="5"/>
      <c r="F30" s="5"/>
      <c r="G30" s="5"/>
      <c r="H30" s="5"/>
    </row>
    <row r="31" spans="1:8" x14ac:dyDescent="0.25">
      <c r="A31" s="5">
        <v>30</v>
      </c>
      <c r="B31" s="5">
        <v>1973</v>
      </c>
      <c r="C31" s="5">
        <f>COUNTIFS('RedHill Release Incidents'!$A$2:$A$66,B31,'RedHill Release Incidents'!$Q$2:$Q$66,"OP",'RedHill Release Incidents'!$O$2:$O$66,"!TT")</f>
        <v>1</v>
      </c>
      <c r="D31" s="5">
        <f>SUM(C22:C31)</f>
        <v>5</v>
      </c>
      <c r="E31" s="5">
        <f>SUM(C17:C31)</f>
        <v>5</v>
      </c>
      <c r="F31" s="5"/>
      <c r="G31" s="5"/>
      <c r="H31" s="5"/>
    </row>
    <row r="32" spans="1:8" x14ac:dyDescent="0.25">
      <c r="A32" s="5">
        <v>31</v>
      </c>
      <c r="B32" s="5">
        <v>1974</v>
      </c>
      <c r="C32" s="5">
        <f>COUNTIFS('RedHill Release Incidents'!$A$2:$A$66,B32,'RedHill Release Incidents'!$Q$2:$Q$66,"OP",'RedHill Release Incidents'!$O$2:$O$66,"!TT")</f>
        <v>0</v>
      </c>
      <c r="D32" s="5"/>
      <c r="E32" s="5"/>
      <c r="F32" s="5"/>
      <c r="G32" s="5"/>
      <c r="H32" s="5"/>
    </row>
    <row r="33" spans="1:8" x14ac:dyDescent="0.25">
      <c r="A33" s="5">
        <v>32</v>
      </c>
      <c r="B33" s="5">
        <v>1975</v>
      </c>
      <c r="C33" s="5">
        <f>COUNTIFS('RedHill Release Incidents'!$A$2:$A$66,B33,'RedHill Release Incidents'!$Q$2:$Q$66,"OP",'RedHill Release Incidents'!$O$2:$O$66,"!TT")</f>
        <v>1</v>
      </c>
      <c r="D33" s="5"/>
      <c r="E33" s="5"/>
      <c r="F33" s="5"/>
      <c r="G33" s="5"/>
      <c r="H33" s="5"/>
    </row>
    <row r="34" spans="1:8" x14ac:dyDescent="0.25">
      <c r="A34" s="5">
        <v>33</v>
      </c>
      <c r="B34" s="5">
        <v>1976</v>
      </c>
      <c r="C34" s="5">
        <f>COUNTIFS('RedHill Release Incidents'!$A$2:$A$66,B34,'RedHill Release Incidents'!$Q$2:$Q$66,"OP",'RedHill Release Incidents'!$O$2:$O$66,"!TT")</f>
        <v>1</v>
      </c>
      <c r="D34" s="5"/>
      <c r="E34" s="5"/>
      <c r="F34" s="5"/>
      <c r="G34" s="5"/>
      <c r="H34" s="5"/>
    </row>
    <row r="35" spans="1:8" x14ac:dyDescent="0.25">
      <c r="A35" s="5">
        <v>34</v>
      </c>
      <c r="B35" s="5">
        <v>1977</v>
      </c>
      <c r="C35" s="5">
        <f>COUNTIFS('RedHill Release Incidents'!$A$2:$A$66,B35,'RedHill Release Incidents'!$Q$2:$Q$66,"OP",'RedHill Release Incidents'!$O$2:$O$66,"!TT")</f>
        <v>0</v>
      </c>
      <c r="D35" s="5"/>
      <c r="E35" s="5"/>
      <c r="F35" s="5"/>
      <c r="G35" s="5"/>
      <c r="H35" s="5"/>
    </row>
    <row r="36" spans="1:8" x14ac:dyDescent="0.25">
      <c r="A36" s="5">
        <v>35</v>
      </c>
      <c r="B36" s="5">
        <v>1978</v>
      </c>
      <c r="C36" s="5">
        <f>COUNTIFS('RedHill Release Incidents'!$A$2:$A$66,B36,'RedHill Release Incidents'!$Q$2:$Q$66,"OP",'RedHill Release Incidents'!$O$2:$O$66,"!TT")</f>
        <v>0</v>
      </c>
      <c r="D36" s="5"/>
      <c r="E36" s="5"/>
      <c r="F36" s="5"/>
      <c r="G36" s="5"/>
      <c r="H36" s="5"/>
    </row>
    <row r="37" spans="1:8" x14ac:dyDescent="0.25">
      <c r="A37" s="5">
        <v>36</v>
      </c>
      <c r="B37" s="5">
        <v>1979</v>
      </c>
      <c r="C37" s="5">
        <f>COUNTIFS('RedHill Release Incidents'!$A$2:$A$66,B37,'RedHill Release Incidents'!$Q$2:$Q$66,"OP",'RedHill Release Incidents'!$O$2:$O$66,"!TT")</f>
        <v>0</v>
      </c>
      <c r="D37" s="5"/>
      <c r="E37" s="5"/>
      <c r="F37" s="5"/>
      <c r="G37" s="5"/>
      <c r="H37" s="5"/>
    </row>
    <row r="38" spans="1:8" x14ac:dyDescent="0.25">
      <c r="A38" s="5">
        <v>37</v>
      </c>
      <c r="B38" s="5">
        <v>1980</v>
      </c>
      <c r="C38" s="5">
        <f>COUNTIFS('RedHill Release Incidents'!$A$2:$A$66,B38,'RedHill Release Incidents'!$Q$2:$Q$66,"OP",'RedHill Release Incidents'!$O$2:$O$66,"!TT")</f>
        <v>2</v>
      </c>
      <c r="D38" s="5"/>
      <c r="E38" s="5"/>
      <c r="F38" s="5"/>
      <c r="G38" s="5"/>
      <c r="H38" s="5"/>
    </row>
    <row r="39" spans="1:8" x14ac:dyDescent="0.25">
      <c r="A39" s="5">
        <v>38</v>
      </c>
      <c r="B39" s="5">
        <v>1981</v>
      </c>
      <c r="C39" s="5">
        <f>COUNTIFS('RedHill Release Incidents'!$A$2:$A$66,B39,'RedHill Release Incidents'!$Q$2:$Q$66,"OP",'RedHill Release Incidents'!$O$2:$O$66,"!TT")</f>
        <v>0</v>
      </c>
      <c r="D39" s="5"/>
      <c r="E39" s="5"/>
      <c r="F39" s="5"/>
      <c r="G39" s="5"/>
      <c r="H39" s="5"/>
    </row>
    <row r="40" spans="1:8" x14ac:dyDescent="0.25">
      <c r="A40" s="5">
        <v>39</v>
      </c>
      <c r="B40" s="5">
        <v>1982</v>
      </c>
      <c r="C40" s="5">
        <f>COUNTIFS('RedHill Release Incidents'!$A$2:$A$66,B40,'RedHill Release Incidents'!$Q$2:$Q$66,"OP",'RedHill Release Incidents'!$O$2:$O$66,"!TT")</f>
        <v>2</v>
      </c>
      <c r="D40" s="5"/>
      <c r="E40" s="5"/>
      <c r="F40" s="5"/>
      <c r="G40" s="5"/>
      <c r="H40" s="5"/>
    </row>
    <row r="41" spans="1:8" x14ac:dyDescent="0.25">
      <c r="A41" s="5">
        <v>40</v>
      </c>
      <c r="B41" s="5">
        <v>1983</v>
      </c>
      <c r="C41" s="5">
        <f>COUNTIFS('RedHill Release Incidents'!$A$2:$A$66,B41,'RedHill Release Incidents'!$Q$2:$Q$66,"OP",'RedHill Release Incidents'!$O$2:$O$66,"!TT")</f>
        <v>0</v>
      </c>
      <c r="D41" s="5">
        <f>SUM(C32:C41)</f>
        <v>6</v>
      </c>
      <c r="E41" s="5"/>
      <c r="F41" s="5"/>
      <c r="G41" s="5"/>
      <c r="H41" s="5"/>
    </row>
    <row r="42" spans="1:8" x14ac:dyDescent="0.25">
      <c r="A42" s="5">
        <v>41</v>
      </c>
      <c r="B42" s="5">
        <v>1984</v>
      </c>
      <c r="C42" s="5">
        <f>COUNTIFS('RedHill Release Incidents'!$A$2:$A$66,B42,'RedHill Release Incidents'!$Q$2:$Q$66,"OP",'RedHill Release Incidents'!$O$2:$O$66,"!TT")</f>
        <v>0</v>
      </c>
      <c r="D42" s="5"/>
      <c r="E42" s="5"/>
      <c r="F42" s="5"/>
      <c r="G42" s="5"/>
      <c r="H42" s="5"/>
    </row>
    <row r="43" spans="1:8" x14ac:dyDescent="0.25">
      <c r="A43" s="5">
        <v>42</v>
      </c>
      <c r="B43" s="5">
        <v>1985</v>
      </c>
      <c r="C43" s="5">
        <f>COUNTIFS('RedHill Release Incidents'!$A$2:$A$66,B43,'RedHill Release Incidents'!$Q$2:$Q$66,"OP",'RedHill Release Incidents'!$O$2:$O$66,"!TT")</f>
        <v>0</v>
      </c>
      <c r="D43" s="5"/>
      <c r="E43" s="5"/>
      <c r="F43" s="5"/>
      <c r="G43" s="5"/>
      <c r="H43" s="5"/>
    </row>
    <row r="44" spans="1:8" x14ac:dyDescent="0.25">
      <c r="A44" s="5">
        <v>43</v>
      </c>
      <c r="B44" s="5">
        <v>1986</v>
      </c>
      <c r="C44" s="5">
        <f>COUNTIFS('RedHill Release Incidents'!$A$2:$A$66,B44,'RedHill Release Incidents'!$Q$2:$Q$66,"OP",'RedHill Release Incidents'!$O$2:$O$66,"!TT")</f>
        <v>0</v>
      </c>
      <c r="D44" s="5"/>
      <c r="E44" s="5"/>
      <c r="F44" s="5"/>
      <c r="G44" s="5"/>
      <c r="H44" s="5"/>
    </row>
    <row r="45" spans="1:8" x14ac:dyDescent="0.25">
      <c r="A45" s="5">
        <v>44</v>
      </c>
      <c r="B45" s="5">
        <v>1987</v>
      </c>
      <c r="C45" s="5">
        <f>COUNTIFS('RedHill Release Incidents'!$A$2:$A$66,B45,'RedHill Release Incidents'!$Q$2:$Q$66,"OP",'RedHill Release Incidents'!$O$2:$O$66,"!TT")</f>
        <v>0</v>
      </c>
      <c r="D45" s="5"/>
      <c r="E45" s="5"/>
      <c r="F45" s="5"/>
      <c r="G45" s="5"/>
      <c r="H45" s="5"/>
    </row>
    <row r="46" spans="1:8" x14ac:dyDescent="0.25">
      <c r="A46" s="5">
        <v>45</v>
      </c>
      <c r="B46" s="5">
        <v>1988</v>
      </c>
      <c r="C46" s="5">
        <f>COUNTIFS('RedHill Release Incidents'!$A$2:$A$66,B46,'RedHill Release Incidents'!$Q$2:$Q$66,"OP",'RedHill Release Incidents'!$O$2:$O$66,"!TT")</f>
        <v>0</v>
      </c>
      <c r="D46" s="5"/>
      <c r="E46" s="5">
        <f>SUM(C32:C46)</f>
        <v>6</v>
      </c>
      <c r="F46" s="5"/>
      <c r="G46" s="5"/>
      <c r="H46" s="5"/>
    </row>
    <row r="47" spans="1:8" x14ac:dyDescent="0.25">
      <c r="A47" s="5">
        <v>46</v>
      </c>
      <c r="B47" s="5">
        <v>1989</v>
      </c>
      <c r="C47" s="5">
        <f>COUNTIFS('RedHill Release Incidents'!$A$2:$A$66,B47,'RedHill Release Incidents'!$Q$2:$Q$66,"OP",'RedHill Release Incidents'!$O$2:$O$66,"!TT")</f>
        <v>0</v>
      </c>
      <c r="D47" s="5"/>
      <c r="E47" s="5"/>
      <c r="F47" s="5"/>
      <c r="G47" s="5"/>
      <c r="H47" s="5"/>
    </row>
    <row r="48" spans="1:8" x14ac:dyDescent="0.25">
      <c r="A48" s="5">
        <v>47</v>
      </c>
      <c r="B48" s="5">
        <v>1990</v>
      </c>
      <c r="C48" s="5">
        <f>COUNTIFS('RedHill Release Incidents'!$A$2:$A$66,B48,'RedHill Release Incidents'!$Q$2:$Q$66,"OP",'RedHill Release Incidents'!$O$2:$O$66,"!TT")</f>
        <v>0</v>
      </c>
      <c r="D48" s="5"/>
      <c r="E48" s="5"/>
      <c r="F48" s="5"/>
      <c r="G48" s="5"/>
      <c r="H48" s="5"/>
    </row>
    <row r="49" spans="1:8" x14ac:dyDescent="0.25">
      <c r="A49" s="5">
        <v>48</v>
      </c>
      <c r="B49" s="5">
        <v>1991</v>
      </c>
      <c r="C49" s="5">
        <f>COUNTIFS('RedHill Release Incidents'!$A$2:$A$66,B49,'RedHill Release Incidents'!$Q$2:$Q$66,"OP",'RedHill Release Incidents'!$O$2:$O$66,"!TT")</f>
        <v>0</v>
      </c>
      <c r="D49" s="5"/>
      <c r="E49" s="5"/>
      <c r="F49" s="5"/>
      <c r="G49" s="5"/>
      <c r="H49" s="5"/>
    </row>
    <row r="50" spans="1:8" x14ac:dyDescent="0.25">
      <c r="A50" s="5">
        <v>49</v>
      </c>
      <c r="B50" s="5">
        <v>1992</v>
      </c>
      <c r="C50" s="5">
        <f>COUNTIFS('RedHill Release Incidents'!$A$2:$A$66,B50,'RedHill Release Incidents'!$Q$2:$Q$66,"OP",'RedHill Release Incidents'!$O$2:$O$66,"!TT")</f>
        <v>0</v>
      </c>
      <c r="D50" s="5"/>
      <c r="E50" s="5"/>
      <c r="F50" s="5"/>
      <c r="G50" s="5"/>
      <c r="H50" s="5"/>
    </row>
    <row r="51" spans="1:8" x14ac:dyDescent="0.25">
      <c r="A51" s="5">
        <v>50</v>
      </c>
      <c r="B51" s="5">
        <v>1993</v>
      </c>
      <c r="C51" s="5">
        <f>COUNTIFS('RedHill Release Incidents'!$A$2:$A$66,B51,'RedHill Release Incidents'!$Q$2:$Q$66,"OP",'RedHill Release Incidents'!$O$2:$O$66,"!TT")</f>
        <v>0</v>
      </c>
      <c r="D51" s="5">
        <f>SUM(C42:C51)</f>
        <v>0</v>
      </c>
      <c r="E51" s="5"/>
      <c r="F51" s="5">
        <f>SUM(C27:C51)</f>
        <v>11</v>
      </c>
      <c r="G51" s="5"/>
      <c r="H51" s="5"/>
    </row>
    <row r="52" spans="1:8" x14ac:dyDescent="0.25">
      <c r="A52" s="5">
        <v>51</v>
      </c>
      <c r="B52" s="5">
        <v>1994</v>
      </c>
      <c r="C52" s="5">
        <f>COUNTIFS('RedHill Release Incidents'!$A$2:$A$66,B52,'RedHill Release Incidents'!$Q$2:$Q$66,"OP",'RedHill Release Incidents'!$O$2:$O$66,"!TT")</f>
        <v>0</v>
      </c>
      <c r="D52" s="5"/>
      <c r="E52" s="5"/>
      <c r="F52" s="5"/>
      <c r="G52" s="5"/>
      <c r="H52" s="5"/>
    </row>
    <row r="53" spans="1:8" x14ac:dyDescent="0.25">
      <c r="A53" s="5">
        <v>52</v>
      </c>
      <c r="B53" s="5">
        <v>1995</v>
      </c>
      <c r="C53" s="5">
        <f>COUNTIFS('RedHill Release Incidents'!$A$2:$A$66,B53,'RedHill Release Incidents'!$Q$2:$Q$66,"OP",'RedHill Release Incidents'!$O$2:$O$66,"!TT")</f>
        <v>0</v>
      </c>
      <c r="D53" s="5"/>
      <c r="E53" s="5"/>
      <c r="F53" s="5"/>
      <c r="G53" s="5"/>
      <c r="H53" s="5"/>
    </row>
    <row r="54" spans="1:8" x14ac:dyDescent="0.25">
      <c r="A54" s="5">
        <v>53</v>
      </c>
      <c r="B54" s="5">
        <v>1996</v>
      </c>
      <c r="C54" s="5">
        <f>COUNTIFS('RedHill Release Incidents'!$A$2:$A$66,B54,'RedHill Release Incidents'!$Q$2:$Q$66,"OP",'RedHill Release Incidents'!$O$2:$O$66,"!TT")</f>
        <v>0</v>
      </c>
      <c r="D54" s="5"/>
      <c r="E54" s="5"/>
      <c r="F54" s="5"/>
      <c r="G54" s="5"/>
      <c r="H54" s="5"/>
    </row>
    <row r="55" spans="1:8" x14ac:dyDescent="0.25">
      <c r="A55" s="5">
        <v>54</v>
      </c>
      <c r="B55" s="5">
        <v>1997</v>
      </c>
      <c r="C55" s="5">
        <f>COUNTIFS('RedHill Release Incidents'!$A$2:$A$66,B55,'RedHill Release Incidents'!$Q$2:$Q$66,"OP",'RedHill Release Incidents'!$O$2:$O$66,"!TT")</f>
        <v>0</v>
      </c>
      <c r="D55" s="5"/>
      <c r="E55" s="5"/>
      <c r="F55" s="5"/>
      <c r="G55" s="5"/>
      <c r="H55" s="5"/>
    </row>
    <row r="56" spans="1:8" x14ac:dyDescent="0.25">
      <c r="A56" s="5">
        <v>55</v>
      </c>
      <c r="B56" s="5">
        <v>1998</v>
      </c>
      <c r="C56" s="5">
        <f>COUNTIFS('RedHill Release Incidents'!$A$2:$A$66,B56,'RedHill Release Incidents'!$Q$2:$Q$66,"OP",'RedHill Release Incidents'!$O$2:$O$66,"!TT")</f>
        <v>1</v>
      </c>
      <c r="D56" s="5"/>
      <c r="E56" s="5"/>
      <c r="F56" s="5"/>
      <c r="G56" s="5"/>
      <c r="H56" s="5"/>
    </row>
    <row r="57" spans="1:8" x14ac:dyDescent="0.25">
      <c r="A57" s="5">
        <v>56</v>
      </c>
      <c r="B57" s="5">
        <v>1999</v>
      </c>
      <c r="C57" s="5">
        <f>COUNTIFS('RedHill Release Incidents'!$A$2:$A$66,B57,'RedHill Release Incidents'!$Q$2:$Q$66,"OP",'RedHill Release Incidents'!$O$2:$O$66,"!TT")</f>
        <v>0</v>
      </c>
      <c r="D57" s="5"/>
      <c r="E57" s="5"/>
      <c r="F57" s="5"/>
      <c r="G57" s="5"/>
      <c r="H57" s="5"/>
    </row>
    <row r="58" spans="1:8" x14ac:dyDescent="0.25">
      <c r="A58" s="5">
        <v>57</v>
      </c>
      <c r="B58" s="5">
        <v>2000</v>
      </c>
      <c r="C58" s="5">
        <f>COUNTIFS('RedHill Release Incidents'!$A$2:$A$66,B58,'RedHill Release Incidents'!$Q$2:$Q$66,"OP",'RedHill Release Incidents'!$O$2:$O$66,"!TT")</f>
        <v>0</v>
      </c>
      <c r="D58" s="5"/>
      <c r="E58" s="5"/>
      <c r="F58" s="5"/>
      <c r="G58" s="5"/>
      <c r="H58" s="5"/>
    </row>
    <row r="59" spans="1:8" x14ac:dyDescent="0.25">
      <c r="A59" s="5">
        <v>58</v>
      </c>
      <c r="B59" s="5">
        <v>2001</v>
      </c>
      <c r="C59" s="5">
        <f>COUNTIFS('RedHill Release Incidents'!$A$2:$A$66,B59,'RedHill Release Incidents'!$Q$2:$Q$66,"OP",'RedHill Release Incidents'!$O$2:$O$66,"!TT")</f>
        <v>0</v>
      </c>
      <c r="D59" s="5"/>
      <c r="E59" s="5"/>
      <c r="F59" s="5"/>
      <c r="G59" s="5"/>
      <c r="H59" s="5"/>
    </row>
    <row r="60" spans="1:8" x14ac:dyDescent="0.25">
      <c r="A60" s="5">
        <v>59</v>
      </c>
      <c r="B60" s="5">
        <v>2002</v>
      </c>
      <c r="C60" s="5">
        <f>COUNTIFS('RedHill Release Incidents'!$A$2:$A$66,B60,'RedHill Release Incidents'!$Q$2:$Q$66,"OP",'RedHill Release Incidents'!$O$2:$O$66,"!TT")</f>
        <v>1</v>
      </c>
      <c r="D60" s="5"/>
      <c r="E60" s="5"/>
      <c r="F60" s="5"/>
      <c r="G60" s="5"/>
      <c r="H60" s="5"/>
    </row>
    <row r="61" spans="1:8" x14ac:dyDescent="0.25">
      <c r="A61" s="5">
        <v>60</v>
      </c>
      <c r="B61" s="5">
        <v>2003</v>
      </c>
      <c r="C61" s="5">
        <f>COUNTIFS('RedHill Release Incidents'!$A$2:$A$66,B61,'RedHill Release Incidents'!$Q$2:$Q$66,"OP",'RedHill Release Incidents'!$O$2:$O$66,"!TT")</f>
        <v>0</v>
      </c>
      <c r="D61" s="5">
        <f>SUM(C52:C61)</f>
        <v>2</v>
      </c>
      <c r="E61" s="5">
        <f>SUM(C47:C61)</f>
        <v>2</v>
      </c>
      <c r="F61" s="5"/>
      <c r="G61" s="5"/>
      <c r="H61" s="5"/>
    </row>
    <row r="62" spans="1:8" x14ac:dyDescent="0.25">
      <c r="A62" s="5">
        <v>61</v>
      </c>
      <c r="B62" s="5">
        <v>2004</v>
      </c>
      <c r="C62" s="5">
        <f>COUNTIFS('RedHill Release Incidents'!$A$2:$A$66,B62,'RedHill Release Incidents'!$Q$2:$Q$66,"OP",'RedHill Release Incidents'!$O$2:$O$66,"!TT")</f>
        <v>0</v>
      </c>
      <c r="D62" s="5"/>
      <c r="E62" s="5"/>
      <c r="F62" s="5"/>
      <c r="G62" s="5"/>
      <c r="H62" s="5"/>
    </row>
    <row r="63" spans="1:8" x14ac:dyDescent="0.25">
      <c r="A63" s="5">
        <v>62</v>
      </c>
      <c r="B63" s="5">
        <v>2005</v>
      </c>
      <c r="C63" s="5">
        <f>COUNTIFS('RedHill Release Incidents'!$A$2:$A$66,B63,'RedHill Release Incidents'!$Q$2:$Q$66,"OP",'RedHill Release Incidents'!$O$2:$O$66,"!TT")</f>
        <v>0</v>
      </c>
      <c r="D63" s="5"/>
      <c r="E63" s="5"/>
      <c r="F63" s="5"/>
      <c r="G63" s="5"/>
      <c r="H63" s="5"/>
    </row>
    <row r="64" spans="1:8" x14ac:dyDescent="0.25">
      <c r="A64" s="5">
        <v>63</v>
      </c>
      <c r="B64" s="5">
        <v>2006</v>
      </c>
      <c r="C64" s="5">
        <f>COUNTIFS('RedHill Release Incidents'!$A$2:$A$66,B64,'RedHill Release Incidents'!$Q$2:$Q$66,"OP",'RedHill Release Incidents'!$O$2:$O$66,"!TT")</f>
        <v>0</v>
      </c>
      <c r="D64" s="5"/>
      <c r="E64" s="5"/>
      <c r="F64" s="5"/>
      <c r="G64" s="5"/>
      <c r="H64" s="5"/>
    </row>
    <row r="65" spans="1:8" x14ac:dyDescent="0.25">
      <c r="A65" s="5">
        <v>64</v>
      </c>
      <c r="B65" s="5">
        <v>2007</v>
      </c>
      <c r="C65" s="5">
        <f>COUNTIFS('RedHill Release Incidents'!$A$2:$A$66,B65,'RedHill Release Incidents'!$Q$2:$Q$66,"OP",'RedHill Release Incidents'!$O$2:$O$66,"!TT")</f>
        <v>0</v>
      </c>
      <c r="D65" s="5"/>
      <c r="E65" s="5"/>
      <c r="F65" s="5"/>
      <c r="G65" s="5"/>
      <c r="H65" s="5"/>
    </row>
    <row r="66" spans="1:8" x14ac:dyDescent="0.25">
      <c r="A66" s="5">
        <v>65</v>
      </c>
      <c r="B66" s="5">
        <v>2008</v>
      </c>
      <c r="C66" s="5">
        <f>COUNTIFS('RedHill Release Incidents'!$A$2:$A$66,B66,'RedHill Release Incidents'!$Q$2:$Q$66,"OP",'RedHill Release Incidents'!$O$2:$O$66,"!TT")</f>
        <v>2</v>
      </c>
      <c r="D66" s="5"/>
      <c r="E66" s="5"/>
      <c r="F66" s="5"/>
      <c r="G66" s="5"/>
      <c r="H66" s="5"/>
    </row>
    <row r="67" spans="1:8" x14ac:dyDescent="0.25">
      <c r="A67" s="5">
        <v>66</v>
      </c>
      <c r="B67" s="5">
        <v>2009</v>
      </c>
      <c r="C67" s="5">
        <f>COUNTIFS('RedHill Release Incidents'!$A$2:$A$66,B67,'RedHill Release Incidents'!$Q$2:$Q$66,"OP",'RedHill Release Incidents'!$O$2:$O$66,"!TT")</f>
        <v>0</v>
      </c>
      <c r="D67" s="5"/>
      <c r="E67" s="5"/>
      <c r="F67" s="5"/>
      <c r="G67" s="5"/>
      <c r="H67" s="5"/>
    </row>
    <row r="68" spans="1:8" x14ac:dyDescent="0.25">
      <c r="A68" s="5">
        <v>67</v>
      </c>
      <c r="B68" s="5">
        <v>2010</v>
      </c>
      <c r="C68" s="5">
        <f>COUNTIFS('RedHill Release Incidents'!$A$2:$A$66,B68,'RedHill Release Incidents'!$Q$2:$Q$66,"OP",'RedHill Release Incidents'!$O$2:$O$66,"!TT")</f>
        <v>1</v>
      </c>
      <c r="D68" s="5"/>
      <c r="E68" s="5"/>
      <c r="F68" s="5"/>
      <c r="G68" s="5"/>
      <c r="H68" s="5"/>
    </row>
    <row r="69" spans="1:8" x14ac:dyDescent="0.25">
      <c r="A69" s="5">
        <v>68</v>
      </c>
      <c r="B69" s="5">
        <v>2011</v>
      </c>
      <c r="C69" s="5">
        <f>COUNTIFS('RedHill Release Incidents'!$A$2:$A$66,B69,'RedHill Release Incidents'!$Q$2:$Q$66,"OP",'RedHill Release Incidents'!$O$2:$O$66,"!TT")</f>
        <v>0</v>
      </c>
      <c r="D69" s="5"/>
      <c r="E69" s="5"/>
      <c r="F69" s="5"/>
      <c r="G69" s="5"/>
      <c r="H69" s="5"/>
    </row>
    <row r="70" spans="1:8" x14ac:dyDescent="0.25">
      <c r="A70" s="5">
        <v>69</v>
      </c>
      <c r="B70" s="5">
        <v>2012</v>
      </c>
      <c r="C70" s="5">
        <f>COUNTIFS('RedHill Release Incidents'!$A$2:$A$66,B70,'RedHill Release Incidents'!$Q$2:$Q$66,"OP",'RedHill Release Incidents'!$O$2:$O$66,"!TT")</f>
        <v>0</v>
      </c>
      <c r="D70" s="5"/>
      <c r="E70" s="5"/>
      <c r="F70" s="5"/>
      <c r="G70" s="5"/>
      <c r="H70" s="5"/>
    </row>
    <row r="71" spans="1:8" x14ac:dyDescent="0.25">
      <c r="A71" s="5">
        <v>70</v>
      </c>
      <c r="B71" s="5">
        <v>2013</v>
      </c>
      <c r="C71" s="5">
        <f>COUNTIFS('RedHill Release Incidents'!$A$2:$A$66,B71,'RedHill Release Incidents'!$Q$2:$Q$66,"OP",'RedHill Release Incidents'!$O$2:$O$66,"!TT")</f>
        <v>0</v>
      </c>
      <c r="D71" s="5">
        <f>SUM(C62:C71)</f>
        <v>3</v>
      </c>
      <c r="E71" s="5"/>
      <c r="F71" s="5"/>
      <c r="G71" s="5"/>
      <c r="H71" s="5"/>
    </row>
    <row r="72" spans="1:8" x14ac:dyDescent="0.25">
      <c r="A72" s="5">
        <v>71</v>
      </c>
      <c r="B72" s="5">
        <v>2014</v>
      </c>
      <c r="C72" s="5">
        <f>COUNTIFS('RedHill Release Incidents'!$A$2:$A$66,B72,'RedHill Release Incidents'!$Q$2:$Q$66,"OP",'RedHill Release Incidents'!$O$2:$O$66,"!TT")</f>
        <v>0</v>
      </c>
      <c r="D72" s="5"/>
      <c r="E72" s="5"/>
      <c r="F72" s="5"/>
      <c r="G72" s="5"/>
      <c r="H72" s="5"/>
    </row>
    <row r="73" spans="1:8" x14ac:dyDescent="0.25">
      <c r="A73" s="5">
        <v>72</v>
      </c>
      <c r="B73" s="5">
        <v>2015</v>
      </c>
      <c r="C73" s="5">
        <f>COUNTIFS('RedHill Release Incidents'!$A$2:$A$66,B73,'RedHill Release Incidents'!$Q$2:$Q$66,"OP",'RedHill Release Incidents'!$O$2:$O$66,"!TT")</f>
        <v>0</v>
      </c>
      <c r="D73" s="5"/>
      <c r="E73" s="5"/>
      <c r="F73" s="5"/>
      <c r="G73" s="5"/>
      <c r="H73" s="5"/>
    </row>
    <row r="74" spans="1:8" x14ac:dyDescent="0.25">
      <c r="A74" s="5">
        <v>73</v>
      </c>
      <c r="B74" s="5">
        <v>2016</v>
      </c>
      <c r="C74" s="5">
        <f>COUNTIFS('RedHill Release Incidents'!$A$2:$A$66,B74,'RedHill Release Incidents'!$Q$2:$Q$66,"OP",'RedHill Release Incidents'!$O$2:$O$66,"!TT")</f>
        <v>0</v>
      </c>
      <c r="D74" s="5"/>
      <c r="E74" s="5"/>
      <c r="F74" s="5"/>
      <c r="G74" s="5"/>
      <c r="H74" s="5"/>
    </row>
    <row r="75" spans="1:8" x14ac:dyDescent="0.25">
      <c r="A75" s="5">
        <v>74</v>
      </c>
      <c r="B75" s="5">
        <v>2017</v>
      </c>
      <c r="C75" s="5">
        <f>COUNTIFS('RedHill Release Incidents'!$A$2:$A$66,B75,'RedHill Release Incidents'!$Q$2:$Q$66,"OP",'RedHill Release Incidents'!$O$2:$O$66,"!TT")</f>
        <v>0</v>
      </c>
      <c r="D75" s="5">
        <f>SUM(C72:C75)</f>
        <v>0</v>
      </c>
      <c r="E75" s="5">
        <f>SUM(C62:C75)</f>
        <v>3</v>
      </c>
      <c r="F75" s="5">
        <f>SUM(C51:C75)</f>
        <v>5</v>
      </c>
      <c r="G75" s="5"/>
      <c r="H75" s="5"/>
    </row>
    <row r="76" spans="1:8" x14ac:dyDescent="0.25">
      <c r="C76" s="327">
        <f>SUM(C5:C72)</f>
        <v>18</v>
      </c>
    </row>
  </sheetData>
  <sheetProtection algorithmName="SHA-512" hashValue="OiwFKao22WNMAkG69ncWItK+UiSBkrMBh7Mgm190QQZ3T00BThjJvm/GdNETif0ep+mF6ngQtPfJr6yPmQKHXg==" saltValue="B4uAx3tnmHrC1Ber3fE3Pw=="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76"/>
  <sheetViews>
    <sheetView workbookViewId="0"/>
  </sheetViews>
  <sheetFormatPr defaultRowHeight="15" x14ac:dyDescent="0.25"/>
  <cols>
    <col min="3" max="3" width="12" customWidth="1"/>
  </cols>
  <sheetData>
    <row r="1" spans="1:3" x14ac:dyDescent="0.25">
      <c r="A1" s="5"/>
      <c r="B1" s="5"/>
      <c r="C1" s="120" t="s">
        <v>822</v>
      </c>
    </row>
    <row r="2" spans="1:3" x14ac:dyDescent="0.25">
      <c r="A2" s="5">
        <v>1</v>
      </c>
      <c r="B2" s="5">
        <v>1944</v>
      </c>
      <c r="C2" s="5">
        <f>COUNTIFS('RedHill Release Incidents'!$A$2:$A$66,B2,'RedHill Release Incidents'!$Q$2:$Q$66,"TIR")</f>
        <v>0</v>
      </c>
    </row>
    <row r="3" spans="1:3" x14ac:dyDescent="0.25">
      <c r="A3" s="5">
        <v>2</v>
      </c>
      <c r="B3" s="5">
        <v>1945</v>
      </c>
      <c r="C3" s="5">
        <f>COUNTIFS('RedHill Release Incidents'!$A$2:$A$66,B3,'RedHill Release Incidents'!$Q$2:$Q$66,"TIR")</f>
        <v>0</v>
      </c>
    </row>
    <row r="4" spans="1:3" x14ac:dyDescent="0.25">
      <c r="A4" s="5">
        <v>3</v>
      </c>
      <c r="B4" s="5">
        <v>1946</v>
      </c>
      <c r="C4" s="5">
        <f>COUNTIFS('RedHill Release Incidents'!$A$2:$A$66,B4,'RedHill Release Incidents'!$Q$2:$Q$66,"TIR")</f>
        <v>0</v>
      </c>
    </row>
    <row r="5" spans="1:3" x14ac:dyDescent="0.25">
      <c r="A5" s="5">
        <v>4</v>
      </c>
      <c r="B5" s="5">
        <v>1947</v>
      </c>
      <c r="C5" s="5">
        <f>COUNTIFS('RedHill Release Incidents'!$A$2:$A$66,B5,'RedHill Release Incidents'!$Q$2:$Q$66,"TIR")</f>
        <v>0</v>
      </c>
    </row>
    <row r="6" spans="1:3" x14ac:dyDescent="0.25">
      <c r="A6" s="5">
        <v>5</v>
      </c>
      <c r="B6" s="5">
        <v>1948</v>
      </c>
      <c r="C6" s="5">
        <f>COUNTIFS('RedHill Release Incidents'!$A$2:$A$66,B6,'RedHill Release Incidents'!$Q$2:$Q$66,"TIR")</f>
        <v>0</v>
      </c>
    </row>
    <row r="7" spans="1:3" x14ac:dyDescent="0.25">
      <c r="A7" s="5">
        <v>6</v>
      </c>
      <c r="B7" s="5">
        <v>1949</v>
      </c>
      <c r="C7" s="5">
        <f>COUNTIFS('RedHill Release Incidents'!$A$2:$A$66,B7,'RedHill Release Incidents'!$Q$2:$Q$66,"TIR")</f>
        <v>0</v>
      </c>
    </row>
    <row r="8" spans="1:3" x14ac:dyDescent="0.25">
      <c r="A8" s="5">
        <v>7</v>
      </c>
      <c r="B8" s="5">
        <v>1950</v>
      </c>
      <c r="C8" s="5">
        <f>COUNTIFS('RedHill Release Incidents'!$A$2:$A$66,B8,'RedHill Release Incidents'!$Q$2:$Q$66,"TIR")</f>
        <v>0</v>
      </c>
    </row>
    <row r="9" spans="1:3" x14ac:dyDescent="0.25">
      <c r="A9" s="5">
        <v>8</v>
      </c>
      <c r="B9" s="5">
        <v>1951</v>
      </c>
      <c r="C9" s="5">
        <f>COUNTIFS('RedHill Release Incidents'!$A$2:$A$66,B9,'RedHill Release Incidents'!$Q$2:$Q$66,"TIR")</f>
        <v>0</v>
      </c>
    </row>
    <row r="10" spans="1:3" x14ac:dyDescent="0.25">
      <c r="A10" s="5">
        <v>9</v>
      </c>
      <c r="B10" s="5">
        <v>1952</v>
      </c>
      <c r="C10" s="5">
        <f>COUNTIFS('RedHill Release Incidents'!$A$2:$A$66,B10,'RedHill Release Incidents'!$Q$2:$Q$66,"TIR")</f>
        <v>0</v>
      </c>
    </row>
    <row r="11" spans="1:3" x14ac:dyDescent="0.25">
      <c r="A11" s="5">
        <v>10</v>
      </c>
      <c r="B11" s="5">
        <v>1953</v>
      </c>
      <c r="C11" s="5">
        <f>COUNTIFS('RedHill Release Incidents'!$A$2:$A$66,B11,'RedHill Release Incidents'!$Q$2:$Q$66,"TIR")</f>
        <v>0</v>
      </c>
    </row>
    <row r="12" spans="1:3" x14ac:dyDescent="0.25">
      <c r="A12" s="5">
        <v>11</v>
      </c>
      <c r="B12" s="5">
        <v>1954</v>
      </c>
      <c r="C12" s="5">
        <f>COUNTIFS('RedHill Release Incidents'!$A$2:$A$66,B12,'RedHill Release Incidents'!$Q$2:$Q$66,"TIR")</f>
        <v>0</v>
      </c>
    </row>
    <row r="13" spans="1:3" x14ac:dyDescent="0.25">
      <c r="A13" s="5">
        <v>12</v>
      </c>
      <c r="B13" s="5">
        <v>1955</v>
      </c>
      <c r="C13" s="5">
        <f>COUNTIFS('RedHill Release Incidents'!$A$2:$A$66,B13,'RedHill Release Incidents'!$Q$2:$Q$66,"TIR")</f>
        <v>0</v>
      </c>
    </row>
    <row r="14" spans="1:3" x14ac:dyDescent="0.25">
      <c r="A14" s="5">
        <v>13</v>
      </c>
      <c r="B14" s="5">
        <v>1956</v>
      </c>
      <c r="C14" s="5">
        <f>COUNTIFS('RedHill Release Incidents'!$A$2:$A$66,B14,'RedHill Release Incidents'!$Q$2:$Q$66,"TIR")</f>
        <v>0</v>
      </c>
    </row>
    <row r="15" spans="1:3" x14ac:dyDescent="0.25">
      <c r="A15" s="5">
        <v>14</v>
      </c>
      <c r="B15" s="5">
        <v>1957</v>
      </c>
      <c r="C15" s="5">
        <f>COUNTIFS('RedHill Release Incidents'!$A$2:$A$66,B15,'RedHill Release Incidents'!$Q$2:$Q$66,"TIR")</f>
        <v>0</v>
      </c>
    </row>
    <row r="16" spans="1:3" x14ac:dyDescent="0.25">
      <c r="A16" s="5">
        <v>15</v>
      </c>
      <c r="B16" s="5">
        <v>1958</v>
      </c>
      <c r="C16" s="5">
        <f>COUNTIFS('RedHill Release Incidents'!$A$2:$A$66,B16,'RedHill Release Incidents'!$Q$2:$Q$66,"TIR")</f>
        <v>0</v>
      </c>
    </row>
    <row r="17" spans="1:3" x14ac:dyDescent="0.25">
      <c r="A17" s="5">
        <v>16</v>
      </c>
      <c r="B17" s="5">
        <v>1959</v>
      </c>
      <c r="C17" s="5">
        <f>COUNTIFS('RedHill Release Incidents'!$A$2:$A$66,B17,'RedHill Release Incidents'!$Q$2:$Q$66,"TIR")</f>
        <v>0</v>
      </c>
    </row>
    <row r="18" spans="1:3" x14ac:dyDescent="0.25">
      <c r="A18" s="5">
        <v>17</v>
      </c>
      <c r="B18" s="5">
        <v>1960</v>
      </c>
      <c r="C18" s="5">
        <f>COUNTIFS('RedHill Release Incidents'!$A$2:$A$66,B18,'RedHill Release Incidents'!$Q$2:$Q$66,"TIR")</f>
        <v>0</v>
      </c>
    </row>
    <row r="19" spans="1:3" x14ac:dyDescent="0.25">
      <c r="A19" s="5">
        <v>18</v>
      </c>
      <c r="B19" s="5">
        <v>1961</v>
      </c>
      <c r="C19" s="5">
        <f>COUNTIFS('RedHill Release Incidents'!$A$2:$A$66,B19,'RedHill Release Incidents'!$Q$2:$Q$66,"TIR")</f>
        <v>0</v>
      </c>
    </row>
    <row r="20" spans="1:3" x14ac:dyDescent="0.25">
      <c r="A20" s="5">
        <v>19</v>
      </c>
      <c r="B20" s="5">
        <v>1962</v>
      </c>
      <c r="C20" s="5">
        <f>COUNTIFS('RedHill Release Incidents'!$A$2:$A$66,B20,'RedHill Release Incidents'!$Q$2:$Q$66,"TIR")</f>
        <v>0</v>
      </c>
    </row>
    <row r="21" spans="1:3" x14ac:dyDescent="0.25">
      <c r="A21" s="5">
        <v>20</v>
      </c>
      <c r="B21" s="5">
        <v>1963</v>
      </c>
      <c r="C21" s="5">
        <f>COUNTIFS('RedHill Release Incidents'!$A$2:$A$66,B21,'RedHill Release Incidents'!$Q$2:$Q$66,"TIR")</f>
        <v>0</v>
      </c>
    </row>
    <row r="22" spans="1:3" x14ac:dyDescent="0.25">
      <c r="A22" s="5">
        <v>21</v>
      </c>
      <c r="B22" s="5">
        <v>1964</v>
      </c>
      <c r="C22" s="5">
        <f>COUNTIFS('RedHill Release Incidents'!$A$2:$A$66,B22,'RedHill Release Incidents'!$Q$2:$Q$66,"TIR")</f>
        <v>0</v>
      </c>
    </row>
    <row r="23" spans="1:3" x14ac:dyDescent="0.25">
      <c r="A23" s="5">
        <v>22</v>
      </c>
      <c r="B23" s="5">
        <v>1965</v>
      </c>
      <c r="C23" s="5">
        <f>COUNTIFS('RedHill Release Incidents'!$A$2:$A$66,B23,'RedHill Release Incidents'!$Q$2:$Q$66,"TIR")</f>
        <v>0</v>
      </c>
    </row>
    <row r="24" spans="1:3" x14ac:dyDescent="0.25">
      <c r="A24" s="5">
        <v>23</v>
      </c>
      <c r="B24" s="5">
        <v>1966</v>
      </c>
      <c r="C24" s="5">
        <f>COUNTIFS('RedHill Release Incidents'!$A$2:$A$66,B24,'RedHill Release Incidents'!$Q$2:$Q$66,"TIR")</f>
        <v>0</v>
      </c>
    </row>
    <row r="25" spans="1:3" x14ac:dyDescent="0.25">
      <c r="A25" s="5">
        <v>24</v>
      </c>
      <c r="B25" s="5">
        <v>1967</v>
      </c>
      <c r="C25" s="5">
        <f>COUNTIFS('RedHill Release Incidents'!$A$2:$A$66,B25,'RedHill Release Incidents'!$Q$2:$Q$66,"TIR")</f>
        <v>0</v>
      </c>
    </row>
    <row r="26" spans="1:3" x14ac:dyDescent="0.25">
      <c r="A26" s="5">
        <v>25</v>
      </c>
      <c r="B26" s="5">
        <v>1968</v>
      </c>
      <c r="C26" s="5">
        <f>COUNTIFS('RedHill Release Incidents'!$A$2:$A$66,B26,'RedHill Release Incidents'!$Q$2:$Q$66,"TIR")</f>
        <v>0</v>
      </c>
    </row>
    <row r="27" spans="1:3" x14ac:dyDescent="0.25">
      <c r="A27" s="5">
        <v>26</v>
      </c>
      <c r="B27" s="5">
        <v>1969</v>
      </c>
      <c r="C27" s="5">
        <f>COUNTIFS('RedHill Release Incidents'!$A$2:$A$66,B27,'RedHill Release Incidents'!$Q$2:$Q$66,"TIR")</f>
        <v>0</v>
      </c>
    </row>
    <row r="28" spans="1:3" x14ac:dyDescent="0.25">
      <c r="A28" s="5">
        <v>27</v>
      </c>
      <c r="B28" s="5">
        <v>1970</v>
      </c>
      <c r="C28" s="5">
        <f>COUNTIFS('RedHill Release Incidents'!$A$2:$A$66,B28,'RedHill Release Incidents'!$Q$2:$Q$66,"TIR")</f>
        <v>0</v>
      </c>
    </row>
    <row r="29" spans="1:3" x14ac:dyDescent="0.25">
      <c r="A29" s="5">
        <v>28</v>
      </c>
      <c r="B29" s="5">
        <v>1971</v>
      </c>
      <c r="C29" s="5">
        <f>COUNTIFS('RedHill Release Incidents'!$A$2:$A$66,B29,'RedHill Release Incidents'!$Q$2:$Q$66,"TIR")</f>
        <v>0</v>
      </c>
    </row>
    <row r="30" spans="1:3" x14ac:dyDescent="0.25">
      <c r="A30" s="5">
        <v>29</v>
      </c>
      <c r="B30" s="5">
        <v>1972</v>
      </c>
      <c r="C30" s="5">
        <f>COUNTIFS('RedHill Release Incidents'!$A$2:$A$66,B30,'RedHill Release Incidents'!$Q$2:$Q$66,"TIR")</f>
        <v>0</v>
      </c>
    </row>
    <row r="31" spans="1:3" x14ac:dyDescent="0.25">
      <c r="A31" s="5">
        <v>30</v>
      </c>
      <c r="B31" s="5">
        <v>1973</v>
      </c>
      <c r="C31" s="5">
        <f>COUNTIFS('RedHill Release Incidents'!$A$2:$A$66,B31,'RedHill Release Incidents'!$Q$2:$Q$66,"TIR")</f>
        <v>0</v>
      </c>
    </row>
    <row r="32" spans="1:3" x14ac:dyDescent="0.25">
      <c r="A32" s="5">
        <v>31</v>
      </c>
      <c r="B32" s="5">
        <v>1974</v>
      </c>
      <c r="C32" s="5">
        <f>COUNTIFS('RedHill Release Incidents'!$A$2:$A$66,B32,'RedHill Release Incidents'!$Q$2:$Q$66,"TIR")</f>
        <v>0</v>
      </c>
    </row>
    <row r="33" spans="1:3" x14ac:dyDescent="0.25">
      <c r="A33" s="5">
        <v>32</v>
      </c>
      <c r="B33" s="5">
        <v>1975</v>
      </c>
      <c r="C33" s="5">
        <f>COUNTIFS('RedHill Release Incidents'!$A$2:$A$66,B33,'RedHill Release Incidents'!$Q$2:$Q$66,"TIR")</f>
        <v>0</v>
      </c>
    </row>
    <row r="34" spans="1:3" x14ac:dyDescent="0.25">
      <c r="A34" s="5">
        <v>33</v>
      </c>
      <c r="B34" s="5">
        <v>1976</v>
      </c>
      <c r="C34" s="5">
        <f>COUNTIFS('RedHill Release Incidents'!$A$2:$A$66,B34,'RedHill Release Incidents'!$Q$2:$Q$66,"TIR")</f>
        <v>0</v>
      </c>
    </row>
    <row r="35" spans="1:3" x14ac:dyDescent="0.25">
      <c r="A35" s="5">
        <v>34</v>
      </c>
      <c r="B35" s="5">
        <v>1977</v>
      </c>
      <c r="C35" s="5">
        <f>COUNTIFS('RedHill Release Incidents'!$A$2:$A$66,B35,'RedHill Release Incidents'!$Q$2:$Q$66,"TIR")</f>
        <v>0</v>
      </c>
    </row>
    <row r="36" spans="1:3" x14ac:dyDescent="0.25">
      <c r="A36" s="5">
        <v>35</v>
      </c>
      <c r="B36" s="5">
        <v>1978</v>
      </c>
      <c r="C36" s="5">
        <f>COUNTIFS('RedHill Release Incidents'!$A$2:$A$66,B36,'RedHill Release Incidents'!$Q$2:$Q$66,"TIR")</f>
        <v>1</v>
      </c>
    </row>
    <row r="37" spans="1:3" x14ac:dyDescent="0.25">
      <c r="A37" s="5">
        <v>36</v>
      </c>
      <c r="B37" s="5">
        <v>1979</v>
      </c>
      <c r="C37" s="5">
        <f>COUNTIFS('RedHill Release Incidents'!$A$2:$A$66,B37,'RedHill Release Incidents'!$Q$2:$Q$66,"TIR")</f>
        <v>0</v>
      </c>
    </row>
    <row r="38" spans="1:3" x14ac:dyDescent="0.25">
      <c r="A38" s="5">
        <v>37</v>
      </c>
      <c r="B38" s="5">
        <v>1980</v>
      </c>
      <c r="C38" s="5">
        <f>COUNTIFS('RedHill Release Incidents'!$A$2:$A$66,B38,'RedHill Release Incidents'!$Q$2:$Q$66,"TIR")</f>
        <v>1</v>
      </c>
    </row>
    <row r="39" spans="1:3" x14ac:dyDescent="0.25">
      <c r="A39" s="5">
        <v>38</v>
      </c>
      <c r="B39" s="5">
        <v>1981</v>
      </c>
      <c r="C39" s="5">
        <f>COUNTIFS('RedHill Release Incidents'!$A$2:$A$66,B39,'RedHill Release Incidents'!$Q$2:$Q$66,"TIR")</f>
        <v>7</v>
      </c>
    </row>
    <row r="40" spans="1:3" x14ac:dyDescent="0.25">
      <c r="A40" s="5">
        <v>39</v>
      </c>
      <c r="B40" s="5">
        <v>1982</v>
      </c>
      <c r="C40" s="5">
        <f>COUNTIFS('RedHill Release Incidents'!$A$2:$A$66,B40,'RedHill Release Incidents'!$Q$2:$Q$66,"TIR")</f>
        <v>1</v>
      </c>
    </row>
    <row r="41" spans="1:3" x14ac:dyDescent="0.25">
      <c r="A41" s="5">
        <v>40</v>
      </c>
      <c r="B41" s="5">
        <v>1983</v>
      </c>
      <c r="C41" s="5">
        <f>COUNTIFS('RedHill Release Incidents'!$A$2:$A$66,B41,'RedHill Release Incidents'!$Q$2:$Q$66,"TIR")</f>
        <v>1</v>
      </c>
    </row>
    <row r="42" spans="1:3" x14ac:dyDescent="0.25">
      <c r="A42" s="5">
        <v>41</v>
      </c>
      <c r="B42" s="5">
        <v>1984</v>
      </c>
      <c r="C42" s="5">
        <f>COUNTIFS('RedHill Release Incidents'!$A$2:$A$66,B42,'RedHill Release Incidents'!$Q$2:$Q$66,"TIR")</f>
        <v>0</v>
      </c>
    </row>
    <row r="43" spans="1:3" x14ac:dyDescent="0.25">
      <c r="A43" s="5">
        <v>42</v>
      </c>
      <c r="B43" s="5">
        <v>1985</v>
      </c>
      <c r="C43" s="5">
        <f>COUNTIFS('RedHill Release Incidents'!$A$2:$A$66,B43,'RedHill Release Incidents'!$Q$2:$Q$66,"TIR")</f>
        <v>0</v>
      </c>
    </row>
    <row r="44" spans="1:3" x14ac:dyDescent="0.25">
      <c r="A44" s="5">
        <v>43</v>
      </c>
      <c r="B44" s="5">
        <v>1986</v>
      </c>
      <c r="C44" s="5">
        <f>COUNTIFS('RedHill Release Incidents'!$A$2:$A$66,B44,'RedHill Release Incidents'!$Q$2:$Q$66,"TIR")</f>
        <v>0</v>
      </c>
    </row>
    <row r="45" spans="1:3" x14ac:dyDescent="0.25">
      <c r="A45" s="5">
        <v>44</v>
      </c>
      <c r="B45" s="5">
        <v>1987</v>
      </c>
      <c r="C45" s="5">
        <f>COUNTIFS('RedHill Release Incidents'!$A$2:$A$66,B45,'RedHill Release Incidents'!$Q$2:$Q$66,"TIR")</f>
        <v>0</v>
      </c>
    </row>
    <row r="46" spans="1:3" x14ac:dyDescent="0.25">
      <c r="A46" s="5">
        <v>45</v>
      </c>
      <c r="B46" s="5">
        <v>1988</v>
      </c>
      <c r="C46" s="5">
        <f>COUNTIFS('RedHill Release Incidents'!$A$2:$A$66,B46,'RedHill Release Incidents'!$Q$2:$Q$66,"TIR")</f>
        <v>0</v>
      </c>
    </row>
    <row r="47" spans="1:3" x14ac:dyDescent="0.25">
      <c r="A47" s="5">
        <v>46</v>
      </c>
      <c r="B47" s="5">
        <v>1989</v>
      </c>
      <c r="C47" s="5">
        <f>COUNTIFS('RedHill Release Incidents'!$A$2:$A$66,B47,'RedHill Release Incidents'!$Q$2:$Q$66,"TIR")</f>
        <v>0</v>
      </c>
    </row>
    <row r="48" spans="1:3" x14ac:dyDescent="0.25">
      <c r="A48" s="5">
        <v>47</v>
      </c>
      <c r="B48" s="5">
        <v>1990</v>
      </c>
      <c r="C48" s="5">
        <f>COUNTIFS('RedHill Release Incidents'!$A$2:$A$66,B48,'RedHill Release Incidents'!$Q$2:$Q$66,"TIR")</f>
        <v>0</v>
      </c>
    </row>
    <row r="49" spans="1:3" x14ac:dyDescent="0.25">
      <c r="A49" s="5">
        <v>48</v>
      </c>
      <c r="B49" s="5">
        <v>1991</v>
      </c>
      <c r="C49" s="5">
        <f>COUNTIFS('RedHill Release Incidents'!$A$2:$A$66,B49,'RedHill Release Incidents'!$Q$2:$Q$66,"TIR")</f>
        <v>0</v>
      </c>
    </row>
    <row r="50" spans="1:3" x14ac:dyDescent="0.25">
      <c r="A50" s="5">
        <v>49</v>
      </c>
      <c r="B50" s="5">
        <v>1992</v>
      </c>
      <c r="C50" s="5">
        <f>COUNTIFS('RedHill Release Incidents'!$A$2:$A$66,B50,'RedHill Release Incidents'!$Q$2:$Q$66,"TIR")</f>
        <v>0</v>
      </c>
    </row>
    <row r="51" spans="1:3" x14ac:dyDescent="0.25">
      <c r="A51" s="5">
        <v>50</v>
      </c>
      <c r="B51" s="5">
        <v>1993</v>
      </c>
      <c r="C51" s="5">
        <f>COUNTIFS('RedHill Release Incidents'!$A$2:$A$66,B51,'RedHill Release Incidents'!$Q$2:$Q$66,"TIR")</f>
        <v>0</v>
      </c>
    </row>
    <row r="52" spans="1:3" x14ac:dyDescent="0.25">
      <c r="A52" s="5">
        <v>51</v>
      </c>
      <c r="B52" s="5">
        <v>1994</v>
      </c>
      <c r="C52" s="5">
        <f>COUNTIFS('RedHill Release Incidents'!$A$2:$A$66,B52,'RedHill Release Incidents'!$Q$2:$Q$66,"TIR")</f>
        <v>0</v>
      </c>
    </row>
    <row r="53" spans="1:3" x14ac:dyDescent="0.25">
      <c r="A53" s="5">
        <v>52</v>
      </c>
      <c r="B53" s="5">
        <v>1995</v>
      </c>
      <c r="C53" s="5">
        <f>COUNTIFS('RedHill Release Incidents'!$A$2:$A$66,B53,'RedHill Release Incidents'!$Q$2:$Q$66,"TIR")</f>
        <v>0</v>
      </c>
    </row>
    <row r="54" spans="1:3" x14ac:dyDescent="0.25">
      <c r="A54" s="5">
        <v>53</v>
      </c>
      <c r="B54" s="5">
        <v>1996</v>
      </c>
      <c r="C54" s="5">
        <f>COUNTIFS('RedHill Release Incidents'!$A$2:$A$66,B54,'RedHill Release Incidents'!$Q$2:$Q$66,"TIR")</f>
        <v>0</v>
      </c>
    </row>
    <row r="55" spans="1:3" x14ac:dyDescent="0.25">
      <c r="A55" s="5">
        <v>54</v>
      </c>
      <c r="B55" s="5">
        <v>1997</v>
      </c>
      <c r="C55" s="5">
        <f>COUNTIFS('RedHill Release Incidents'!$A$2:$A$66,B55,'RedHill Release Incidents'!$Q$2:$Q$66,"TIR")</f>
        <v>0</v>
      </c>
    </row>
    <row r="56" spans="1:3" x14ac:dyDescent="0.25">
      <c r="A56" s="5">
        <v>55</v>
      </c>
      <c r="B56" s="5">
        <v>1998</v>
      </c>
      <c r="C56" s="5">
        <f>COUNTIFS('RedHill Release Incidents'!$A$2:$A$66,B56,'RedHill Release Incidents'!$Q$2:$Q$66,"TIR")</f>
        <v>0</v>
      </c>
    </row>
    <row r="57" spans="1:3" x14ac:dyDescent="0.25">
      <c r="A57" s="5">
        <v>56</v>
      </c>
      <c r="B57" s="5">
        <v>1999</v>
      </c>
      <c r="C57" s="5">
        <f>COUNTIFS('RedHill Release Incidents'!$A$2:$A$66,B57,'RedHill Release Incidents'!$Q$2:$Q$66,"TIR")</f>
        <v>0</v>
      </c>
    </row>
    <row r="58" spans="1:3" x14ac:dyDescent="0.25">
      <c r="A58" s="5">
        <v>57</v>
      </c>
      <c r="B58" s="5">
        <v>2000</v>
      </c>
      <c r="C58" s="5">
        <f>COUNTIFS('RedHill Release Incidents'!$A$2:$A$66,B58,'RedHill Release Incidents'!$Q$2:$Q$66,"TIR")</f>
        <v>0</v>
      </c>
    </row>
    <row r="59" spans="1:3" x14ac:dyDescent="0.25">
      <c r="A59" s="5">
        <v>58</v>
      </c>
      <c r="B59" s="5">
        <v>2001</v>
      </c>
      <c r="C59" s="5">
        <f>COUNTIFS('RedHill Release Incidents'!$A$2:$A$66,B59,'RedHill Release Incidents'!$Q$2:$Q$66,"TIR")</f>
        <v>0</v>
      </c>
    </row>
    <row r="60" spans="1:3" x14ac:dyDescent="0.25">
      <c r="A60" s="5">
        <v>59</v>
      </c>
      <c r="B60" s="5">
        <v>2002</v>
      </c>
      <c r="C60" s="5">
        <f>COUNTIFS('RedHill Release Incidents'!$A$2:$A$66,B60,'RedHill Release Incidents'!$Q$2:$Q$66,"TIR")</f>
        <v>0</v>
      </c>
    </row>
    <row r="61" spans="1:3" x14ac:dyDescent="0.25">
      <c r="A61" s="5">
        <v>60</v>
      </c>
      <c r="B61" s="5">
        <v>2003</v>
      </c>
      <c r="C61" s="5">
        <f>COUNTIFS('RedHill Release Incidents'!$A$2:$A$66,B61,'RedHill Release Incidents'!$Q$2:$Q$66,"TIR")</f>
        <v>0</v>
      </c>
    </row>
    <row r="62" spans="1:3" x14ac:dyDescent="0.25">
      <c r="A62" s="5">
        <v>61</v>
      </c>
      <c r="B62" s="5">
        <v>2004</v>
      </c>
      <c r="C62" s="5">
        <f>COUNTIFS('RedHill Release Incidents'!$A$2:$A$66,B62,'RedHill Release Incidents'!$Q$2:$Q$66,"TIR")</f>
        <v>0</v>
      </c>
    </row>
    <row r="63" spans="1:3" x14ac:dyDescent="0.25">
      <c r="A63" s="5">
        <v>62</v>
      </c>
      <c r="B63" s="5">
        <v>2005</v>
      </c>
      <c r="C63" s="5">
        <f>COUNTIFS('RedHill Release Incidents'!$A$2:$A$66,B63,'RedHill Release Incidents'!$Q$2:$Q$66,"TIR")</f>
        <v>0</v>
      </c>
    </row>
    <row r="64" spans="1:3" x14ac:dyDescent="0.25">
      <c r="A64" s="5">
        <v>63</v>
      </c>
      <c r="B64" s="5">
        <v>2006</v>
      </c>
      <c r="C64" s="5">
        <f>COUNTIFS('RedHill Release Incidents'!$A$2:$A$66,B64,'RedHill Release Incidents'!$Q$2:$Q$66,"TIR")</f>
        <v>0</v>
      </c>
    </row>
    <row r="65" spans="1:3" x14ac:dyDescent="0.25">
      <c r="A65" s="5">
        <v>64</v>
      </c>
      <c r="B65" s="5">
        <v>2007</v>
      </c>
      <c r="C65" s="5">
        <f>COUNTIFS('RedHill Release Incidents'!$A$2:$A$66,B65,'RedHill Release Incidents'!$Q$2:$Q$66,"TIR")</f>
        <v>0</v>
      </c>
    </row>
    <row r="66" spans="1:3" x14ac:dyDescent="0.25">
      <c r="A66" s="5">
        <v>65</v>
      </c>
      <c r="B66" s="5">
        <v>2008</v>
      </c>
      <c r="C66" s="5">
        <f>COUNTIFS('RedHill Release Incidents'!$A$2:$A$66,B66,'RedHill Release Incidents'!$Q$2:$Q$66,"TIR")</f>
        <v>0</v>
      </c>
    </row>
    <row r="67" spans="1:3" x14ac:dyDescent="0.25">
      <c r="A67" s="5">
        <v>66</v>
      </c>
      <c r="B67" s="5">
        <v>2009</v>
      </c>
      <c r="C67" s="5">
        <f>COUNTIFS('RedHill Release Incidents'!$A$2:$A$66,B67,'RedHill Release Incidents'!$Q$2:$Q$66,"TIR")</f>
        <v>0</v>
      </c>
    </row>
    <row r="68" spans="1:3" x14ac:dyDescent="0.25">
      <c r="A68" s="5">
        <v>67</v>
      </c>
      <c r="B68" s="5">
        <v>2010</v>
      </c>
      <c r="C68" s="5">
        <f>COUNTIFS('RedHill Release Incidents'!$A$2:$A$66,B68,'RedHill Release Incidents'!$Q$2:$Q$66,"TIR")</f>
        <v>0</v>
      </c>
    </row>
    <row r="69" spans="1:3" x14ac:dyDescent="0.25">
      <c r="A69" s="5">
        <v>68</v>
      </c>
      <c r="B69" s="5">
        <v>2011</v>
      </c>
      <c r="C69" s="5">
        <f>COUNTIFS('RedHill Release Incidents'!$A$2:$A$66,B69,'RedHill Release Incidents'!$Q$2:$Q$66,"TIR")</f>
        <v>0</v>
      </c>
    </row>
    <row r="70" spans="1:3" x14ac:dyDescent="0.25">
      <c r="A70" s="5">
        <v>69</v>
      </c>
      <c r="B70" s="5">
        <v>2012</v>
      </c>
      <c r="C70" s="5">
        <f>COUNTIFS('RedHill Release Incidents'!$A$2:$A$66,B70,'RedHill Release Incidents'!$Q$2:$Q$66,"TIR")</f>
        <v>0</v>
      </c>
    </row>
    <row r="71" spans="1:3" x14ac:dyDescent="0.25">
      <c r="A71" s="5">
        <v>70</v>
      </c>
      <c r="B71" s="5">
        <v>2013</v>
      </c>
      <c r="C71" s="5">
        <f>COUNTIFS('RedHill Release Incidents'!$A$2:$A$66,B71,'RedHill Release Incidents'!$Q$2:$Q$66,"TIR")</f>
        <v>0</v>
      </c>
    </row>
    <row r="72" spans="1:3" x14ac:dyDescent="0.25">
      <c r="A72" s="5">
        <v>71</v>
      </c>
      <c r="B72" s="5">
        <v>2014</v>
      </c>
      <c r="C72" s="5">
        <f>COUNTIFS('RedHill Release Incidents'!$A$2:$A$66,B72,'RedHill Release Incidents'!$Q$2:$Q$66,"TIR")</f>
        <v>1</v>
      </c>
    </row>
    <row r="73" spans="1:3" x14ac:dyDescent="0.25">
      <c r="A73" s="5">
        <v>72</v>
      </c>
      <c r="B73" s="5">
        <v>2015</v>
      </c>
      <c r="C73" s="5">
        <f>COUNTIFS('RedHill Release Incidents'!$A$2:$A$66,B73,'RedHill Release Incidents'!$Q$2:$Q$66,"TIR")</f>
        <v>0</v>
      </c>
    </row>
    <row r="74" spans="1:3" x14ac:dyDescent="0.25">
      <c r="A74" s="5">
        <v>73</v>
      </c>
      <c r="B74" s="5">
        <v>2016</v>
      </c>
      <c r="C74" s="5">
        <f>COUNTIFS('RedHill Release Incidents'!$A$2:$A$66,B74,'RedHill Release Incidents'!$Q$2:$Q$66,"TIR")</f>
        <v>0</v>
      </c>
    </row>
    <row r="75" spans="1:3" x14ac:dyDescent="0.25">
      <c r="A75" s="5">
        <v>74</v>
      </c>
      <c r="B75" s="5">
        <v>2017</v>
      </c>
      <c r="C75" s="5">
        <f>COUNTIFS('RedHill Release Incidents'!$A$2:$A$66,B75,'RedHill Release Incidents'!$Q$2:$Q$66,"TIR")</f>
        <v>0</v>
      </c>
    </row>
    <row r="76" spans="1:3" x14ac:dyDescent="0.25">
      <c r="C76">
        <f>SUM(C5:C72)</f>
        <v>12</v>
      </c>
    </row>
  </sheetData>
  <sheetProtection algorithmName="SHA-512" hashValue="TJIaWi83GrtK7kTbn+6EyotXVEV2I1b/SxuNy2jyNKJLaskqM3kzKKOGfhuAIH3uQtbA8+t8wLa1p9Ql3iWtEA==" saltValue="xO/tlW6Lw3/E2PR5MiwAB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SDocument" ma:contentTypeID="0x010100B420F4102A9E4A4DB09D6F91D794BE8E00CDC08FEEA1D6E646BF2D314FF0625196" ma:contentTypeVersion="7" ma:contentTypeDescription="" ma:contentTypeScope="" ma:versionID="f9ac07fbe05eb8d4e0bebd2029c074fd">
  <xsd:schema xmlns:xsd="http://www.w3.org/2001/XMLSchema" xmlns:xs="http://www.w3.org/2001/XMLSchema" xmlns:p="http://schemas.microsoft.com/office/2006/metadata/properties" xmlns:ns2="502f0e20-7e67-4ef5-8fe6-687804e462b7" targetNamespace="http://schemas.microsoft.com/office/2006/metadata/properties" ma:root="true" ma:fieldsID="672c071627b311aaac5213c736b04435" ns2:_="">
    <xsd:import namespace="502f0e20-7e67-4ef5-8fe6-687804e462b7"/>
    <xsd:element name="properties">
      <xsd:complexType>
        <xsd:sequence>
          <xsd:element name="documentManagement">
            <xsd:complexType>
              <xsd:all>
                <xsd:element ref="ns2:DocumentType" minOccurs="0"/>
                <xsd:element ref="ns2:TaxCatchAll" minOccurs="0"/>
                <xsd:element ref="ns2:TaxCatchAllLabel" minOccurs="0"/>
                <xsd:element ref="ns2:mbc2463100b94a25864b40def319311c"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2f0e20-7e67-4ef5-8fe6-687804e462b7" elementFormDefault="qualified">
    <xsd:import namespace="http://schemas.microsoft.com/office/2006/documentManagement/types"/>
    <xsd:import namespace="http://schemas.microsoft.com/office/infopath/2007/PartnerControls"/>
    <xsd:element name="DocumentType" ma:index="8" nillable="true" ma:displayName="Document Type" ma:default="" ma:format="Dropdown" ma:internalName="DocumentType" ma:web="502f0e20-7e67-4ef5-8fe6-687804e462b7">
      <xsd:simpleType>
        <xsd:union memberTypes="dms:Text">
          <xsd:simpleType>
            <xsd:restriction base="dms:Choice">
              <xsd:enumeration value="Agreement"/>
              <xsd:enumeration value="Correspondence"/>
              <xsd:enumeration value="Discovery"/>
              <xsd:enumeration value="Other"/>
              <xsd:enumeration value="Pleading"/>
              <xsd:enumeration value="Production"/>
              <xsd:enumeration value="Subpoena"/>
            </xsd:restriction>
          </xsd:simpleType>
        </xsd:union>
      </xsd:simpleType>
    </xsd:element>
    <xsd:element name="TaxCatchAll" ma:index="10" nillable="true" ma:displayName="Taxonomy Catch All Column" ma:hidden="true" ma:list="{d987823a-2e3a-4e72-8179-e3b4de80bbe9}" ma:internalName="TaxCatchAll" ma:showField="CatchAllData" ma:web="502f0e20-7e67-4ef5-8fe6-687804e462b7">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d987823a-2e3a-4e72-8179-e3b4de80bbe9}" ma:internalName="TaxCatchAllLabel" ma:readOnly="true" ma:showField="CatchAllDataLabel" ma:web="502f0e20-7e67-4ef5-8fe6-687804e462b7">
      <xsd:complexType>
        <xsd:complexContent>
          <xsd:extension base="dms:MultiChoiceLookup">
            <xsd:sequence>
              <xsd:element name="Value" type="dms:Lookup" maxOccurs="unbounded" minOccurs="0" nillable="true"/>
            </xsd:sequence>
          </xsd:extension>
        </xsd:complexContent>
      </xsd:complexType>
    </xsd:element>
    <xsd:element name="mbc2463100b94a25864b40def319311c" ma:index="12" nillable="true" ma:taxonomy="true" ma:internalName="mbc2463100b94a25864b40def319311c" ma:taxonomyFieldName="Tag" ma:displayName="Tag" ma:fieldId="{6bc24631-00b9-4a25-864b-40def319311c}" ma:taxonomyMulti="true" ma:sspId="90b3ea45-2923-41e1-aacb-2a4bae444901" ma:termSetId="57445b1a-7585-4cca-8306-93a618a1900f" ma:anchorId="00000000-0000-0000-0000-000000000000" ma:open="false" ma:isKeyword="false">
      <xsd:complexType>
        <xsd:sequence>
          <xsd:element ref="pc:Terms" minOccurs="0" maxOccurs="1"/>
        </xsd:sequence>
      </xsd:complex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2f0e20-7e67-4ef5-8fe6-687804e462b7"/>
    <DocumentType xmlns="502f0e20-7e67-4ef5-8fe6-687804e462b7" xsi:nil="true"/>
    <mbc2463100b94a25864b40def319311c xmlns="502f0e20-7e67-4ef5-8fe6-687804e462b7">
      <Terms xmlns="http://schemas.microsoft.com/office/infopath/2007/PartnerControls"/>
    </mbc2463100b94a25864b40def319311c>
  </documentManagement>
</p:properties>
</file>

<file path=customXml/itemProps1.xml><?xml version="1.0" encoding="utf-8"?>
<ds:datastoreItem xmlns:ds="http://schemas.openxmlformats.org/officeDocument/2006/customXml" ds:itemID="{DE9D9E60-F975-4472-A11A-3B4B0BD78B21}"/>
</file>

<file path=customXml/itemProps2.xml><?xml version="1.0" encoding="utf-8"?>
<ds:datastoreItem xmlns:ds="http://schemas.openxmlformats.org/officeDocument/2006/customXml" ds:itemID="{5135A341-49B1-4AB0-BFC5-5339DD7333F6}"/>
</file>

<file path=customXml/itemProps3.xml><?xml version="1.0" encoding="utf-8"?>
<ds:datastoreItem xmlns:ds="http://schemas.openxmlformats.org/officeDocument/2006/customXml" ds:itemID="{ACAFD57B-AEF5-4625-B017-44FBC8FAD2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SummaryAllTanks</vt:lpstr>
      <vt:lpstr>NonInformativeGamma</vt:lpstr>
      <vt:lpstr>Navy UST Grid</vt:lpstr>
      <vt:lpstr>Navy UST Grid Large</vt:lpstr>
      <vt:lpstr>RedHill Release Incidents</vt:lpstr>
      <vt:lpstr>All_Tanks_RH</vt:lpstr>
      <vt:lpstr>ALL_Trend</vt:lpstr>
      <vt:lpstr>Trend_Operational</vt:lpstr>
      <vt:lpstr>RTS_Trend</vt:lpstr>
      <vt:lpstr>TT_Trend</vt:lpstr>
      <vt:lpstr>OP_Trend</vt:lpstr>
      <vt:lpstr>NavyBulkTank_SpillReleaseData</vt:lpstr>
      <vt:lpstr>OGP</vt:lpstr>
      <vt:lpstr>Verified Reports</vt:lpstr>
      <vt:lpstr>NUREG_OGP_Navy_RH</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RDHLCC0000657.xlsx</dc:title>
  <dc:creator>Kamyar Nouri</dc:creator>
  <cp:lastModifiedBy>Lisa Gomez</cp:lastModifiedBy>
  <cp:lastPrinted>2018-01-16T18:19:08Z</cp:lastPrinted>
  <dcterms:created xsi:type="dcterms:W3CDTF">2017-09-27T20:14:43Z</dcterms:created>
  <dcterms:modified xsi:type="dcterms:W3CDTF">2018-10-09T22:46:44Z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0x010100B420F4102A9E4A4DB09D6F91D794BE8E00CDC08FEEA1D6E646BF2D314FF0625196</vt:lpwstr>
  </property>
</Properties>
</file>